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S:\Calyx - Los Angeles - Arden Development\3.3 CDLAC\Calyx - Application\Ready For Review\Reviewed\"/>
    </mc:Choice>
  </mc:AlternateContent>
  <xr:revisionPtr revIDLastSave="0" documentId="13_ncr:1_{3788A60D-0ACC-42E8-ACD0-2F06A2C75D56}"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2"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55" i="3" l="1"/>
  <c r="E59" i="4" l="1"/>
  <c r="Z822" i="3"/>
  <c r="G24" i="7"/>
  <c r="I24" i="7" s="1"/>
  <c r="K24" i="7" s="1"/>
  <c r="M24" i="7" s="1"/>
  <c r="O24" i="7" s="1"/>
  <c r="Q24" i="7" s="1"/>
  <c r="S24" i="7" s="1"/>
  <c r="U24" i="7" s="1"/>
  <c r="W24" i="7" s="1"/>
  <c r="Y24" i="7" s="1"/>
  <c r="AA24" i="7" s="1"/>
  <c r="AC24" i="7" s="1"/>
  <c r="AE24" i="7" s="1"/>
  <c r="AG24" i="7" s="1"/>
  <c r="AI24" i="7" s="1"/>
  <c r="AK24" i="7" s="1"/>
  <c r="AM24" i="7" s="1"/>
  <c r="AO24" i="7" s="1"/>
  <c r="AQ24" i="7" s="1"/>
  <c r="AS24" i="7" s="1"/>
  <c r="AU24" i="7" s="1"/>
  <c r="AW24" i="7" s="1"/>
  <c r="AY24" i="7" s="1"/>
  <c r="BA24" i="7" s="1"/>
  <c r="BC24" i="7" s="1"/>
  <c r="BE24" i="7" s="1"/>
  <c r="BG24" i="7" s="1"/>
  <c r="BI24" i="7" s="1"/>
  <c r="BK24" i="7" s="1"/>
  <c r="BM24" i="7" s="1"/>
  <c r="BO24" i="7" s="1"/>
  <c r="BQ24" i="7" s="1"/>
  <c r="BS24" i="7" s="1"/>
  <c r="BU24" i="7" s="1"/>
  <c r="BW24" i="7" s="1"/>
  <c r="BY24" i="7" s="1"/>
  <c r="CA24" i="7" s="1"/>
  <c r="CC24" i="7" s="1"/>
  <c r="CE24" i="7" s="1"/>
  <c r="CG24" i="7" s="1"/>
  <c r="CI24" i="7" s="1"/>
  <c r="CK24" i="7" s="1"/>
  <c r="CM24" i="7" s="1"/>
  <c r="CO24" i="7" s="1"/>
  <c r="CQ24" i="7" s="1"/>
  <c r="CS24" i="7" s="1"/>
  <c r="CU24" i="7" s="1"/>
  <c r="CW24" i="7" s="1"/>
  <c r="CY24" i="7" s="1"/>
  <c r="DA24" i="7" s="1"/>
  <c r="DC24" i="7" s="1"/>
  <c r="DE24" i="7" s="1"/>
  <c r="DG24" i="7" s="1"/>
  <c r="DI24" i="7" s="1"/>
  <c r="DK24" i="7" s="1"/>
  <c r="DM24" i="7" s="1"/>
  <c r="DO24" i="7" s="1"/>
  <c r="DQ24" i="7" s="1"/>
  <c r="DS24" i="7" s="1"/>
  <c r="DU24" i="7" s="1"/>
  <c r="DW24" i="7" s="1"/>
  <c r="DY24" i="7" s="1"/>
  <c r="EA24" i="7" s="1"/>
  <c r="EC24" i="7" s="1"/>
  <c r="EE24" i="7" s="1"/>
  <c r="EG24" i="7" s="1"/>
  <c r="EI24" i="7" s="1"/>
  <c r="EK24" i="7" s="1"/>
  <c r="EM24" i="7" s="1"/>
  <c r="EO24" i="7" s="1"/>
  <c r="EQ24" i="7" s="1"/>
  <c r="ES24" i="7" s="1"/>
  <c r="EU24" i="7" s="1"/>
  <c r="EW24" i="7" s="1"/>
  <c r="EY24" i="7" s="1"/>
  <c r="FA24" i="7" s="1"/>
  <c r="FC24" i="7" s="1"/>
  <c r="FE24" i="7" s="1"/>
  <c r="FG24" i="7" s="1"/>
  <c r="FI24" i="7" s="1"/>
  <c r="FK24" i="7" s="1"/>
  <c r="FM24" i="7" s="1"/>
  <c r="FO24" i="7" s="1"/>
  <c r="FQ24" i="7" s="1"/>
  <c r="FS24" i="7" s="1"/>
  <c r="FU24" i="7" s="1"/>
  <c r="FW24" i="7" s="1"/>
  <c r="FY24" i="7" s="1"/>
  <c r="GA24" i="7" s="1"/>
  <c r="GC24" i="7" s="1"/>
  <c r="GE24" i="7" s="1"/>
  <c r="GG24" i="7" s="1"/>
  <c r="GI24" i="7" s="1"/>
  <c r="GK24" i="7" s="1"/>
  <c r="GM24" i="7" s="1"/>
  <c r="GO24" i="7" s="1"/>
  <c r="GQ24" i="7" s="1"/>
  <c r="GS24" i="7" s="1"/>
  <c r="GU24" i="7" s="1"/>
  <c r="GW24" i="7" s="1"/>
  <c r="GY24" i="7" s="1"/>
  <c r="HA24" i="7" s="1"/>
  <c r="HC24" i="7" s="1"/>
  <c r="HE24" i="7" s="1"/>
  <c r="HG24" i="7" s="1"/>
  <c r="HI24" i="7" s="1"/>
  <c r="HK24" i="7" s="1"/>
  <c r="HM24" i="7" s="1"/>
  <c r="HO24" i="7" s="1"/>
  <c r="HQ24" i="7" s="1"/>
  <c r="HS24" i="7" s="1"/>
  <c r="HU24" i="7" s="1"/>
  <c r="HW24" i="7" s="1"/>
  <c r="HY24" i="7" s="1"/>
  <c r="IA24" i="7" s="1"/>
  <c r="IC24" i="7" s="1"/>
  <c r="IE24" i="7" s="1"/>
  <c r="IG24" i="7" s="1"/>
  <c r="II24" i="7" s="1"/>
  <c r="IK24" i="7" s="1"/>
  <c r="IM24" i="7" s="1"/>
  <c r="IO24" i="7" s="1"/>
  <c r="IQ24" i="7" s="1"/>
  <c r="IS24" i="7" s="1"/>
  <c r="IU24" i="7" s="1"/>
  <c r="IW24" i="7" s="1"/>
  <c r="IY24" i="7" s="1"/>
  <c r="JA24" i="7" s="1"/>
  <c r="JC24" i="7" s="1"/>
  <c r="JE24" i="7" s="1"/>
  <c r="JG24" i="7" s="1"/>
  <c r="JI24" i="7" s="1"/>
  <c r="JK24" i="7" s="1"/>
  <c r="JM24" i="7" s="1"/>
  <c r="JO24" i="7" s="1"/>
  <c r="JQ24" i="7" s="1"/>
  <c r="JS24" i="7" s="1"/>
  <c r="JU24" i="7" s="1"/>
  <c r="JW24" i="7" s="1"/>
  <c r="JY24" i="7" s="1"/>
  <c r="KA24" i="7" s="1"/>
  <c r="KC24" i="7" s="1"/>
  <c r="KE24" i="7" s="1"/>
  <c r="KG24" i="7" s="1"/>
  <c r="KI24" i="7" s="1"/>
  <c r="KK24" i="7" s="1"/>
  <c r="KM24" i="7" s="1"/>
  <c r="KO24" i="7" s="1"/>
  <c r="KQ24" i="7" s="1"/>
  <c r="KS24" i="7" s="1"/>
  <c r="KU24" i="7" s="1"/>
  <c r="KW24" i="7" s="1"/>
  <c r="KY24" i="7" s="1"/>
  <c r="LA24" i="7" s="1"/>
  <c r="LC24" i="7" s="1"/>
  <c r="LE24" i="7" s="1"/>
  <c r="LG24" i="7" s="1"/>
  <c r="LI24" i="7" s="1"/>
  <c r="LK24" i="7" s="1"/>
  <c r="LM24" i="7" s="1"/>
  <c r="LO24" i="7" s="1"/>
  <c r="LQ24" i="7" s="1"/>
  <c r="LS24" i="7" s="1"/>
  <c r="LU24" i="7" s="1"/>
  <c r="LW24" i="7" s="1"/>
  <c r="LY24" i="7" s="1"/>
  <c r="MA24" i="7" s="1"/>
  <c r="MC24" i="7" s="1"/>
  <c r="ME24" i="7" s="1"/>
  <c r="MG24" i="7" s="1"/>
  <c r="MI24" i="7" s="1"/>
  <c r="MK24" i="7" s="1"/>
  <c r="MM24" i="7" s="1"/>
  <c r="MO24" i="7" s="1"/>
  <c r="MQ24" i="7" s="1"/>
  <c r="MS24" i="7" s="1"/>
  <c r="MU24" i="7" s="1"/>
  <c r="MW24" i="7" s="1"/>
  <c r="MY24" i="7" s="1"/>
  <c r="NA24" i="7" s="1"/>
  <c r="NC24" i="7" s="1"/>
  <c r="NE24" i="7" s="1"/>
  <c r="NG24" i="7" s="1"/>
  <c r="NI24" i="7" s="1"/>
  <c r="NK24" i="7" s="1"/>
  <c r="NM24" i="7" s="1"/>
  <c r="NO24" i="7" s="1"/>
  <c r="NQ24" i="7" s="1"/>
  <c r="NS24" i="7" s="1"/>
  <c r="NU24" i="7" s="1"/>
  <c r="NW24" i="7" s="1"/>
  <c r="NY24" i="7" s="1"/>
  <c r="OA24" i="7" s="1"/>
  <c r="OC24" i="7" s="1"/>
  <c r="OE24" i="7" s="1"/>
  <c r="OG24" i="7" s="1"/>
  <c r="OI24" i="7" s="1"/>
  <c r="OK24" i="7" s="1"/>
  <c r="OM24" i="7" s="1"/>
  <c r="OO24" i="7" s="1"/>
  <c r="OQ24" i="7" s="1"/>
  <c r="OS24" i="7" s="1"/>
  <c r="OU24" i="7" s="1"/>
  <c r="OW24" i="7" s="1"/>
  <c r="OY24" i="7" s="1"/>
  <c r="PA24" i="7" s="1"/>
  <c r="PC24" i="7" s="1"/>
  <c r="PE24" i="7" s="1"/>
  <c r="PG24" i="7" s="1"/>
  <c r="PI24" i="7" s="1"/>
  <c r="PK24" i="7" s="1"/>
  <c r="PM24" i="7" s="1"/>
  <c r="PO24" i="7" s="1"/>
  <c r="PQ24" i="7" s="1"/>
  <c r="PS24" i="7" s="1"/>
  <c r="PU24" i="7" s="1"/>
  <c r="PW24" i="7" s="1"/>
  <c r="PY24" i="7" s="1"/>
  <c r="QA24" i="7" s="1"/>
  <c r="QC24" i="7" s="1"/>
  <c r="QE24" i="7" s="1"/>
  <c r="QG24" i="7" s="1"/>
  <c r="QI24" i="7" s="1"/>
  <c r="QK24" i="7" s="1"/>
  <c r="QM24" i="7" s="1"/>
  <c r="QO24" i="7" s="1"/>
  <c r="QQ24" i="7" s="1"/>
  <c r="QS24" i="7" s="1"/>
  <c r="QU24" i="7" s="1"/>
  <c r="QW24" i="7" s="1"/>
  <c r="QY24" i="7" s="1"/>
  <c r="RA24" i="7" s="1"/>
  <c r="RC24" i="7" s="1"/>
  <c r="RE24" i="7" s="1"/>
  <c r="RG24" i="7" s="1"/>
  <c r="RI24" i="7" s="1"/>
  <c r="RK24" i="7" s="1"/>
  <c r="RM24" i="7" s="1"/>
  <c r="RO24" i="7" s="1"/>
  <c r="RQ24" i="7" s="1"/>
  <c r="RS24" i="7" s="1"/>
  <c r="RU24" i="7" s="1"/>
  <c r="RW24" i="7" s="1"/>
  <c r="RY24" i="7" s="1"/>
  <c r="SA24" i="7" s="1"/>
  <c r="SC24" i="7" s="1"/>
  <c r="SE24" i="7" s="1"/>
  <c r="SG24" i="7" s="1"/>
  <c r="SI24" i="7" s="1"/>
  <c r="SK24" i="7" s="1"/>
  <c r="SM24" i="7" s="1"/>
  <c r="SO24" i="7" s="1"/>
  <c r="SQ24" i="7" s="1"/>
  <c r="SS24" i="7" s="1"/>
  <c r="SU24" i="7" s="1"/>
  <c r="SW24" i="7" s="1"/>
  <c r="SY24" i="7" s="1"/>
  <c r="TA24" i="7" s="1"/>
  <c r="TC24" i="7" s="1"/>
  <c r="TE24" i="7" s="1"/>
  <c r="TG24" i="7" s="1"/>
  <c r="TI24" i="7" s="1"/>
  <c r="TK24" i="7" s="1"/>
  <c r="TM24" i="7" s="1"/>
  <c r="TO24" i="7" s="1"/>
  <c r="TQ24" i="7" s="1"/>
  <c r="TS24" i="7" s="1"/>
  <c r="TU24" i="7" s="1"/>
  <c r="TW24" i="7" s="1"/>
  <c r="TY24" i="7" s="1"/>
  <c r="UA24" i="7" s="1"/>
  <c r="UC24" i="7" s="1"/>
  <c r="UE24" i="7" s="1"/>
  <c r="UG24" i="7" s="1"/>
  <c r="UI24" i="7" s="1"/>
  <c r="UK24" i="7" s="1"/>
  <c r="UM24" i="7" s="1"/>
  <c r="UO24" i="7" s="1"/>
  <c r="UQ24" i="7" s="1"/>
  <c r="US24" i="7" s="1"/>
  <c r="UU24" i="7" s="1"/>
  <c r="UW24" i="7" s="1"/>
  <c r="UY24" i="7" s="1"/>
  <c r="VA24" i="7" s="1"/>
  <c r="VC24" i="7" s="1"/>
  <c r="VE24" i="7" s="1"/>
  <c r="VG24" i="7" s="1"/>
  <c r="VI24" i="7" s="1"/>
  <c r="VK24" i="7" s="1"/>
  <c r="VM24" i="7" s="1"/>
  <c r="VO24" i="7" s="1"/>
  <c r="VQ24" i="7" s="1"/>
  <c r="VS24" i="7" s="1"/>
  <c r="VU24" i="7" s="1"/>
  <c r="VW24" i="7" s="1"/>
  <c r="VY24" i="7" s="1"/>
  <c r="WA24" i="7" s="1"/>
  <c r="WC24" i="7" s="1"/>
  <c r="WE24" i="7" s="1"/>
  <c r="WG24" i="7" s="1"/>
  <c r="WI24" i="7" s="1"/>
  <c r="WK24" i="7" s="1"/>
  <c r="WM24" i="7" s="1"/>
  <c r="WO24" i="7" s="1"/>
  <c r="WQ24" i="7" s="1"/>
  <c r="WS24" i="7" s="1"/>
  <c r="WU24" i="7" s="1"/>
  <c r="WW24" i="7" s="1"/>
  <c r="WY24" i="7" s="1"/>
  <c r="XA24" i="7" s="1"/>
  <c r="XC24" i="7" s="1"/>
  <c r="XE24" i="7" s="1"/>
  <c r="XG24" i="7" s="1"/>
  <c r="XI24" i="7" s="1"/>
  <c r="XK24" i="7" s="1"/>
  <c r="XM24" i="7" s="1"/>
  <c r="XO24" i="7" s="1"/>
  <c r="XQ24" i="7" s="1"/>
  <c r="XS24" i="7" s="1"/>
  <c r="XU24" i="7" s="1"/>
  <c r="XW24" i="7" s="1"/>
  <c r="XY24" i="7" s="1"/>
  <c r="YA24" i="7" s="1"/>
  <c r="YC24" i="7" s="1"/>
  <c r="YE24" i="7" s="1"/>
  <c r="YG24" i="7" s="1"/>
  <c r="YI24" i="7" s="1"/>
  <c r="YK24" i="7" s="1"/>
  <c r="YM24" i="7" s="1"/>
  <c r="YO24" i="7" s="1"/>
  <c r="YQ24" i="7" s="1"/>
  <c r="YS24" i="7" s="1"/>
  <c r="YU24" i="7" s="1"/>
  <c r="YW24" i="7" s="1"/>
  <c r="YY24" i="7" s="1"/>
  <c r="ZA24" i="7" s="1"/>
  <c r="ZC24" i="7" s="1"/>
  <c r="ZE24" i="7" s="1"/>
  <c r="ZG24" i="7" s="1"/>
  <c r="ZI24" i="7" s="1"/>
  <c r="ZK24" i="7" s="1"/>
  <c r="ZM24" i="7" s="1"/>
  <c r="ZO24" i="7" s="1"/>
  <c r="ZQ24" i="7" s="1"/>
  <c r="ZS24" i="7" s="1"/>
  <c r="ZU24" i="7" s="1"/>
  <c r="ZW24" i="7" s="1"/>
  <c r="ZY24" i="7" s="1"/>
  <c r="AAA24" i="7" s="1"/>
  <c r="AAC24" i="7" s="1"/>
  <c r="AAE24" i="7" s="1"/>
  <c r="AAG24" i="7" s="1"/>
  <c r="AAI24" i="7" s="1"/>
  <c r="AAK24" i="7" s="1"/>
  <c r="AAM24" i="7" s="1"/>
  <c r="AAO24" i="7" s="1"/>
  <c r="AAQ24" i="7" s="1"/>
  <c r="AAS24" i="7" s="1"/>
  <c r="AAU24" i="7" s="1"/>
  <c r="AAW24" i="7" s="1"/>
  <c r="AAY24" i="7" s="1"/>
  <c r="ABA24" i="7" s="1"/>
  <c r="ABC24" i="7" s="1"/>
  <c r="ABE24" i="7" s="1"/>
  <c r="ABG24" i="7" s="1"/>
  <c r="ABI24" i="7" s="1"/>
  <c r="ABK24" i="7" s="1"/>
  <c r="ABM24" i="7" s="1"/>
  <c r="ABO24" i="7" s="1"/>
  <c r="ABQ24" i="7" s="1"/>
  <c r="ABS24" i="7" s="1"/>
  <c r="ABU24" i="7" s="1"/>
  <c r="ABW24" i="7" s="1"/>
  <c r="ABY24" i="7" s="1"/>
  <c r="ACA24" i="7" s="1"/>
  <c r="ACC24" i="7" s="1"/>
  <c r="ACE24" i="7" s="1"/>
  <c r="ACG24" i="7" s="1"/>
  <c r="ACI24" i="7" s="1"/>
  <c r="ACK24" i="7" s="1"/>
  <c r="ACM24" i="7" s="1"/>
  <c r="ACO24" i="7" s="1"/>
  <c r="ACQ24" i="7" s="1"/>
  <c r="ACS24" i="7" s="1"/>
  <c r="ACU24" i="7" s="1"/>
  <c r="ACW24" i="7" s="1"/>
  <c r="ACY24" i="7" s="1"/>
  <c r="ADA24" i="7" s="1"/>
  <c r="ADC24" i="7" s="1"/>
  <c r="ADE24" i="7" s="1"/>
  <c r="ADG24" i="7" s="1"/>
  <c r="ADI24" i="7" s="1"/>
  <c r="ADK24" i="7" s="1"/>
  <c r="ADM24" i="7" s="1"/>
  <c r="ADO24" i="7" s="1"/>
  <c r="ADQ24" i="7" s="1"/>
  <c r="ADS24" i="7" s="1"/>
  <c r="ADU24" i="7" s="1"/>
  <c r="ADW24" i="7" s="1"/>
  <c r="ADY24" i="7" s="1"/>
  <c r="AEA24" i="7" s="1"/>
  <c r="AEC24" i="7" s="1"/>
  <c r="AEE24" i="7" s="1"/>
  <c r="AEG24" i="7" s="1"/>
  <c r="AEI24" i="7" s="1"/>
  <c r="AEK24" i="7" s="1"/>
  <c r="AEM24" i="7" s="1"/>
  <c r="AEO24" i="7" s="1"/>
  <c r="AEQ24" i="7" s="1"/>
  <c r="AES24" i="7" s="1"/>
  <c r="AEU24" i="7" s="1"/>
  <c r="AEW24" i="7" s="1"/>
  <c r="AEY24" i="7" s="1"/>
  <c r="AFA24" i="7" s="1"/>
  <c r="AFC24" i="7" s="1"/>
  <c r="AFE24" i="7" s="1"/>
  <c r="AFG24" i="7" s="1"/>
  <c r="AFI24" i="7" s="1"/>
  <c r="AFK24" i="7" s="1"/>
  <c r="AFM24" i="7" s="1"/>
  <c r="AFO24" i="7" s="1"/>
  <c r="AFQ24" i="7" s="1"/>
  <c r="AFS24" i="7" s="1"/>
  <c r="AFU24" i="7" s="1"/>
  <c r="AFW24" i="7" s="1"/>
  <c r="AFY24" i="7" s="1"/>
  <c r="AGA24" i="7" s="1"/>
  <c r="AGC24" i="7" s="1"/>
  <c r="AGE24" i="7" s="1"/>
  <c r="AGG24" i="7" s="1"/>
  <c r="AGI24" i="7" s="1"/>
  <c r="AGK24" i="7" s="1"/>
  <c r="AGM24" i="7" s="1"/>
  <c r="AGO24" i="7" s="1"/>
  <c r="AGQ24" i="7" s="1"/>
  <c r="AGS24" i="7" s="1"/>
  <c r="AGU24" i="7" s="1"/>
  <c r="AGW24" i="7" s="1"/>
  <c r="AGY24" i="7" s="1"/>
  <c r="AHA24" i="7" s="1"/>
  <c r="AHC24" i="7" s="1"/>
  <c r="AHE24" i="7" s="1"/>
  <c r="AHG24" i="7" s="1"/>
  <c r="AHI24" i="7" s="1"/>
  <c r="AHK24" i="7" s="1"/>
  <c r="AHM24" i="7" s="1"/>
  <c r="AHO24" i="7" s="1"/>
  <c r="AHQ24" i="7" s="1"/>
  <c r="AHS24" i="7" s="1"/>
  <c r="AHU24" i="7" s="1"/>
  <c r="AHW24" i="7" s="1"/>
  <c r="AHY24" i="7" s="1"/>
  <c r="AIA24" i="7" s="1"/>
  <c r="AIC24" i="7" s="1"/>
  <c r="AIE24" i="7" s="1"/>
  <c r="AIG24" i="7" s="1"/>
  <c r="AII24" i="7" s="1"/>
  <c r="AIK24" i="7" s="1"/>
  <c r="AIM24" i="7" s="1"/>
  <c r="AIO24" i="7" s="1"/>
  <c r="AIQ24" i="7" s="1"/>
  <c r="AIS24" i="7" s="1"/>
  <c r="AIU24" i="7" s="1"/>
  <c r="AIW24" i="7" s="1"/>
  <c r="AIY24" i="7" s="1"/>
  <c r="AJA24" i="7" s="1"/>
  <c r="AJC24" i="7" s="1"/>
  <c r="AJE24" i="7" s="1"/>
  <c r="AJG24" i="7" s="1"/>
  <c r="AJI24" i="7" s="1"/>
  <c r="AJK24" i="7" s="1"/>
  <c r="AJM24" i="7" s="1"/>
  <c r="AJO24" i="7" s="1"/>
  <c r="AJQ24" i="7" s="1"/>
  <c r="AJS24" i="7" s="1"/>
  <c r="AJU24" i="7" s="1"/>
  <c r="AJW24" i="7" s="1"/>
  <c r="AJY24" i="7" s="1"/>
  <c r="AKA24" i="7" s="1"/>
  <c r="AKC24" i="7" s="1"/>
  <c r="AKE24" i="7" s="1"/>
  <c r="AKG24" i="7" s="1"/>
  <c r="AKI24" i="7" s="1"/>
  <c r="AKK24" i="7" s="1"/>
  <c r="AKM24" i="7" s="1"/>
  <c r="AKO24" i="7" s="1"/>
  <c r="AKQ24" i="7" s="1"/>
  <c r="AKS24" i="7" s="1"/>
  <c r="AKU24" i="7" s="1"/>
  <c r="AKW24" i="7" s="1"/>
  <c r="AKY24" i="7" s="1"/>
  <c r="ALA24" i="7" s="1"/>
  <c r="ALC24" i="7" s="1"/>
  <c r="ALE24" i="7" s="1"/>
  <c r="ALG24" i="7" s="1"/>
  <c r="ALI24" i="7" s="1"/>
  <c r="ALK24" i="7" s="1"/>
  <c r="ALM24" i="7" s="1"/>
  <c r="ALO24" i="7" s="1"/>
  <c r="ALQ24" i="7" s="1"/>
  <c r="ALS24" i="7" s="1"/>
  <c r="ALU24" i="7" s="1"/>
  <c r="ALW24" i="7" s="1"/>
  <c r="ALY24" i="7" s="1"/>
  <c r="AMA24" i="7" s="1"/>
  <c r="AMC24" i="7" s="1"/>
  <c r="AME24" i="7" s="1"/>
  <c r="AMG24" i="7" s="1"/>
  <c r="AMI24" i="7" s="1"/>
  <c r="AMK24" i="7" s="1"/>
  <c r="AMM24" i="7" s="1"/>
  <c r="AMO24" i="7" s="1"/>
  <c r="AMQ24" i="7" s="1"/>
  <c r="AMS24" i="7" s="1"/>
  <c r="AMU24" i="7" s="1"/>
  <c r="AMW24" i="7" s="1"/>
  <c r="AMY24" i="7" s="1"/>
  <c r="ANA24" i="7" s="1"/>
  <c r="ANC24" i="7" s="1"/>
  <c r="ANE24" i="7" s="1"/>
  <c r="ANG24" i="7" s="1"/>
  <c r="ANI24" i="7" s="1"/>
  <c r="ANK24" i="7" s="1"/>
  <c r="ANM24" i="7" s="1"/>
  <c r="ANO24" i="7" s="1"/>
  <c r="ANQ24" i="7" s="1"/>
  <c r="ANS24" i="7" s="1"/>
  <c r="ANU24" i="7" s="1"/>
  <c r="ANW24" i="7" s="1"/>
  <c r="ANY24" i="7" s="1"/>
  <c r="AOA24" i="7" s="1"/>
  <c r="AOC24" i="7" s="1"/>
  <c r="AOE24" i="7" s="1"/>
  <c r="AOG24" i="7" s="1"/>
  <c r="AOI24" i="7" s="1"/>
  <c r="AOK24" i="7" s="1"/>
  <c r="AOM24" i="7" s="1"/>
  <c r="AOO24" i="7" s="1"/>
  <c r="AOQ24" i="7" s="1"/>
  <c r="AOS24" i="7" s="1"/>
  <c r="AOU24" i="7" s="1"/>
  <c r="AOW24" i="7" s="1"/>
  <c r="AOY24" i="7" s="1"/>
  <c r="APA24" i="7" s="1"/>
  <c r="APC24" i="7" s="1"/>
  <c r="APE24" i="7" s="1"/>
  <c r="APG24" i="7" s="1"/>
  <c r="API24" i="7" s="1"/>
  <c r="APK24" i="7" s="1"/>
  <c r="APM24" i="7" s="1"/>
  <c r="APO24" i="7" s="1"/>
  <c r="APQ24" i="7" s="1"/>
  <c r="APS24" i="7" s="1"/>
  <c r="APU24" i="7" s="1"/>
  <c r="APW24" i="7" s="1"/>
  <c r="APY24" i="7" s="1"/>
  <c r="AQA24" i="7" s="1"/>
  <c r="AQC24" i="7" s="1"/>
  <c r="AQE24" i="7" s="1"/>
  <c r="AQG24" i="7" s="1"/>
  <c r="AQI24" i="7" s="1"/>
  <c r="AQK24" i="7" s="1"/>
  <c r="AQM24" i="7" s="1"/>
  <c r="AQO24" i="7" s="1"/>
  <c r="AQQ24" i="7" s="1"/>
  <c r="AQS24" i="7" s="1"/>
  <c r="AQU24" i="7" s="1"/>
  <c r="AQW24" i="7" s="1"/>
  <c r="AQY24" i="7" s="1"/>
  <c r="ARA24" i="7" s="1"/>
  <c r="ARC24" i="7" s="1"/>
  <c r="ARE24" i="7" s="1"/>
  <c r="ARG24" i="7" s="1"/>
  <c r="ARI24" i="7" s="1"/>
  <c r="ARK24" i="7" s="1"/>
  <c r="ARM24" i="7" s="1"/>
  <c r="ARO24" i="7" s="1"/>
  <c r="ARQ24" i="7" s="1"/>
  <c r="ARS24" i="7" s="1"/>
  <c r="ARU24" i="7" s="1"/>
  <c r="ARW24" i="7" s="1"/>
  <c r="ARY24" i="7" s="1"/>
  <c r="ASA24" i="7" s="1"/>
  <c r="ASC24" i="7" s="1"/>
  <c r="ASE24" i="7" s="1"/>
  <c r="ASG24" i="7" s="1"/>
  <c r="ASI24" i="7" s="1"/>
  <c r="ASK24" i="7" s="1"/>
  <c r="ASM24" i="7" s="1"/>
  <c r="ASO24" i="7" s="1"/>
  <c r="ASQ24" i="7" s="1"/>
  <c r="ASS24" i="7" s="1"/>
  <c r="ASU24" i="7" s="1"/>
  <c r="ASW24" i="7" s="1"/>
  <c r="ASY24" i="7" s="1"/>
  <c r="ATA24" i="7" s="1"/>
  <c r="ATC24" i="7" s="1"/>
  <c r="ATE24" i="7" s="1"/>
  <c r="ATG24" i="7" s="1"/>
  <c r="ATI24" i="7" s="1"/>
  <c r="ATK24" i="7" s="1"/>
  <c r="ATM24" i="7" s="1"/>
  <c r="ATO24" i="7" s="1"/>
  <c r="ATQ24" i="7" s="1"/>
  <c r="ATS24" i="7" s="1"/>
  <c r="ATU24" i="7" s="1"/>
  <c r="ATW24" i="7" s="1"/>
  <c r="ATY24" i="7" s="1"/>
  <c r="AUA24" i="7" s="1"/>
  <c r="AUC24" i="7" s="1"/>
  <c r="AUE24" i="7" s="1"/>
  <c r="AUG24" i="7" s="1"/>
  <c r="AUI24" i="7" s="1"/>
  <c r="AUK24" i="7" s="1"/>
  <c r="AUM24" i="7" s="1"/>
  <c r="AUO24" i="7" s="1"/>
  <c r="AUQ24" i="7" s="1"/>
  <c r="AUS24" i="7" s="1"/>
  <c r="AUU24" i="7" s="1"/>
  <c r="AUW24" i="7" s="1"/>
  <c r="AUY24" i="7" s="1"/>
  <c r="AVA24" i="7" s="1"/>
  <c r="AVC24" i="7" s="1"/>
  <c r="AVE24" i="7" s="1"/>
  <c r="AVG24" i="7" s="1"/>
  <c r="AVI24" i="7" s="1"/>
  <c r="AVK24" i="7" s="1"/>
  <c r="AVM24" i="7" s="1"/>
  <c r="AVO24" i="7" s="1"/>
  <c r="AVQ24" i="7" s="1"/>
  <c r="AVS24" i="7" s="1"/>
  <c r="AVU24" i="7" s="1"/>
  <c r="AVW24" i="7" s="1"/>
  <c r="AVY24" i="7" s="1"/>
  <c r="AWA24" i="7" s="1"/>
  <c r="AWC24" i="7" s="1"/>
  <c r="AWE24" i="7" s="1"/>
  <c r="AWG24" i="7" s="1"/>
  <c r="AWI24" i="7" s="1"/>
  <c r="AWK24" i="7" s="1"/>
  <c r="AWM24" i="7" s="1"/>
  <c r="AWO24" i="7" s="1"/>
  <c r="AWQ24" i="7" s="1"/>
  <c r="AWS24" i="7" s="1"/>
  <c r="AWU24" i="7" s="1"/>
  <c r="AWW24" i="7" s="1"/>
  <c r="AWY24" i="7" s="1"/>
  <c r="AXA24" i="7" s="1"/>
  <c r="AXC24" i="7" s="1"/>
  <c r="AXE24" i="7" s="1"/>
  <c r="AXG24" i="7" s="1"/>
  <c r="AXI24" i="7" s="1"/>
  <c r="AXK24" i="7" s="1"/>
  <c r="AXM24" i="7" s="1"/>
  <c r="AXO24" i="7" s="1"/>
  <c r="AXQ24" i="7" s="1"/>
  <c r="AXS24" i="7" s="1"/>
  <c r="AXU24" i="7" s="1"/>
  <c r="AXW24" i="7" s="1"/>
  <c r="AXY24" i="7" s="1"/>
  <c r="AYA24" i="7" s="1"/>
  <c r="AYC24" i="7" s="1"/>
  <c r="AYE24" i="7" s="1"/>
  <c r="AYG24" i="7" s="1"/>
  <c r="AYI24" i="7" s="1"/>
  <c r="AYK24" i="7" s="1"/>
  <c r="AYM24" i="7" s="1"/>
  <c r="AYO24" i="7" s="1"/>
  <c r="AYQ24" i="7" s="1"/>
  <c r="AYS24" i="7" s="1"/>
  <c r="AYU24" i="7" s="1"/>
  <c r="AYW24" i="7" s="1"/>
  <c r="AYY24" i="7" s="1"/>
  <c r="AZA24" i="7" s="1"/>
  <c r="AZC24" i="7" s="1"/>
  <c r="AZE24" i="7" s="1"/>
  <c r="AZG24" i="7" s="1"/>
  <c r="AZI24" i="7" s="1"/>
  <c r="AZK24" i="7" s="1"/>
  <c r="AZM24" i="7" s="1"/>
  <c r="AZO24" i="7" s="1"/>
  <c r="AZQ24" i="7" s="1"/>
  <c r="AZS24" i="7" s="1"/>
  <c r="AZU24" i="7" s="1"/>
  <c r="AZW24" i="7" s="1"/>
  <c r="AZY24" i="7" s="1"/>
  <c r="BAA24" i="7" s="1"/>
  <c r="BAC24" i="7" s="1"/>
  <c r="BAE24" i="7" s="1"/>
  <c r="BAG24" i="7" s="1"/>
  <c r="BAI24" i="7" s="1"/>
  <c r="BAK24" i="7" s="1"/>
  <c r="BAM24" i="7" s="1"/>
  <c r="BAO24" i="7" s="1"/>
  <c r="BAQ24" i="7" s="1"/>
  <c r="BAS24" i="7" s="1"/>
  <c r="BAU24" i="7" s="1"/>
  <c r="BAW24" i="7" s="1"/>
  <c r="BAY24" i="7" s="1"/>
  <c r="BBA24" i="7" s="1"/>
  <c r="BBC24" i="7" s="1"/>
  <c r="BBE24" i="7" s="1"/>
  <c r="BBG24" i="7" s="1"/>
  <c r="BBI24" i="7" s="1"/>
  <c r="BBK24" i="7" s="1"/>
  <c r="BBM24" i="7" s="1"/>
  <c r="BBO24" i="7" s="1"/>
  <c r="BBQ24" i="7" s="1"/>
  <c r="BBS24" i="7" s="1"/>
  <c r="BBU24" i="7" s="1"/>
  <c r="BBW24" i="7" s="1"/>
  <c r="BBY24" i="7" s="1"/>
  <c r="BCA24" i="7" s="1"/>
  <c r="BCC24" i="7" s="1"/>
  <c r="BCE24" i="7" s="1"/>
  <c r="BCG24" i="7" s="1"/>
  <c r="BCI24" i="7" s="1"/>
  <c r="BCK24" i="7" s="1"/>
  <c r="BCM24" i="7" s="1"/>
  <c r="BCO24" i="7" s="1"/>
  <c r="BCQ24" i="7" s="1"/>
  <c r="BCS24" i="7" s="1"/>
  <c r="BCU24" i="7" s="1"/>
  <c r="BCW24" i="7" s="1"/>
  <c r="BCY24" i="7" s="1"/>
  <c r="BDA24" i="7" s="1"/>
  <c r="BDC24" i="7" s="1"/>
  <c r="BDE24" i="7" s="1"/>
  <c r="BDG24" i="7" s="1"/>
  <c r="BDI24" i="7" s="1"/>
  <c r="BDK24" i="7" s="1"/>
  <c r="BDM24" i="7" s="1"/>
  <c r="BDO24" i="7" s="1"/>
  <c r="BDQ24" i="7" s="1"/>
  <c r="BDS24" i="7" s="1"/>
  <c r="BDU24" i="7" s="1"/>
  <c r="BDW24" i="7" s="1"/>
  <c r="BDY24" i="7" s="1"/>
  <c r="BEA24" i="7" s="1"/>
  <c r="BEC24" i="7" s="1"/>
  <c r="BEE24" i="7" s="1"/>
  <c r="BEG24" i="7" s="1"/>
  <c r="BEI24" i="7" s="1"/>
  <c r="BEK24" i="7" s="1"/>
  <c r="BEM24" i="7" s="1"/>
  <c r="BEO24" i="7" s="1"/>
  <c r="BEQ24" i="7" s="1"/>
  <c r="BES24" i="7" s="1"/>
  <c r="BEU24" i="7" s="1"/>
  <c r="BEW24" i="7" s="1"/>
  <c r="BEY24" i="7" s="1"/>
  <c r="BFA24" i="7" s="1"/>
  <c r="BFC24" i="7" s="1"/>
  <c r="BFE24" i="7" s="1"/>
  <c r="BFG24" i="7" s="1"/>
  <c r="BFI24" i="7" s="1"/>
  <c r="BFK24" i="7" s="1"/>
  <c r="BFM24" i="7" s="1"/>
  <c r="BFO24" i="7" s="1"/>
  <c r="BFQ24" i="7" s="1"/>
  <c r="BFS24" i="7" s="1"/>
  <c r="BFU24" i="7" s="1"/>
  <c r="BFW24" i="7" s="1"/>
  <c r="BFY24" i="7" s="1"/>
  <c r="BGA24" i="7" s="1"/>
  <c r="BGC24" i="7" s="1"/>
  <c r="BGE24" i="7" s="1"/>
  <c r="BGG24" i="7" s="1"/>
  <c r="BGI24" i="7" s="1"/>
  <c r="BGK24" i="7" s="1"/>
  <c r="BGM24" i="7" s="1"/>
  <c r="BGO24" i="7" s="1"/>
  <c r="BGQ24" i="7" s="1"/>
  <c r="BGS24" i="7" s="1"/>
  <c r="BGU24" i="7" s="1"/>
  <c r="BGW24" i="7" s="1"/>
  <c r="BGY24" i="7" s="1"/>
  <c r="BHA24" i="7" s="1"/>
  <c r="BHC24" i="7" s="1"/>
  <c r="BHE24" i="7" s="1"/>
  <c r="BHG24" i="7" s="1"/>
  <c r="BHI24" i="7" s="1"/>
  <c r="BHK24" i="7" s="1"/>
  <c r="BHM24" i="7" s="1"/>
  <c r="BHO24" i="7" s="1"/>
  <c r="BHQ24" i="7" s="1"/>
  <c r="BHS24" i="7" s="1"/>
  <c r="BHU24" i="7" s="1"/>
  <c r="BHW24" i="7" s="1"/>
  <c r="BHY24" i="7" s="1"/>
  <c r="BIA24" i="7" s="1"/>
  <c r="BIC24" i="7" s="1"/>
  <c r="BIE24" i="7" s="1"/>
  <c r="BIG24" i="7" s="1"/>
  <c r="BII24" i="7" s="1"/>
  <c r="BIK24" i="7" s="1"/>
  <c r="BIM24" i="7" s="1"/>
  <c r="BIO24" i="7" s="1"/>
  <c r="BIQ24" i="7" s="1"/>
  <c r="BIS24" i="7" s="1"/>
  <c r="BIU24" i="7" s="1"/>
  <c r="BIW24" i="7" s="1"/>
  <c r="BIY24" i="7" s="1"/>
  <c r="BJA24" i="7" s="1"/>
  <c r="BJC24" i="7" s="1"/>
  <c r="BJE24" i="7" s="1"/>
  <c r="BJG24" i="7" s="1"/>
  <c r="BJI24" i="7" s="1"/>
  <c r="BJK24" i="7" s="1"/>
  <c r="BJM24" i="7" s="1"/>
  <c r="BJO24" i="7" s="1"/>
  <c r="BJQ24" i="7" s="1"/>
  <c r="BJS24" i="7" s="1"/>
  <c r="BJU24" i="7" s="1"/>
  <c r="BJW24" i="7" s="1"/>
  <c r="BJY24" i="7" s="1"/>
  <c r="BKA24" i="7" s="1"/>
  <c r="BKC24" i="7" s="1"/>
  <c r="BKE24" i="7" s="1"/>
  <c r="BKG24" i="7" s="1"/>
  <c r="BKI24" i="7" s="1"/>
  <c r="BKK24" i="7" s="1"/>
  <c r="BKM24" i="7" s="1"/>
  <c r="BKO24" i="7" s="1"/>
  <c r="BKQ24" i="7" s="1"/>
  <c r="BKS24" i="7" s="1"/>
  <c r="BKU24" i="7" s="1"/>
  <c r="BKW24" i="7" s="1"/>
  <c r="BKY24" i="7" s="1"/>
  <c r="BLA24" i="7" s="1"/>
  <c r="BLC24" i="7" s="1"/>
  <c r="BLE24" i="7" s="1"/>
  <c r="BLG24" i="7" s="1"/>
  <c r="BLI24" i="7" s="1"/>
  <c r="BLK24" i="7" s="1"/>
  <c r="BLM24" i="7" s="1"/>
  <c r="BLO24" i="7" s="1"/>
  <c r="BLQ24" i="7" s="1"/>
  <c r="BLS24" i="7" s="1"/>
  <c r="BLU24" i="7" s="1"/>
  <c r="BLW24" i="7" s="1"/>
  <c r="BLY24" i="7" s="1"/>
  <c r="BMA24" i="7" s="1"/>
  <c r="BMC24" i="7" s="1"/>
  <c r="BME24" i="7" s="1"/>
  <c r="BMG24" i="7" s="1"/>
  <c r="BMI24" i="7" s="1"/>
  <c r="BMK24" i="7" s="1"/>
  <c r="BMM24" i="7" s="1"/>
  <c r="BMO24" i="7" s="1"/>
  <c r="BMQ24" i="7" s="1"/>
  <c r="BMS24" i="7" s="1"/>
  <c r="BMU24" i="7" s="1"/>
  <c r="BMW24" i="7" s="1"/>
  <c r="BMY24" i="7" s="1"/>
  <c r="BNA24" i="7" s="1"/>
  <c r="BNC24" i="7" s="1"/>
  <c r="BNE24" i="7" s="1"/>
  <c r="BNG24" i="7" s="1"/>
  <c r="BNI24" i="7" s="1"/>
  <c r="BNK24" i="7" s="1"/>
  <c r="BNM24" i="7" s="1"/>
  <c r="BNO24" i="7" s="1"/>
  <c r="BNQ24" i="7" s="1"/>
  <c r="BNS24" i="7" s="1"/>
  <c r="BNU24" i="7" s="1"/>
  <c r="BNW24" i="7" s="1"/>
  <c r="BNY24" i="7" s="1"/>
  <c r="BOA24" i="7" s="1"/>
  <c r="BOC24" i="7" s="1"/>
  <c r="BOE24" i="7" s="1"/>
  <c r="BOG24" i="7" s="1"/>
  <c r="BOI24" i="7" s="1"/>
  <c r="BOK24" i="7" s="1"/>
  <c r="BOM24" i="7" s="1"/>
  <c r="BOO24" i="7" s="1"/>
  <c r="BOQ24" i="7" s="1"/>
  <c r="BOS24" i="7" s="1"/>
  <c r="BOU24" i="7" s="1"/>
  <c r="BOW24" i="7" s="1"/>
  <c r="BOY24" i="7" s="1"/>
  <c r="BPA24" i="7" s="1"/>
  <c r="BPC24" i="7" s="1"/>
  <c r="BPE24" i="7" s="1"/>
  <c r="BPG24" i="7" s="1"/>
  <c r="BPI24" i="7" s="1"/>
  <c r="BPK24" i="7" s="1"/>
  <c r="BPM24" i="7" s="1"/>
  <c r="BPO24" i="7" s="1"/>
  <c r="BPQ24" i="7" s="1"/>
  <c r="BPS24" i="7" s="1"/>
  <c r="BPU24" i="7" s="1"/>
  <c r="BPW24" i="7" s="1"/>
  <c r="BPY24" i="7" s="1"/>
  <c r="BQA24" i="7" s="1"/>
  <c r="BQC24" i="7" s="1"/>
  <c r="BQE24" i="7" s="1"/>
  <c r="BQG24" i="7" s="1"/>
  <c r="BQI24" i="7" s="1"/>
  <c r="BQK24" i="7" s="1"/>
  <c r="BQM24" i="7" s="1"/>
  <c r="BQO24" i="7" s="1"/>
  <c r="BQQ24" i="7" s="1"/>
  <c r="BQS24" i="7" s="1"/>
  <c r="BQU24" i="7" s="1"/>
  <c r="BQW24" i="7" s="1"/>
  <c r="BQY24" i="7" s="1"/>
  <c r="BRA24" i="7" s="1"/>
  <c r="BRC24" i="7" s="1"/>
  <c r="BRE24" i="7" s="1"/>
  <c r="BRG24" i="7" s="1"/>
  <c r="BRI24" i="7" s="1"/>
  <c r="BRK24" i="7" s="1"/>
  <c r="BRM24" i="7" s="1"/>
  <c r="BRO24" i="7" s="1"/>
  <c r="BRQ24" i="7" s="1"/>
  <c r="BRS24" i="7" s="1"/>
  <c r="BRU24" i="7" s="1"/>
  <c r="BRW24" i="7" s="1"/>
  <c r="BRY24" i="7" s="1"/>
  <c r="BSA24" i="7" s="1"/>
  <c r="BSC24" i="7" s="1"/>
  <c r="BSE24" i="7" s="1"/>
  <c r="BSG24" i="7" s="1"/>
  <c r="BSI24" i="7" s="1"/>
  <c r="BSK24" i="7" s="1"/>
  <c r="BSM24" i="7" s="1"/>
  <c r="BSO24" i="7" s="1"/>
  <c r="BSQ24" i="7" s="1"/>
  <c r="BSS24" i="7" s="1"/>
  <c r="BSU24" i="7" s="1"/>
  <c r="BSW24" i="7" s="1"/>
  <c r="BSY24" i="7" s="1"/>
  <c r="BTA24" i="7" s="1"/>
  <c r="BTC24" i="7" s="1"/>
  <c r="BTE24" i="7" s="1"/>
  <c r="BTG24" i="7" s="1"/>
  <c r="BTI24" i="7" s="1"/>
  <c r="BTK24" i="7" s="1"/>
  <c r="BTM24" i="7" s="1"/>
  <c r="BTO24" i="7" s="1"/>
  <c r="BTQ24" i="7" s="1"/>
  <c r="BTS24" i="7" s="1"/>
  <c r="BTU24" i="7" s="1"/>
  <c r="BTW24" i="7" s="1"/>
  <c r="BTY24" i="7" s="1"/>
  <c r="BUA24" i="7" s="1"/>
  <c r="BUC24" i="7" s="1"/>
  <c r="BUE24" i="7" s="1"/>
  <c r="BUG24" i="7" s="1"/>
  <c r="BUI24" i="7" s="1"/>
  <c r="BUK24" i="7" s="1"/>
  <c r="BUM24" i="7" s="1"/>
  <c r="BUO24" i="7" s="1"/>
  <c r="BUQ24" i="7" s="1"/>
  <c r="BUS24" i="7" s="1"/>
  <c r="BUU24" i="7" s="1"/>
  <c r="BUW24" i="7" s="1"/>
  <c r="BUY24" i="7" s="1"/>
  <c r="BVA24" i="7" s="1"/>
  <c r="BVC24" i="7" s="1"/>
  <c r="BVE24" i="7" s="1"/>
  <c r="BVG24" i="7" s="1"/>
  <c r="BVI24" i="7" s="1"/>
  <c r="BVK24" i="7" s="1"/>
  <c r="BVM24" i="7" s="1"/>
  <c r="BVO24" i="7" s="1"/>
  <c r="BVQ24" i="7" s="1"/>
  <c r="BVS24" i="7" s="1"/>
  <c r="BVU24" i="7" s="1"/>
  <c r="BVW24" i="7" s="1"/>
  <c r="BVY24" i="7" s="1"/>
  <c r="BWA24" i="7" s="1"/>
  <c r="BWC24" i="7" s="1"/>
  <c r="BWE24" i="7" s="1"/>
  <c r="BWG24" i="7" s="1"/>
  <c r="BWI24" i="7" s="1"/>
  <c r="BWK24" i="7" s="1"/>
  <c r="BWM24" i="7" s="1"/>
  <c r="BWO24" i="7" s="1"/>
  <c r="BWQ24" i="7" s="1"/>
  <c r="BWS24" i="7" s="1"/>
  <c r="BWU24" i="7" s="1"/>
  <c r="BWW24" i="7" s="1"/>
  <c r="BWY24" i="7" s="1"/>
  <c r="BXA24" i="7" s="1"/>
  <c r="BXC24" i="7" s="1"/>
  <c r="BXE24" i="7" s="1"/>
  <c r="BXG24" i="7" s="1"/>
  <c r="BXI24" i="7" s="1"/>
  <c r="BXK24" i="7" s="1"/>
  <c r="BXM24" i="7" s="1"/>
  <c r="BXO24" i="7" s="1"/>
  <c r="BXQ24" i="7" s="1"/>
  <c r="BXS24" i="7" s="1"/>
  <c r="BXU24" i="7" s="1"/>
  <c r="BXW24" i="7" s="1"/>
  <c r="BXY24" i="7" s="1"/>
  <c r="BYA24" i="7" s="1"/>
  <c r="BYC24" i="7" s="1"/>
  <c r="BYE24" i="7" s="1"/>
  <c r="BYG24" i="7" s="1"/>
  <c r="BYI24" i="7" s="1"/>
  <c r="BYK24" i="7" s="1"/>
  <c r="BYM24" i="7" s="1"/>
  <c r="BYO24" i="7" s="1"/>
  <c r="BYQ24" i="7" s="1"/>
  <c r="BYS24" i="7" s="1"/>
  <c r="BYU24" i="7" s="1"/>
  <c r="BYW24" i="7" s="1"/>
  <c r="BYY24" i="7" s="1"/>
  <c r="BZA24" i="7" s="1"/>
  <c r="BZC24" i="7" s="1"/>
  <c r="BZE24" i="7" s="1"/>
  <c r="BZG24" i="7" s="1"/>
  <c r="BZI24" i="7" s="1"/>
  <c r="BZK24" i="7" s="1"/>
  <c r="BZM24" i="7" s="1"/>
  <c r="BZO24" i="7" s="1"/>
  <c r="BZQ24" i="7" s="1"/>
  <c r="BZS24" i="7" s="1"/>
  <c r="BZU24" i="7" s="1"/>
  <c r="BZW24" i="7" s="1"/>
  <c r="BZY24" i="7" s="1"/>
  <c r="CAA24" i="7" s="1"/>
  <c r="CAC24" i="7" s="1"/>
  <c r="CAE24" i="7" s="1"/>
  <c r="CAG24" i="7" s="1"/>
  <c r="CAI24" i="7" s="1"/>
  <c r="CAK24" i="7" s="1"/>
  <c r="CAM24" i="7" s="1"/>
  <c r="CAO24" i="7" s="1"/>
  <c r="CAQ24" i="7" s="1"/>
  <c r="CAS24" i="7" s="1"/>
  <c r="CAU24" i="7" s="1"/>
  <c r="CAW24" i="7" s="1"/>
  <c r="CAY24" i="7" s="1"/>
  <c r="CBA24" i="7" s="1"/>
  <c r="CBC24" i="7" s="1"/>
  <c r="CBE24" i="7" s="1"/>
  <c r="CBG24" i="7" s="1"/>
  <c r="CBI24" i="7" s="1"/>
  <c r="CBK24" i="7" s="1"/>
  <c r="CBM24" i="7" s="1"/>
  <c r="CBO24" i="7" s="1"/>
  <c r="CBQ24" i="7" s="1"/>
  <c r="CBS24" i="7" s="1"/>
  <c r="CBU24" i="7" s="1"/>
  <c r="CBW24" i="7" s="1"/>
  <c r="CBY24" i="7" s="1"/>
  <c r="CCA24" i="7" s="1"/>
  <c r="CCC24" i="7" s="1"/>
  <c r="CCE24" i="7" s="1"/>
  <c r="CCG24" i="7" s="1"/>
  <c r="CCI24" i="7" s="1"/>
  <c r="CCK24" i="7" s="1"/>
  <c r="CCM24" i="7" s="1"/>
  <c r="CCO24" i="7" s="1"/>
  <c r="CCQ24" i="7" s="1"/>
  <c r="CCS24" i="7" s="1"/>
  <c r="CCU24" i="7" s="1"/>
  <c r="CCW24" i="7" s="1"/>
  <c r="CCY24" i="7" s="1"/>
  <c r="CDA24" i="7" s="1"/>
  <c r="CDC24" i="7" s="1"/>
  <c r="CDE24" i="7" s="1"/>
  <c r="CDG24" i="7" s="1"/>
  <c r="CDI24" i="7" s="1"/>
  <c r="CDK24" i="7" s="1"/>
  <c r="CDM24" i="7" s="1"/>
  <c r="CDO24" i="7" s="1"/>
  <c r="CDQ24" i="7" s="1"/>
  <c r="CDS24" i="7" s="1"/>
  <c r="CDU24" i="7" s="1"/>
  <c r="CDW24" i="7" s="1"/>
  <c r="CDY24" i="7" s="1"/>
  <c r="CEA24" i="7" s="1"/>
  <c r="CEC24" i="7" s="1"/>
  <c r="CEE24" i="7" s="1"/>
  <c r="CEG24" i="7" s="1"/>
  <c r="CEI24" i="7" s="1"/>
  <c r="CEK24" i="7" s="1"/>
  <c r="CEM24" i="7" s="1"/>
  <c r="CEO24" i="7" s="1"/>
  <c r="CEQ24" i="7" s="1"/>
  <c r="CES24" i="7" s="1"/>
  <c r="CEU24" i="7" s="1"/>
  <c r="CEW24" i="7" s="1"/>
  <c r="CEY24" i="7" s="1"/>
  <c r="CFA24" i="7" s="1"/>
  <c r="CFC24" i="7" s="1"/>
  <c r="CFE24" i="7" s="1"/>
  <c r="CFG24" i="7" s="1"/>
  <c r="CFI24" i="7" s="1"/>
  <c r="CFK24" i="7" s="1"/>
  <c r="CFM24" i="7" s="1"/>
  <c r="CFO24" i="7" s="1"/>
  <c r="CFQ24" i="7" s="1"/>
  <c r="CFS24" i="7" s="1"/>
  <c r="CFU24" i="7" s="1"/>
  <c r="CFW24" i="7" s="1"/>
  <c r="CFY24" i="7" s="1"/>
  <c r="CGA24" i="7" s="1"/>
  <c r="CGC24" i="7" s="1"/>
  <c r="CGE24" i="7" s="1"/>
  <c r="CGG24" i="7" s="1"/>
  <c r="CGI24" i="7" s="1"/>
  <c r="CGK24" i="7" s="1"/>
  <c r="CGM24" i="7" s="1"/>
  <c r="CGO24" i="7" s="1"/>
  <c r="CGQ24" i="7" s="1"/>
  <c r="CGS24" i="7" s="1"/>
  <c r="CGU24" i="7" s="1"/>
  <c r="CGW24" i="7" s="1"/>
  <c r="CGY24" i="7" s="1"/>
  <c r="CHA24" i="7" s="1"/>
  <c r="CHC24" i="7" s="1"/>
  <c r="CHE24" i="7" s="1"/>
  <c r="CHG24" i="7" s="1"/>
  <c r="CHI24" i="7" s="1"/>
  <c r="CHK24" i="7" s="1"/>
  <c r="CHM24" i="7" s="1"/>
  <c r="CHO24" i="7" s="1"/>
  <c r="CHQ24" i="7" s="1"/>
  <c r="CHS24" i="7" s="1"/>
  <c r="CHU24" i="7" s="1"/>
  <c r="CHW24" i="7" s="1"/>
  <c r="CHY24" i="7" s="1"/>
  <c r="CIA24" i="7" s="1"/>
  <c r="CIC24" i="7" s="1"/>
  <c r="CIE24" i="7" s="1"/>
  <c r="CIG24" i="7" s="1"/>
  <c r="CII24" i="7" s="1"/>
  <c r="CIK24" i="7" s="1"/>
  <c r="CIM24" i="7" s="1"/>
  <c r="CIO24" i="7" s="1"/>
  <c r="CIQ24" i="7" s="1"/>
  <c r="CIS24" i="7" s="1"/>
  <c r="CIU24" i="7" s="1"/>
  <c r="CIW24" i="7" s="1"/>
  <c r="CIY24" i="7" s="1"/>
  <c r="CJA24" i="7" s="1"/>
  <c r="CJC24" i="7" s="1"/>
  <c r="CJE24" i="7" s="1"/>
  <c r="CJG24" i="7" s="1"/>
  <c r="CJI24" i="7" s="1"/>
  <c r="CJK24" i="7" s="1"/>
  <c r="CJM24" i="7" s="1"/>
  <c r="CJO24" i="7" s="1"/>
  <c r="CJQ24" i="7" s="1"/>
  <c r="CJS24" i="7" s="1"/>
  <c r="CJU24" i="7" s="1"/>
  <c r="CJW24" i="7" s="1"/>
  <c r="CJY24" i="7" s="1"/>
  <c r="CKA24" i="7" s="1"/>
  <c r="CKC24" i="7" s="1"/>
  <c r="CKE24" i="7" s="1"/>
  <c r="CKG24" i="7" s="1"/>
  <c r="CKI24" i="7" s="1"/>
  <c r="CKK24" i="7" s="1"/>
  <c r="CKM24" i="7" s="1"/>
  <c r="CKO24" i="7" s="1"/>
  <c r="CKQ24" i="7" s="1"/>
  <c r="CKS24" i="7" s="1"/>
  <c r="CKU24" i="7" s="1"/>
  <c r="CKW24" i="7" s="1"/>
  <c r="CKY24" i="7" s="1"/>
  <c r="CLA24" i="7" s="1"/>
  <c r="CLC24" i="7" s="1"/>
  <c r="CLE24" i="7" s="1"/>
  <c r="CLG24" i="7" s="1"/>
  <c r="CLI24" i="7" s="1"/>
  <c r="CLK24" i="7" s="1"/>
  <c r="CLM24" i="7" s="1"/>
  <c r="CLO24" i="7" s="1"/>
  <c r="CLQ24" i="7" s="1"/>
  <c r="CLS24" i="7" s="1"/>
  <c r="CLU24" i="7" s="1"/>
  <c r="CLW24" i="7" s="1"/>
  <c r="CLY24" i="7" s="1"/>
  <c r="CMA24" i="7" s="1"/>
  <c r="CMC24" i="7" s="1"/>
  <c r="CME24" i="7" s="1"/>
  <c r="CMG24" i="7" s="1"/>
  <c r="CMI24" i="7" s="1"/>
  <c r="CMK24" i="7" s="1"/>
  <c r="CMM24" i="7" s="1"/>
  <c r="CMO24" i="7" s="1"/>
  <c r="CMQ24" i="7" s="1"/>
  <c r="CMS24" i="7" s="1"/>
  <c r="CMU24" i="7" s="1"/>
  <c r="CMW24" i="7" s="1"/>
  <c r="CMY24" i="7" s="1"/>
  <c r="CNA24" i="7" s="1"/>
  <c r="CNC24" i="7" s="1"/>
  <c r="CNE24" i="7" s="1"/>
  <c r="CNG24" i="7" s="1"/>
  <c r="CNI24" i="7" s="1"/>
  <c r="CNK24" i="7" s="1"/>
  <c r="CNM24" i="7" s="1"/>
  <c r="CNO24" i="7" s="1"/>
  <c r="CNQ24" i="7" s="1"/>
  <c r="CNS24" i="7" s="1"/>
  <c r="CNU24" i="7" s="1"/>
  <c r="CNW24" i="7" s="1"/>
  <c r="CNY24" i="7" s="1"/>
  <c r="COA24" i="7" s="1"/>
  <c r="COC24" i="7" s="1"/>
  <c r="COE24" i="7" s="1"/>
  <c r="COG24" i="7" s="1"/>
  <c r="COI24" i="7" s="1"/>
  <c r="COK24" i="7" s="1"/>
  <c r="COM24" i="7" s="1"/>
  <c r="COO24" i="7" s="1"/>
  <c r="COQ24" i="7" s="1"/>
  <c r="COS24" i="7" s="1"/>
  <c r="COU24" i="7" s="1"/>
  <c r="COW24" i="7" s="1"/>
  <c r="COY24" i="7" s="1"/>
  <c r="CPA24" i="7" s="1"/>
  <c r="CPC24" i="7" s="1"/>
  <c r="CPE24" i="7" s="1"/>
  <c r="CPG24" i="7" s="1"/>
  <c r="CPI24" i="7" s="1"/>
  <c r="CPK24" i="7" s="1"/>
  <c r="CPM24" i="7" s="1"/>
  <c r="CPO24" i="7" s="1"/>
  <c r="CPQ24" i="7" s="1"/>
  <c r="CPS24" i="7" s="1"/>
  <c r="CPU24" i="7" s="1"/>
  <c r="CPW24" i="7" s="1"/>
  <c r="CPY24" i="7" s="1"/>
  <c r="CQA24" i="7" s="1"/>
  <c r="CQC24" i="7" s="1"/>
  <c r="CQE24" i="7" s="1"/>
  <c r="CQG24" i="7" s="1"/>
  <c r="CQI24" i="7" s="1"/>
  <c r="CQK24" i="7" s="1"/>
  <c r="CQM24" i="7" s="1"/>
  <c r="CQO24" i="7" s="1"/>
  <c r="CQQ24" i="7" s="1"/>
  <c r="CQS24" i="7" s="1"/>
  <c r="CQU24" i="7" s="1"/>
  <c r="CQW24" i="7" s="1"/>
  <c r="CQY24" i="7" s="1"/>
  <c r="CRA24" i="7" s="1"/>
  <c r="CRC24" i="7" s="1"/>
  <c r="CRE24" i="7" s="1"/>
  <c r="CRG24" i="7" s="1"/>
  <c r="CRI24" i="7" s="1"/>
  <c r="CRK24" i="7" s="1"/>
  <c r="CRM24" i="7" s="1"/>
  <c r="CRO24" i="7" s="1"/>
  <c r="CRQ24" i="7" s="1"/>
  <c r="CRS24" i="7" s="1"/>
  <c r="CRU24" i="7" s="1"/>
  <c r="CRW24" i="7" s="1"/>
  <c r="CRY24" i="7" s="1"/>
  <c r="CSA24" i="7" s="1"/>
  <c r="CSC24" i="7" s="1"/>
  <c r="CSE24" i="7" s="1"/>
  <c r="CSG24" i="7" s="1"/>
  <c r="CSI24" i="7" s="1"/>
  <c r="CSK24" i="7" s="1"/>
  <c r="CSM24" i="7" s="1"/>
  <c r="CSO24" i="7" s="1"/>
  <c r="CSQ24" i="7" s="1"/>
  <c r="CSS24" i="7" s="1"/>
  <c r="CSU24" i="7" s="1"/>
  <c r="CSW24" i="7" s="1"/>
  <c r="CSY24" i="7" s="1"/>
  <c r="CTA24" i="7" s="1"/>
  <c r="CTC24" i="7" s="1"/>
  <c r="CTE24" i="7" s="1"/>
  <c r="CTG24" i="7" s="1"/>
  <c r="CTI24" i="7" s="1"/>
  <c r="CTK24" i="7" s="1"/>
  <c r="CTM24" i="7" s="1"/>
  <c r="CTO24" i="7" s="1"/>
  <c r="CTQ24" i="7" s="1"/>
  <c r="CTS24" i="7" s="1"/>
  <c r="CTU24" i="7" s="1"/>
  <c r="CTW24" i="7" s="1"/>
  <c r="CTY24" i="7" s="1"/>
  <c r="CUA24" i="7" s="1"/>
  <c r="CUC24" i="7" s="1"/>
  <c r="CUE24" i="7" s="1"/>
  <c r="CUG24" i="7" s="1"/>
  <c r="CUI24" i="7" s="1"/>
  <c r="CUK24" i="7" s="1"/>
  <c r="CUM24" i="7" s="1"/>
  <c r="CUO24" i="7" s="1"/>
  <c r="CUQ24" i="7" s="1"/>
  <c r="CUS24" i="7" s="1"/>
  <c r="CUU24" i="7" s="1"/>
  <c r="CUW24" i="7" s="1"/>
  <c r="CUY24" i="7" s="1"/>
  <c r="CVA24" i="7" s="1"/>
  <c r="CVC24" i="7" s="1"/>
  <c r="CVE24" i="7" s="1"/>
  <c r="CVG24" i="7" s="1"/>
  <c r="CVI24" i="7" s="1"/>
  <c r="CVK24" i="7" s="1"/>
  <c r="CVM24" i="7" s="1"/>
  <c r="CVO24" i="7" s="1"/>
  <c r="CVQ24" i="7" s="1"/>
  <c r="CVS24" i="7" s="1"/>
  <c r="CVU24" i="7" s="1"/>
  <c r="CVW24" i="7" s="1"/>
  <c r="CVY24" i="7" s="1"/>
  <c r="CWA24" i="7" s="1"/>
  <c r="CWC24" i="7" s="1"/>
  <c r="CWE24" i="7" s="1"/>
  <c r="CWG24" i="7" s="1"/>
  <c r="CWI24" i="7" s="1"/>
  <c r="CWK24" i="7" s="1"/>
  <c r="CWM24" i="7" s="1"/>
  <c r="CWO24" i="7" s="1"/>
  <c r="CWQ24" i="7" s="1"/>
  <c r="CWS24" i="7" s="1"/>
  <c r="CWU24" i="7" s="1"/>
  <c r="CWW24" i="7" s="1"/>
  <c r="CWY24" i="7" s="1"/>
  <c r="CXA24" i="7" s="1"/>
  <c r="CXC24" i="7" s="1"/>
  <c r="CXE24" i="7" s="1"/>
  <c r="CXG24" i="7" s="1"/>
  <c r="CXI24" i="7" s="1"/>
  <c r="CXK24" i="7" s="1"/>
  <c r="CXM24" i="7" s="1"/>
  <c r="CXO24" i="7" s="1"/>
  <c r="CXQ24" i="7" s="1"/>
  <c r="CXS24" i="7" s="1"/>
  <c r="CXU24" i="7" s="1"/>
  <c r="CXW24" i="7" s="1"/>
  <c r="CXY24" i="7" s="1"/>
  <c r="CYA24" i="7" s="1"/>
  <c r="CYC24" i="7" s="1"/>
  <c r="CYE24" i="7" s="1"/>
  <c r="CYG24" i="7" s="1"/>
  <c r="CYI24" i="7" s="1"/>
  <c r="CYK24" i="7" s="1"/>
  <c r="CYM24" i="7" s="1"/>
  <c r="CYO24" i="7" s="1"/>
  <c r="CYQ24" i="7" s="1"/>
  <c r="CYS24" i="7" s="1"/>
  <c r="CYU24" i="7" s="1"/>
  <c r="CYW24" i="7" s="1"/>
  <c r="CYY24" i="7" s="1"/>
  <c r="CZA24" i="7" s="1"/>
  <c r="CZC24" i="7" s="1"/>
  <c r="CZE24" i="7" s="1"/>
  <c r="CZG24" i="7" s="1"/>
  <c r="CZI24" i="7" s="1"/>
  <c r="CZK24" i="7" s="1"/>
  <c r="CZM24" i="7" s="1"/>
  <c r="CZO24" i="7" s="1"/>
  <c r="CZQ24" i="7" s="1"/>
  <c r="CZS24" i="7" s="1"/>
  <c r="CZU24" i="7" s="1"/>
  <c r="CZW24" i="7" s="1"/>
  <c r="CZY24" i="7" s="1"/>
  <c r="DAA24" i="7" s="1"/>
  <c r="DAC24" i="7" s="1"/>
  <c r="DAE24" i="7" s="1"/>
  <c r="DAG24" i="7" s="1"/>
  <c r="DAI24" i="7" s="1"/>
  <c r="DAK24" i="7" s="1"/>
  <c r="DAM24" i="7" s="1"/>
  <c r="DAO24" i="7" s="1"/>
  <c r="DAQ24" i="7" s="1"/>
  <c r="DAS24" i="7" s="1"/>
  <c r="DAU24" i="7" s="1"/>
  <c r="DAW24" i="7" s="1"/>
  <c r="DAY24" i="7" s="1"/>
  <c r="DBA24" i="7" s="1"/>
  <c r="DBC24" i="7" s="1"/>
  <c r="DBE24" i="7" s="1"/>
  <c r="DBG24" i="7" s="1"/>
  <c r="DBI24" i="7" s="1"/>
  <c r="DBK24" i="7" s="1"/>
  <c r="DBM24" i="7" s="1"/>
  <c r="DBO24" i="7" s="1"/>
  <c r="DBQ24" i="7" s="1"/>
  <c r="DBS24" i="7" s="1"/>
  <c r="DBU24" i="7" s="1"/>
  <c r="DBW24" i="7" s="1"/>
  <c r="DBY24" i="7" s="1"/>
  <c r="DCA24" i="7" s="1"/>
  <c r="DCC24" i="7" s="1"/>
  <c r="DCE24" i="7" s="1"/>
  <c r="DCG24" i="7" s="1"/>
  <c r="DCI24" i="7" s="1"/>
  <c r="DCK24" i="7" s="1"/>
  <c r="DCM24" i="7" s="1"/>
  <c r="DCO24" i="7" s="1"/>
  <c r="DCQ24" i="7" s="1"/>
  <c r="DCS24" i="7" s="1"/>
  <c r="DCU24" i="7" s="1"/>
  <c r="DCW24" i="7" s="1"/>
  <c r="DCY24" i="7" s="1"/>
  <c r="DDA24" i="7" s="1"/>
  <c r="DDC24" i="7" s="1"/>
  <c r="DDE24" i="7" s="1"/>
  <c r="DDG24" i="7" s="1"/>
  <c r="DDI24" i="7" s="1"/>
  <c r="DDK24" i="7" s="1"/>
  <c r="DDM24" i="7" s="1"/>
  <c r="DDO24" i="7" s="1"/>
  <c r="DDQ24" i="7" s="1"/>
  <c r="DDS24" i="7" s="1"/>
  <c r="DDU24" i="7" s="1"/>
  <c r="DDW24" i="7" s="1"/>
  <c r="DDY24" i="7" s="1"/>
  <c r="DEA24" i="7" s="1"/>
  <c r="DEC24" i="7" s="1"/>
  <c r="DEE24" i="7" s="1"/>
  <c r="DEG24" i="7" s="1"/>
  <c r="DEI24" i="7" s="1"/>
  <c r="DEK24" i="7" s="1"/>
  <c r="DEM24" i="7" s="1"/>
  <c r="DEO24" i="7" s="1"/>
  <c r="DEQ24" i="7" s="1"/>
  <c r="DES24" i="7" s="1"/>
  <c r="DEU24" i="7" s="1"/>
  <c r="DEW24" i="7" s="1"/>
  <c r="DEY24" i="7" s="1"/>
  <c r="DFA24" i="7" s="1"/>
  <c r="DFC24" i="7" s="1"/>
  <c r="DFE24" i="7" s="1"/>
  <c r="DFG24" i="7" s="1"/>
  <c r="DFI24" i="7" s="1"/>
  <c r="DFK24" i="7" s="1"/>
  <c r="DFM24" i="7" s="1"/>
  <c r="DFO24" i="7" s="1"/>
  <c r="DFQ24" i="7" s="1"/>
  <c r="DFS24" i="7" s="1"/>
  <c r="DFU24" i="7" s="1"/>
  <c r="DFW24" i="7" s="1"/>
  <c r="DFY24" i="7" s="1"/>
  <c r="DGA24" i="7" s="1"/>
  <c r="DGC24" i="7" s="1"/>
  <c r="DGE24" i="7" s="1"/>
  <c r="DGG24" i="7" s="1"/>
  <c r="DGI24" i="7" s="1"/>
  <c r="DGK24" i="7" s="1"/>
  <c r="DGM24" i="7" s="1"/>
  <c r="DGO24" i="7" s="1"/>
  <c r="DGQ24" i="7" s="1"/>
  <c r="DGS24" i="7" s="1"/>
  <c r="DGU24" i="7" s="1"/>
  <c r="DGW24" i="7" s="1"/>
  <c r="DGY24" i="7" s="1"/>
  <c r="DHA24" i="7" s="1"/>
  <c r="DHC24" i="7" s="1"/>
  <c r="DHE24" i="7" s="1"/>
  <c r="DHG24" i="7" s="1"/>
  <c r="DHI24" i="7" s="1"/>
  <c r="DHK24" i="7" s="1"/>
  <c r="DHM24" i="7" s="1"/>
  <c r="DHO24" i="7" s="1"/>
  <c r="DHQ24" i="7" s="1"/>
  <c r="DHS24" i="7" s="1"/>
  <c r="DHU24" i="7" s="1"/>
  <c r="DHW24" i="7" s="1"/>
  <c r="DHY24" i="7" s="1"/>
  <c r="DIA24" i="7" s="1"/>
  <c r="DIC24" i="7" s="1"/>
  <c r="DIE24" i="7" s="1"/>
  <c r="DIG24" i="7" s="1"/>
  <c r="DII24" i="7" s="1"/>
  <c r="DIK24" i="7" s="1"/>
  <c r="DIM24" i="7" s="1"/>
  <c r="DIO24" i="7" s="1"/>
  <c r="DIQ24" i="7" s="1"/>
  <c r="DIS24" i="7" s="1"/>
  <c r="DIU24" i="7" s="1"/>
  <c r="DIW24" i="7" s="1"/>
  <c r="DIY24" i="7" s="1"/>
  <c r="DJA24" i="7" s="1"/>
  <c r="DJC24" i="7" s="1"/>
  <c r="DJE24" i="7" s="1"/>
  <c r="DJG24" i="7" s="1"/>
  <c r="DJI24" i="7" s="1"/>
  <c r="DJK24" i="7" s="1"/>
  <c r="DJM24" i="7" s="1"/>
  <c r="DJO24" i="7" s="1"/>
  <c r="DJQ24" i="7" s="1"/>
  <c r="DJS24" i="7" s="1"/>
  <c r="DJU24" i="7" s="1"/>
  <c r="DJW24" i="7" s="1"/>
  <c r="DJY24" i="7" s="1"/>
  <c r="DKA24" i="7" s="1"/>
  <c r="DKC24" i="7" s="1"/>
  <c r="DKE24" i="7" s="1"/>
  <c r="DKG24" i="7" s="1"/>
  <c r="DKI24" i="7" s="1"/>
  <c r="DKK24" i="7" s="1"/>
  <c r="DKM24" i="7" s="1"/>
  <c r="DKO24" i="7" s="1"/>
  <c r="DKQ24" i="7" s="1"/>
  <c r="DKS24" i="7" s="1"/>
  <c r="DKU24" i="7" s="1"/>
  <c r="DKW24" i="7" s="1"/>
  <c r="DKY24" i="7" s="1"/>
  <c r="DLA24" i="7" s="1"/>
  <c r="DLC24" i="7" s="1"/>
  <c r="DLE24" i="7" s="1"/>
  <c r="DLG24" i="7" s="1"/>
  <c r="DLI24" i="7" s="1"/>
  <c r="DLK24" i="7" s="1"/>
  <c r="DLM24" i="7" s="1"/>
  <c r="DLO24" i="7" s="1"/>
  <c r="DLQ24" i="7" s="1"/>
  <c r="DLS24" i="7" s="1"/>
  <c r="DLU24" i="7" s="1"/>
  <c r="DLW24" i="7" s="1"/>
  <c r="DLY24" i="7" s="1"/>
  <c r="DMA24" i="7" s="1"/>
  <c r="DMC24" i="7" s="1"/>
  <c r="DME24" i="7" s="1"/>
  <c r="DMG24" i="7" s="1"/>
  <c r="DMI24" i="7" s="1"/>
  <c r="DMK24" i="7" s="1"/>
  <c r="DMM24" i="7" s="1"/>
  <c r="DMO24" i="7" s="1"/>
  <c r="DMQ24" i="7" s="1"/>
  <c r="DMS24" i="7" s="1"/>
  <c r="DMU24" i="7" s="1"/>
  <c r="DMW24" i="7" s="1"/>
  <c r="DMY24" i="7" s="1"/>
  <c r="DNA24" i="7" s="1"/>
  <c r="DNC24" i="7" s="1"/>
  <c r="DNE24" i="7" s="1"/>
  <c r="DNG24" i="7" s="1"/>
  <c r="DNI24" i="7" s="1"/>
  <c r="DNK24" i="7" s="1"/>
  <c r="DNM24" i="7" s="1"/>
  <c r="DNO24" i="7" s="1"/>
  <c r="DNQ24" i="7" s="1"/>
  <c r="DNS24" i="7" s="1"/>
  <c r="DNU24" i="7" s="1"/>
  <c r="DNW24" i="7" s="1"/>
  <c r="DNY24" i="7" s="1"/>
  <c r="DOA24" i="7" s="1"/>
  <c r="DOC24" i="7" s="1"/>
  <c r="DOE24" i="7" s="1"/>
  <c r="DOG24" i="7" s="1"/>
  <c r="DOI24" i="7" s="1"/>
  <c r="DOK24" i="7" s="1"/>
  <c r="DOM24" i="7" s="1"/>
  <c r="DOO24" i="7" s="1"/>
  <c r="DOQ24" i="7" s="1"/>
  <c r="DOS24" i="7" s="1"/>
  <c r="DOU24" i="7" s="1"/>
  <c r="DOW24" i="7" s="1"/>
  <c r="DOY24" i="7" s="1"/>
  <c r="DPA24" i="7" s="1"/>
  <c r="DPC24" i="7" s="1"/>
  <c r="DPE24" i="7" s="1"/>
  <c r="DPG24" i="7" s="1"/>
  <c r="DPI24" i="7" s="1"/>
  <c r="DPK24" i="7" s="1"/>
  <c r="DPM24" i="7" s="1"/>
  <c r="DPO24" i="7" s="1"/>
  <c r="DPQ24" i="7" s="1"/>
  <c r="DPS24" i="7" s="1"/>
  <c r="DPU24" i="7" s="1"/>
  <c r="DPW24" i="7" s="1"/>
  <c r="DPY24" i="7" s="1"/>
  <c r="DQA24" i="7" s="1"/>
  <c r="DQC24" i="7" s="1"/>
  <c r="DQE24" i="7" s="1"/>
  <c r="DQG24" i="7" s="1"/>
  <c r="DQI24" i="7" s="1"/>
  <c r="DQK24" i="7" s="1"/>
  <c r="DQM24" i="7" s="1"/>
  <c r="DQO24" i="7" s="1"/>
  <c r="DQQ24" i="7" s="1"/>
  <c r="DQS24" i="7" s="1"/>
  <c r="DQU24" i="7" s="1"/>
  <c r="DQW24" i="7" s="1"/>
  <c r="DQY24" i="7" s="1"/>
  <c r="DRA24" i="7" s="1"/>
  <c r="DRC24" i="7" s="1"/>
  <c r="DRE24" i="7" s="1"/>
  <c r="DRG24" i="7" s="1"/>
  <c r="DRI24" i="7" s="1"/>
  <c r="DRK24" i="7" s="1"/>
  <c r="DRM24" i="7" s="1"/>
  <c r="DRO24" i="7" s="1"/>
  <c r="DRQ24" i="7" s="1"/>
  <c r="DRS24" i="7" s="1"/>
  <c r="DRU24" i="7" s="1"/>
  <c r="DRW24" i="7" s="1"/>
  <c r="DRY24" i="7" s="1"/>
  <c r="DSA24" i="7" s="1"/>
  <c r="DSC24" i="7" s="1"/>
  <c r="DSE24" i="7" s="1"/>
  <c r="DSG24" i="7" s="1"/>
  <c r="DSI24" i="7" s="1"/>
  <c r="DSK24" i="7" s="1"/>
  <c r="DSM24" i="7" s="1"/>
  <c r="DSO24" i="7" s="1"/>
  <c r="DSQ24" i="7" s="1"/>
  <c r="DSS24" i="7" s="1"/>
  <c r="DSU24" i="7" s="1"/>
  <c r="DSW24" i="7" s="1"/>
  <c r="DSY24" i="7" s="1"/>
  <c r="DTA24" i="7" s="1"/>
  <c r="DTC24" i="7" s="1"/>
  <c r="DTE24" i="7" s="1"/>
  <c r="DTG24" i="7" s="1"/>
  <c r="DTI24" i="7" s="1"/>
  <c r="DTK24" i="7" s="1"/>
  <c r="DTM24" i="7" s="1"/>
  <c r="DTO24" i="7" s="1"/>
  <c r="DTQ24" i="7" s="1"/>
  <c r="DTS24" i="7" s="1"/>
  <c r="DTU24" i="7" s="1"/>
  <c r="DTW24" i="7" s="1"/>
  <c r="DTY24" i="7" s="1"/>
  <c r="DUA24" i="7" s="1"/>
  <c r="DUC24" i="7" s="1"/>
  <c r="DUE24" i="7" s="1"/>
  <c r="DUG24" i="7" s="1"/>
  <c r="DUI24" i="7" s="1"/>
  <c r="DUK24" i="7" s="1"/>
  <c r="DUM24" i="7" s="1"/>
  <c r="DUO24" i="7" s="1"/>
  <c r="DUQ24" i="7" s="1"/>
  <c r="DUS24" i="7" s="1"/>
  <c r="DUU24" i="7" s="1"/>
  <c r="DUW24" i="7" s="1"/>
  <c r="DUY24" i="7" s="1"/>
  <c r="DVA24" i="7" s="1"/>
  <c r="DVC24" i="7" s="1"/>
  <c r="DVE24" i="7" s="1"/>
  <c r="DVG24" i="7" s="1"/>
  <c r="DVI24" i="7" s="1"/>
  <c r="DVK24" i="7" s="1"/>
  <c r="DVM24" i="7" s="1"/>
  <c r="DVO24" i="7" s="1"/>
  <c r="DVQ24" i="7" s="1"/>
  <c r="DVS24" i="7" s="1"/>
  <c r="DVU24" i="7" s="1"/>
  <c r="DVW24" i="7" s="1"/>
  <c r="DVY24" i="7" s="1"/>
  <c r="DWA24" i="7" s="1"/>
  <c r="DWC24" i="7" s="1"/>
  <c r="DWE24" i="7" s="1"/>
  <c r="DWG24" i="7" s="1"/>
  <c r="DWI24" i="7" s="1"/>
  <c r="DWK24" i="7" s="1"/>
  <c r="DWM24" i="7" s="1"/>
  <c r="DWO24" i="7" s="1"/>
  <c r="DWQ24" i="7" s="1"/>
  <c r="DWS24" i="7" s="1"/>
  <c r="DWU24" i="7" s="1"/>
  <c r="DWW24" i="7" s="1"/>
  <c r="DWY24" i="7" s="1"/>
  <c r="DXA24" i="7" s="1"/>
  <c r="DXC24" i="7" s="1"/>
  <c r="DXE24" i="7" s="1"/>
  <c r="DXG24" i="7" s="1"/>
  <c r="DXI24" i="7" s="1"/>
  <c r="DXK24" i="7" s="1"/>
  <c r="DXM24" i="7" s="1"/>
  <c r="DXO24" i="7" s="1"/>
  <c r="DXQ24" i="7" s="1"/>
  <c r="DXS24" i="7" s="1"/>
  <c r="DXU24" i="7" s="1"/>
  <c r="DXW24" i="7" s="1"/>
  <c r="DXY24" i="7" s="1"/>
  <c r="DYA24" i="7" s="1"/>
  <c r="DYC24" i="7" s="1"/>
  <c r="DYE24" i="7" s="1"/>
  <c r="DYG24" i="7" s="1"/>
  <c r="DYI24" i="7" s="1"/>
  <c r="DYK24" i="7" s="1"/>
  <c r="DYM24" i="7" s="1"/>
  <c r="DYO24" i="7" s="1"/>
  <c r="DYQ24" i="7" s="1"/>
  <c r="DYS24" i="7" s="1"/>
  <c r="DYU24" i="7" s="1"/>
  <c r="DYW24" i="7" s="1"/>
  <c r="DYY24" i="7" s="1"/>
  <c r="DZA24" i="7" s="1"/>
  <c r="DZC24" i="7" s="1"/>
  <c r="DZE24" i="7" s="1"/>
  <c r="DZG24" i="7" s="1"/>
  <c r="DZI24" i="7" s="1"/>
  <c r="DZK24" i="7" s="1"/>
  <c r="DZM24" i="7" s="1"/>
  <c r="DZO24" i="7" s="1"/>
  <c r="DZQ24" i="7" s="1"/>
  <c r="DZS24" i="7" s="1"/>
  <c r="DZU24" i="7" s="1"/>
  <c r="DZW24" i="7" s="1"/>
  <c r="DZY24" i="7" s="1"/>
  <c r="EAA24" i="7" s="1"/>
  <c r="EAC24" i="7" s="1"/>
  <c r="EAE24" i="7" s="1"/>
  <c r="EAG24" i="7" s="1"/>
  <c r="EAI24" i="7" s="1"/>
  <c r="EAK24" i="7" s="1"/>
  <c r="EAM24" i="7" s="1"/>
  <c r="EAO24" i="7" s="1"/>
  <c r="EAQ24" i="7" s="1"/>
  <c r="EAS24" i="7" s="1"/>
  <c r="EAU24" i="7" s="1"/>
  <c r="EAW24" i="7" s="1"/>
  <c r="EAY24" i="7" s="1"/>
  <c r="EBA24" i="7" s="1"/>
  <c r="EBC24" i="7" s="1"/>
  <c r="EBE24" i="7" s="1"/>
  <c r="EBG24" i="7" s="1"/>
  <c r="EBI24" i="7" s="1"/>
  <c r="EBK24" i="7" s="1"/>
  <c r="EBM24" i="7" s="1"/>
  <c r="EBO24" i="7" s="1"/>
  <c r="EBQ24" i="7" s="1"/>
  <c r="EBS24" i="7" s="1"/>
  <c r="EBU24" i="7" s="1"/>
  <c r="EBW24" i="7" s="1"/>
  <c r="EBY24" i="7" s="1"/>
  <c r="ECA24" i="7" s="1"/>
  <c r="ECC24" i="7" s="1"/>
  <c r="ECE24" i="7" s="1"/>
  <c r="ECG24" i="7" s="1"/>
  <c r="ECI24" i="7" s="1"/>
  <c r="ECK24" i="7" s="1"/>
  <c r="ECM24" i="7" s="1"/>
  <c r="ECO24" i="7" s="1"/>
  <c r="ECQ24" i="7" s="1"/>
  <c r="ECS24" i="7" s="1"/>
  <c r="ECU24" i="7" s="1"/>
  <c r="ECW24" i="7" s="1"/>
  <c r="ECY24" i="7" s="1"/>
  <c r="EDA24" i="7" s="1"/>
  <c r="EDC24" i="7" s="1"/>
  <c r="EDE24" i="7" s="1"/>
  <c r="EDG24" i="7" s="1"/>
  <c r="EDI24" i="7" s="1"/>
  <c r="EDK24" i="7" s="1"/>
  <c r="EDM24" i="7" s="1"/>
  <c r="EDO24" i="7" s="1"/>
  <c r="EDQ24" i="7" s="1"/>
  <c r="EDS24" i="7" s="1"/>
  <c r="EDU24" i="7" s="1"/>
  <c r="EDW24" i="7" s="1"/>
  <c r="EDY24" i="7" s="1"/>
  <c r="EEA24" i="7" s="1"/>
  <c r="EEC24" i="7" s="1"/>
  <c r="EEE24" i="7" s="1"/>
  <c r="EEG24" i="7" s="1"/>
  <c r="EEI24" i="7" s="1"/>
  <c r="EEK24" i="7" s="1"/>
  <c r="EEM24" i="7" s="1"/>
  <c r="EEO24" i="7" s="1"/>
  <c r="EEQ24" i="7" s="1"/>
  <c r="EES24" i="7" s="1"/>
  <c r="EEU24" i="7" s="1"/>
  <c r="EEW24" i="7" s="1"/>
  <c r="EEY24" i="7" s="1"/>
  <c r="EFA24" i="7" s="1"/>
  <c r="EFC24" i="7" s="1"/>
  <c r="EFE24" i="7" s="1"/>
  <c r="EFG24" i="7" s="1"/>
  <c r="EFI24" i="7" s="1"/>
  <c r="EFK24" i="7" s="1"/>
  <c r="EFM24" i="7" s="1"/>
  <c r="EFO24" i="7" s="1"/>
  <c r="EFQ24" i="7" s="1"/>
  <c r="EFS24" i="7" s="1"/>
  <c r="EFU24" i="7" s="1"/>
  <c r="EFW24" i="7" s="1"/>
  <c r="EFY24" i="7" s="1"/>
  <c r="EGA24" i="7" s="1"/>
  <c r="EGC24" i="7" s="1"/>
  <c r="EGE24" i="7" s="1"/>
  <c r="EGG24" i="7" s="1"/>
  <c r="EGI24" i="7" s="1"/>
  <c r="EGK24" i="7" s="1"/>
  <c r="EGM24" i="7" s="1"/>
  <c r="EGO24" i="7" s="1"/>
  <c r="EGQ24" i="7" s="1"/>
  <c r="EGS24" i="7" s="1"/>
  <c r="EGU24" i="7" s="1"/>
  <c r="EGW24" i="7" s="1"/>
  <c r="EGY24" i="7" s="1"/>
  <c r="EHA24" i="7" s="1"/>
  <c r="EHC24" i="7" s="1"/>
  <c r="EHE24" i="7" s="1"/>
  <c r="EHG24" i="7" s="1"/>
  <c r="EHI24" i="7" s="1"/>
  <c r="EHK24" i="7" s="1"/>
  <c r="EHM24" i="7" s="1"/>
  <c r="EHO24" i="7" s="1"/>
  <c r="EHQ24" i="7" s="1"/>
  <c r="EHS24" i="7" s="1"/>
  <c r="EHU24" i="7" s="1"/>
  <c r="EHW24" i="7" s="1"/>
  <c r="EHY24" i="7" s="1"/>
  <c r="EIA24" i="7" s="1"/>
  <c r="EIC24" i="7" s="1"/>
  <c r="EIE24" i="7" s="1"/>
  <c r="EIG24" i="7" s="1"/>
  <c r="EII24" i="7" s="1"/>
  <c r="EIK24" i="7" s="1"/>
  <c r="EIM24" i="7" s="1"/>
  <c r="EIO24" i="7" s="1"/>
  <c r="EIQ24" i="7" s="1"/>
  <c r="EIS24" i="7" s="1"/>
  <c r="EIU24" i="7" s="1"/>
  <c r="EIW24" i="7" s="1"/>
  <c r="EIY24" i="7" s="1"/>
  <c r="EJA24" i="7" s="1"/>
  <c r="EJC24" i="7" s="1"/>
  <c r="EJE24" i="7" s="1"/>
  <c r="EJG24" i="7" s="1"/>
  <c r="EJI24" i="7" s="1"/>
  <c r="EJK24" i="7" s="1"/>
  <c r="EJM24" i="7" s="1"/>
  <c r="EJO24" i="7" s="1"/>
  <c r="EJQ24" i="7" s="1"/>
  <c r="EJS24" i="7" s="1"/>
  <c r="EJU24" i="7" s="1"/>
  <c r="EJW24" i="7" s="1"/>
  <c r="EJY24" i="7" s="1"/>
  <c r="EKA24" i="7" s="1"/>
  <c r="EKC24" i="7" s="1"/>
  <c r="EKE24" i="7" s="1"/>
  <c r="EKG24" i="7" s="1"/>
  <c r="EKI24" i="7" s="1"/>
  <c r="EKK24" i="7" s="1"/>
  <c r="EKM24" i="7" s="1"/>
  <c r="EKO24" i="7" s="1"/>
  <c r="EKQ24" i="7" s="1"/>
  <c r="EKS24" i="7" s="1"/>
  <c r="EKU24" i="7" s="1"/>
  <c r="EKW24" i="7" s="1"/>
  <c r="EKY24" i="7" s="1"/>
  <c r="ELA24" i="7" s="1"/>
  <c r="ELC24" i="7" s="1"/>
  <c r="ELE24" i="7" s="1"/>
  <c r="ELG24" i="7" s="1"/>
  <c r="ELI24" i="7" s="1"/>
  <c r="ELK24" i="7" s="1"/>
  <c r="ELM24" i="7" s="1"/>
  <c r="ELO24" i="7" s="1"/>
  <c r="ELQ24" i="7" s="1"/>
  <c r="ELS24" i="7" s="1"/>
  <c r="ELU24" i="7" s="1"/>
  <c r="ELW24" i="7" s="1"/>
  <c r="ELY24" i="7" s="1"/>
  <c r="EMA24" i="7" s="1"/>
  <c r="EMC24" i="7" s="1"/>
  <c r="EME24" i="7" s="1"/>
  <c r="EMG24" i="7" s="1"/>
  <c r="EMI24" i="7" s="1"/>
  <c r="EMK24" i="7" s="1"/>
  <c r="EMM24" i="7" s="1"/>
  <c r="EMO24" i="7" s="1"/>
  <c r="EMQ24" i="7" s="1"/>
  <c r="EMS24" i="7" s="1"/>
  <c r="EMU24" i="7" s="1"/>
  <c r="EMW24" i="7" s="1"/>
  <c r="EMY24" i="7" s="1"/>
  <c r="ENA24" i="7" s="1"/>
  <c r="ENC24" i="7" s="1"/>
  <c r="ENE24" i="7" s="1"/>
  <c r="ENG24" i="7" s="1"/>
  <c r="ENI24" i="7" s="1"/>
  <c r="ENK24" i="7" s="1"/>
  <c r="ENM24" i="7" s="1"/>
  <c r="ENO24" i="7" s="1"/>
  <c r="ENQ24" i="7" s="1"/>
  <c r="ENS24" i="7" s="1"/>
  <c r="ENU24" i="7" s="1"/>
  <c r="ENW24" i="7" s="1"/>
  <c r="ENY24" i="7" s="1"/>
  <c r="EOA24" i="7" s="1"/>
  <c r="EOC24" i="7" s="1"/>
  <c r="EOE24" i="7" s="1"/>
  <c r="EOG24" i="7" s="1"/>
  <c r="EOI24" i="7" s="1"/>
  <c r="EOK24" i="7" s="1"/>
  <c r="EOM24" i="7" s="1"/>
  <c r="EOO24" i="7" s="1"/>
  <c r="EOQ24" i="7" s="1"/>
  <c r="EOS24" i="7" s="1"/>
  <c r="EOU24" i="7" s="1"/>
  <c r="EOW24" i="7" s="1"/>
  <c r="EOY24" i="7" s="1"/>
  <c r="EPA24" i="7" s="1"/>
  <c r="EPC24" i="7" s="1"/>
  <c r="EPE24" i="7" s="1"/>
  <c r="EPG24" i="7" s="1"/>
  <c r="EPI24" i="7" s="1"/>
  <c r="EPK24" i="7" s="1"/>
  <c r="EPM24" i="7" s="1"/>
  <c r="EPO24" i="7" s="1"/>
  <c r="EPQ24" i="7" s="1"/>
  <c r="EPS24" i="7" s="1"/>
  <c r="EPU24" i="7" s="1"/>
  <c r="EPW24" i="7" s="1"/>
  <c r="EPY24" i="7" s="1"/>
  <c r="EQA24" i="7" s="1"/>
  <c r="EQC24" i="7" s="1"/>
  <c r="EQE24" i="7" s="1"/>
  <c r="EQG24" i="7" s="1"/>
  <c r="EQI24" i="7" s="1"/>
  <c r="EQK24" i="7" s="1"/>
  <c r="EQM24" i="7" s="1"/>
  <c r="EQO24" i="7" s="1"/>
  <c r="EQQ24" i="7" s="1"/>
  <c r="EQS24" i="7" s="1"/>
  <c r="EQU24" i="7" s="1"/>
  <c r="EQW24" i="7" s="1"/>
  <c r="EQY24" i="7" s="1"/>
  <c r="ERA24" i="7" s="1"/>
  <c r="ERC24" i="7" s="1"/>
  <c r="ERE24" i="7" s="1"/>
  <c r="ERG24" i="7" s="1"/>
  <c r="ERI24" i="7" s="1"/>
  <c r="ERK24" i="7" s="1"/>
  <c r="ERM24" i="7" s="1"/>
  <c r="ERO24" i="7" s="1"/>
  <c r="ERQ24" i="7" s="1"/>
  <c r="ERS24" i="7" s="1"/>
  <c r="ERU24" i="7" s="1"/>
  <c r="ERW24" i="7" s="1"/>
  <c r="ERY24" i="7" s="1"/>
  <c r="ESA24" i="7" s="1"/>
  <c r="ESC24" i="7" s="1"/>
  <c r="ESE24" i="7" s="1"/>
  <c r="ESG24" i="7" s="1"/>
  <c r="ESI24" i="7" s="1"/>
  <c r="ESK24" i="7" s="1"/>
  <c r="ESM24" i="7" s="1"/>
  <c r="ESO24" i="7" s="1"/>
  <c r="ESQ24" i="7" s="1"/>
  <c r="ESS24" i="7" s="1"/>
  <c r="ESU24" i="7" s="1"/>
  <c r="ESW24" i="7" s="1"/>
  <c r="ESY24" i="7" s="1"/>
  <c r="ETA24" i="7" s="1"/>
  <c r="ETC24" i="7" s="1"/>
  <c r="ETE24" i="7" s="1"/>
  <c r="ETG24" i="7" s="1"/>
  <c r="ETI24" i="7" s="1"/>
  <c r="ETK24" i="7" s="1"/>
  <c r="ETM24" i="7" s="1"/>
  <c r="ETO24" i="7" s="1"/>
  <c r="ETQ24" i="7" s="1"/>
  <c r="ETS24" i="7" s="1"/>
  <c r="ETU24" i="7" s="1"/>
  <c r="ETW24" i="7" s="1"/>
  <c r="ETY24" i="7" s="1"/>
  <c r="EUA24" i="7" s="1"/>
  <c r="EUC24" i="7" s="1"/>
  <c r="EUE24" i="7" s="1"/>
  <c r="EUG24" i="7" s="1"/>
  <c r="EUI24" i="7" s="1"/>
  <c r="EUK24" i="7" s="1"/>
  <c r="EUM24" i="7" s="1"/>
  <c r="EUO24" i="7" s="1"/>
  <c r="EUQ24" i="7" s="1"/>
  <c r="EUS24" i="7" s="1"/>
  <c r="EUU24" i="7" s="1"/>
  <c r="EUW24" i="7" s="1"/>
  <c r="EUY24" i="7" s="1"/>
  <c r="EVA24" i="7" s="1"/>
  <c r="EVC24" i="7" s="1"/>
  <c r="EVE24" i="7" s="1"/>
  <c r="EVG24" i="7" s="1"/>
  <c r="EVI24" i="7" s="1"/>
  <c r="EVK24" i="7" s="1"/>
  <c r="EVM24" i="7" s="1"/>
  <c r="EVO24" i="7" s="1"/>
  <c r="EVQ24" i="7" s="1"/>
  <c r="EVS24" i="7" s="1"/>
  <c r="EVU24" i="7" s="1"/>
  <c r="EVW24" i="7" s="1"/>
  <c r="EVY24" i="7" s="1"/>
  <c r="EWA24" i="7" s="1"/>
  <c r="EWC24" i="7" s="1"/>
  <c r="EWE24" i="7" s="1"/>
  <c r="EWG24" i="7" s="1"/>
  <c r="EWI24" i="7" s="1"/>
  <c r="EWK24" i="7" s="1"/>
  <c r="EWM24" i="7" s="1"/>
  <c r="EWO24" i="7" s="1"/>
  <c r="EWQ24" i="7" s="1"/>
  <c r="EWS24" i="7" s="1"/>
  <c r="EWU24" i="7" s="1"/>
  <c r="EWW24" i="7" s="1"/>
  <c r="EWY24" i="7" s="1"/>
  <c r="EXA24" i="7" s="1"/>
  <c r="EXC24" i="7" s="1"/>
  <c r="EXE24" i="7" s="1"/>
  <c r="EXG24" i="7" s="1"/>
  <c r="EXI24" i="7" s="1"/>
  <c r="EXK24" i="7" s="1"/>
  <c r="EXM24" i="7" s="1"/>
  <c r="EXO24" i="7" s="1"/>
  <c r="EXQ24" i="7" s="1"/>
  <c r="EXS24" i="7" s="1"/>
  <c r="EXU24" i="7" s="1"/>
  <c r="EXW24" i="7" s="1"/>
  <c r="EXY24" i="7" s="1"/>
  <c r="EYA24" i="7" s="1"/>
  <c r="EYC24" i="7" s="1"/>
  <c r="EYE24" i="7" s="1"/>
  <c r="EYG24" i="7" s="1"/>
  <c r="EYI24" i="7" s="1"/>
  <c r="EYK24" i="7" s="1"/>
  <c r="EYM24" i="7" s="1"/>
  <c r="EYO24" i="7" s="1"/>
  <c r="EYQ24" i="7" s="1"/>
  <c r="EYS24" i="7" s="1"/>
  <c r="EYU24" i="7" s="1"/>
  <c r="EYW24" i="7" s="1"/>
  <c r="EYY24" i="7" s="1"/>
  <c r="EZA24" i="7" s="1"/>
  <c r="EZC24" i="7" s="1"/>
  <c r="EZE24" i="7" s="1"/>
  <c r="EZG24" i="7" s="1"/>
  <c r="EZI24" i="7" s="1"/>
  <c r="EZK24" i="7" s="1"/>
  <c r="EZM24" i="7" s="1"/>
  <c r="EZO24" i="7" s="1"/>
  <c r="EZQ24" i="7" s="1"/>
  <c r="EZS24" i="7" s="1"/>
  <c r="EZU24" i="7" s="1"/>
  <c r="EZW24" i="7" s="1"/>
  <c r="EZY24" i="7" s="1"/>
  <c r="FAA24" i="7" s="1"/>
  <c r="FAC24" i="7" s="1"/>
  <c r="FAE24" i="7" s="1"/>
  <c r="FAG24" i="7" s="1"/>
  <c r="FAI24" i="7" s="1"/>
  <c r="FAK24" i="7" s="1"/>
  <c r="FAM24" i="7" s="1"/>
  <c r="FAO24" i="7" s="1"/>
  <c r="FAQ24" i="7" s="1"/>
  <c r="FAS24" i="7" s="1"/>
  <c r="FAU24" i="7" s="1"/>
  <c r="FAW24" i="7" s="1"/>
  <c r="FAY24" i="7" s="1"/>
  <c r="FBA24" i="7" s="1"/>
  <c r="FBC24" i="7" s="1"/>
  <c r="FBE24" i="7" s="1"/>
  <c r="FBG24" i="7" s="1"/>
  <c r="FBI24" i="7" s="1"/>
  <c r="FBK24" i="7" s="1"/>
  <c r="FBM24" i="7" s="1"/>
  <c r="FBO24" i="7" s="1"/>
  <c r="FBQ24" i="7" s="1"/>
  <c r="FBS24" i="7" s="1"/>
  <c r="FBU24" i="7" s="1"/>
  <c r="FBW24" i="7" s="1"/>
  <c r="FBY24" i="7" s="1"/>
  <c r="FCA24" i="7" s="1"/>
  <c r="FCC24" i="7" s="1"/>
  <c r="FCE24" i="7" s="1"/>
  <c r="FCG24" i="7" s="1"/>
  <c r="FCI24" i="7" s="1"/>
  <c r="FCK24" i="7" s="1"/>
  <c r="FCM24" i="7" s="1"/>
  <c r="FCO24" i="7" s="1"/>
  <c r="FCQ24" i="7" s="1"/>
  <c r="FCS24" i="7" s="1"/>
  <c r="FCU24" i="7" s="1"/>
  <c r="FCW24" i="7" s="1"/>
  <c r="FCY24" i="7" s="1"/>
  <c r="FDA24" i="7" s="1"/>
  <c r="FDC24" i="7" s="1"/>
  <c r="FDE24" i="7" s="1"/>
  <c r="FDG24" i="7" s="1"/>
  <c r="FDI24" i="7" s="1"/>
  <c r="FDK24" i="7" s="1"/>
  <c r="FDM24" i="7" s="1"/>
  <c r="FDO24" i="7" s="1"/>
  <c r="FDQ24" i="7" s="1"/>
  <c r="FDS24" i="7" s="1"/>
  <c r="FDU24" i="7" s="1"/>
  <c r="FDW24" i="7" s="1"/>
  <c r="FDY24" i="7" s="1"/>
  <c r="FEA24" i="7" s="1"/>
  <c r="FEC24" i="7" s="1"/>
  <c r="FEE24" i="7" s="1"/>
  <c r="FEG24" i="7" s="1"/>
  <c r="FEI24" i="7" s="1"/>
  <c r="FEK24" i="7" s="1"/>
  <c r="FEM24" i="7" s="1"/>
  <c r="FEO24" i="7" s="1"/>
  <c r="FEQ24" i="7" s="1"/>
  <c r="FES24" i="7" s="1"/>
  <c r="FEU24" i="7" s="1"/>
  <c r="FEW24" i="7" s="1"/>
  <c r="FEY24" i="7" s="1"/>
  <c r="FFA24" i="7" s="1"/>
  <c r="FFC24" i="7" s="1"/>
  <c r="FFE24" i="7" s="1"/>
  <c r="FFG24" i="7" s="1"/>
  <c r="FFI24" i="7" s="1"/>
  <c r="FFK24" i="7" s="1"/>
  <c r="FFM24" i="7" s="1"/>
  <c r="FFO24" i="7" s="1"/>
  <c r="FFQ24" i="7" s="1"/>
  <c r="FFS24" i="7" s="1"/>
  <c r="FFU24" i="7" s="1"/>
  <c r="FFW24" i="7" s="1"/>
  <c r="FFY24" i="7" s="1"/>
  <c r="FGA24" i="7" s="1"/>
  <c r="FGC24" i="7" s="1"/>
  <c r="FGE24" i="7" s="1"/>
  <c r="FGG24" i="7" s="1"/>
  <c r="FGI24" i="7" s="1"/>
  <c r="FGK24" i="7" s="1"/>
  <c r="FGM24" i="7" s="1"/>
  <c r="FGO24" i="7" s="1"/>
  <c r="FGQ24" i="7" s="1"/>
  <c r="FGS24" i="7" s="1"/>
  <c r="FGU24" i="7" s="1"/>
  <c r="FGW24" i="7" s="1"/>
  <c r="FGY24" i="7" s="1"/>
  <c r="FHA24" i="7" s="1"/>
  <c r="FHC24" i="7" s="1"/>
  <c r="FHE24" i="7" s="1"/>
  <c r="FHG24" i="7" s="1"/>
  <c r="FHI24" i="7" s="1"/>
  <c r="FHK24" i="7" s="1"/>
  <c r="FHM24" i="7" s="1"/>
  <c r="FHO24" i="7" s="1"/>
  <c r="FHQ24" i="7" s="1"/>
  <c r="FHS24" i="7" s="1"/>
  <c r="FHU24" i="7" s="1"/>
  <c r="FHW24" i="7" s="1"/>
  <c r="FHY24" i="7" s="1"/>
  <c r="FIA24" i="7" s="1"/>
  <c r="FIC24" i="7" s="1"/>
  <c r="FIE24" i="7" s="1"/>
  <c r="FIG24" i="7" s="1"/>
  <c r="FII24" i="7" s="1"/>
  <c r="FIK24" i="7" s="1"/>
  <c r="FIM24" i="7" s="1"/>
  <c r="FIO24" i="7" s="1"/>
  <c r="FIQ24" i="7" s="1"/>
  <c r="FIS24" i="7" s="1"/>
  <c r="FIU24" i="7" s="1"/>
  <c r="FIW24" i="7" s="1"/>
  <c r="FIY24" i="7" s="1"/>
  <c r="FJA24" i="7" s="1"/>
  <c r="FJC24" i="7" s="1"/>
  <c r="FJE24" i="7" s="1"/>
  <c r="FJG24" i="7" s="1"/>
  <c r="FJI24" i="7" s="1"/>
  <c r="FJK24" i="7" s="1"/>
  <c r="FJM24" i="7" s="1"/>
  <c r="FJO24" i="7" s="1"/>
  <c r="FJQ24" i="7" s="1"/>
  <c r="FJS24" i="7" s="1"/>
  <c r="FJU24" i="7" s="1"/>
  <c r="FJW24" i="7" s="1"/>
  <c r="FJY24" i="7" s="1"/>
  <c r="FKA24" i="7" s="1"/>
  <c r="FKC24" i="7" s="1"/>
  <c r="FKE24" i="7" s="1"/>
  <c r="FKG24" i="7" s="1"/>
  <c r="FKI24" i="7" s="1"/>
  <c r="FKK24" i="7" s="1"/>
  <c r="FKM24" i="7" s="1"/>
  <c r="FKO24" i="7" s="1"/>
  <c r="FKQ24" i="7" s="1"/>
  <c r="FKS24" i="7" s="1"/>
  <c r="FKU24" i="7" s="1"/>
  <c r="FKW24" i="7" s="1"/>
  <c r="FKY24" i="7" s="1"/>
  <c r="FLA24" i="7" s="1"/>
  <c r="FLC24" i="7" s="1"/>
  <c r="FLE24" i="7" s="1"/>
  <c r="FLG24" i="7" s="1"/>
  <c r="FLI24" i="7" s="1"/>
  <c r="FLK24" i="7" s="1"/>
  <c r="FLM24" i="7" s="1"/>
  <c r="FLO24" i="7" s="1"/>
  <c r="FLQ24" i="7" s="1"/>
  <c r="FLS24" i="7" s="1"/>
  <c r="FLU24" i="7" s="1"/>
  <c r="FLW24" i="7" s="1"/>
  <c r="FLY24" i="7" s="1"/>
  <c r="FMA24" i="7" s="1"/>
  <c r="FMC24" i="7" s="1"/>
  <c r="FME24" i="7" s="1"/>
  <c r="FMG24" i="7" s="1"/>
  <c r="FMI24" i="7" s="1"/>
  <c r="FMK24" i="7" s="1"/>
  <c r="FMM24" i="7" s="1"/>
  <c r="FMO24" i="7" s="1"/>
  <c r="FMQ24" i="7" s="1"/>
  <c r="FMS24" i="7" s="1"/>
  <c r="FMU24" i="7" s="1"/>
  <c r="FMW24" i="7" s="1"/>
  <c r="FMY24" i="7" s="1"/>
  <c r="FNA24" i="7" s="1"/>
  <c r="FNC24" i="7" s="1"/>
  <c r="FNE24" i="7" s="1"/>
  <c r="FNG24" i="7" s="1"/>
  <c r="FNI24" i="7" s="1"/>
  <c r="FNK24" i="7" s="1"/>
  <c r="FNM24" i="7" s="1"/>
  <c r="FNO24" i="7" s="1"/>
  <c r="FNQ24" i="7" s="1"/>
  <c r="FNS24" i="7" s="1"/>
  <c r="FNU24" i="7" s="1"/>
  <c r="FNW24" i="7" s="1"/>
  <c r="FNY24" i="7" s="1"/>
  <c r="FOA24" i="7" s="1"/>
  <c r="FOC24" i="7" s="1"/>
  <c r="FOE24" i="7" s="1"/>
  <c r="FOG24" i="7" s="1"/>
  <c r="FOI24" i="7" s="1"/>
  <c r="FOK24" i="7" s="1"/>
  <c r="FOM24" i="7" s="1"/>
  <c r="FOO24" i="7" s="1"/>
  <c r="FOQ24" i="7" s="1"/>
  <c r="FOS24" i="7" s="1"/>
  <c r="FOU24" i="7" s="1"/>
  <c r="FOW24" i="7" s="1"/>
  <c r="FOY24" i="7" s="1"/>
  <c r="FPA24" i="7" s="1"/>
  <c r="FPC24" i="7" s="1"/>
  <c r="FPE24" i="7" s="1"/>
  <c r="FPG24" i="7" s="1"/>
  <c r="FPI24" i="7" s="1"/>
  <c r="FPK24" i="7" s="1"/>
  <c r="FPM24" i="7" s="1"/>
  <c r="FPO24" i="7" s="1"/>
  <c r="FPQ24" i="7" s="1"/>
  <c r="FPS24" i="7" s="1"/>
  <c r="FPU24" i="7" s="1"/>
  <c r="FPW24" i="7" s="1"/>
  <c r="FPY24" i="7" s="1"/>
  <c r="FQA24" i="7" s="1"/>
  <c r="FQC24" i="7" s="1"/>
  <c r="FQE24" i="7" s="1"/>
  <c r="FQG24" i="7" s="1"/>
  <c r="FQI24" i="7" s="1"/>
  <c r="FQK24" i="7" s="1"/>
  <c r="FQM24" i="7" s="1"/>
  <c r="FQO24" i="7" s="1"/>
  <c r="FQQ24" i="7" s="1"/>
  <c r="FQS24" i="7" s="1"/>
  <c r="FQU24" i="7" s="1"/>
  <c r="FQW24" i="7" s="1"/>
  <c r="FQY24" i="7" s="1"/>
  <c r="FRA24" i="7" s="1"/>
  <c r="FRC24" i="7" s="1"/>
  <c r="FRE24" i="7" s="1"/>
  <c r="FRG24" i="7" s="1"/>
  <c r="FRI24" i="7" s="1"/>
  <c r="FRK24" i="7" s="1"/>
  <c r="FRM24" i="7" s="1"/>
  <c r="FRO24" i="7" s="1"/>
  <c r="FRQ24" i="7" s="1"/>
  <c r="FRS24" i="7" s="1"/>
  <c r="FRU24" i="7" s="1"/>
  <c r="FRW24" i="7" s="1"/>
  <c r="FRY24" i="7" s="1"/>
  <c r="FSA24" i="7" s="1"/>
  <c r="FSC24" i="7" s="1"/>
  <c r="FSE24" i="7" s="1"/>
  <c r="FSG24" i="7" s="1"/>
  <c r="FSI24" i="7" s="1"/>
  <c r="FSK24" i="7" s="1"/>
  <c r="FSM24" i="7" s="1"/>
  <c r="FSO24" i="7" s="1"/>
  <c r="FSQ24" i="7" s="1"/>
  <c r="FSS24" i="7" s="1"/>
  <c r="FSU24" i="7" s="1"/>
  <c r="FSW24" i="7" s="1"/>
  <c r="FSY24" i="7" s="1"/>
  <c r="FTA24" i="7" s="1"/>
  <c r="FTC24" i="7" s="1"/>
  <c r="FTE24" i="7" s="1"/>
  <c r="FTG24" i="7" s="1"/>
  <c r="FTI24" i="7" s="1"/>
  <c r="FTK24" i="7" s="1"/>
  <c r="FTM24" i="7" s="1"/>
  <c r="FTO24" i="7" s="1"/>
  <c r="FTQ24" i="7" s="1"/>
  <c r="FTS24" i="7" s="1"/>
  <c r="FTU24" i="7" s="1"/>
  <c r="FTW24" i="7" s="1"/>
  <c r="FTY24" i="7" s="1"/>
  <c r="FUA24" i="7" s="1"/>
  <c r="FUC24" i="7" s="1"/>
  <c r="FUE24" i="7" s="1"/>
  <c r="FUG24" i="7" s="1"/>
  <c r="FUI24" i="7" s="1"/>
  <c r="FUK24" i="7" s="1"/>
  <c r="FUM24" i="7" s="1"/>
  <c r="FUO24" i="7" s="1"/>
  <c r="FUQ24" i="7" s="1"/>
  <c r="FUS24" i="7" s="1"/>
  <c r="FUU24" i="7" s="1"/>
  <c r="FUW24" i="7" s="1"/>
  <c r="FUY24" i="7" s="1"/>
  <c r="FVA24" i="7" s="1"/>
  <c r="FVC24" i="7" s="1"/>
  <c r="FVE24" i="7" s="1"/>
  <c r="FVG24" i="7" s="1"/>
  <c r="FVI24" i="7" s="1"/>
  <c r="FVK24" i="7" s="1"/>
  <c r="FVM24" i="7" s="1"/>
  <c r="FVO24" i="7" s="1"/>
  <c r="FVQ24" i="7" s="1"/>
  <c r="FVS24" i="7" s="1"/>
  <c r="FVU24" i="7" s="1"/>
  <c r="FVW24" i="7" s="1"/>
  <c r="FVY24" i="7" s="1"/>
  <c r="FWA24" i="7" s="1"/>
  <c r="FWC24" i="7" s="1"/>
  <c r="FWE24" i="7" s="1"/>
  <c r="FWG24" i="7" s="1"/>
  <c r="FWI24" i="7" s="1"/>
  <c r="FWK24" i="7" s="1"/>
  <c r="FWM24" i="7" s="1"/>
  <c r="FWO24" i="7" s="1"/>
  <c r="FWQ24" i="7" s="1"/>
  <c r="FWS24" i="7" s="1"/>
  <c r="FWU24" i="7" s="1"/>
  <c r="FWW24" i="7" s="1"/>
  <c r="FWY24" i="7" s="1"/>
  <c r="FXA24" i="7" s="1"/>
  <c r="FXC24" i="7" s="1"/>
  <c r="FXE24" i="7" s="1"/>
  <c r="FXG24" i="7" s="1"/>
  <c r="FXI24" i="7" s="1"/>
  <c r="FXK24" i="7" s="1"/>
  <c r="FXM24" i="7" s="1"/>
  <c r="FXO24" i="7" s="1"/>
  <c r="FXQ24" i="7" s="1"/>
  <c r="FXS24" i="7" s="1"/>
  <c r="FXU24" i="7" s="1"/>
  <c r="FXW24" i="7" s="1"/>
  <c r="FXY24" i="7" s="1"/>
  <c r="FYA24" i="7" s="1"/>
  <c r="FYC24" i="7" s="1"/>
  <c r="FYE24" i="7" s="1"/>
  <c r="FYG24" i="7" s="1"/>
  <c r="FYI24" i="7" s="1"/>
  <c r="FYK24" i="7" s="1"/>
  <c r="FYM24" i="7" s="1"/>
  <c r="FYO24" i="7" s="1"/>
  <c r="FYQ24" i="7" s="1"/>
  <c r="FYS24" i="7" s="1"/>
  <c r="FYU24" i="7" s="1"/>
  <c r="FYW24" i="7" s="1"/>
  <c r="FYY24" i="7" s="1"/>
  <c r="FZA24" i="7" s="1"/>
  <c r="FZC24" i="7" s="1"/>
  <c r="FZE24" i="7" s="1"/>
  <c r="FZG24" i="7" s="1"/>
  <c r="FZI24" i="7" s="1"/>
  <c r="FZK24" i="7" s="1"/>
  <c r="FZM24" i="7" s="1"/>
  <c r="FZO24" i="7" s="1"/>
  <c r="FZQ24" i="7" s="1"/>
  <c r="FZS24" i="7" s="1"/>
  <c r="FZU24" i="7" s="1"/>
  <c r="FZW24" i="7" s="1"/>
  <c r="FZY24" i="7" s="1"/>
  <c r="GAA24" i="7" s="1"/>
  <c r="GAC24" i="7" s="1"/>
  <c r="GAE24" i="7" s="1"/>
  <c r="GAG24" i="7" s="1"/>
  <c r="GAI24" i="7" s="1"/>
  <c r="GAK24" i="7" s="1"/>
  <c r="GAM24" i="7" s="1"/>
  <c r="GAO24" i="7" s="1"/>
  <c r="GAQ24" i="7" s="1"/>
  <c r="GAS24" i="7" s="1"/>
  <c r="GAU24" i="7" s="1"/>
  <c r="GAW24" i="7" s="1"/>
  <c r="GAY24" i="7" s="1"/>
  <c r="GBA24" i="7" s="1"/>
  <c r="GBC24" i="7" s="1"/>
  <c r="GBE24" i="7" s="1"/>
  <c r="GBG24" i="7" s="1"/>
  <c r="GBI24" i="7" s="1"/>
  <c r="GBK24" i="7" s="1"/>
  <c r="GBM24" i="7" s="1"/>
  <c r="GBO24" i="7" s="1"/>
  <c r="GBQ24" i="7" s="1"/>
  <c r="GBS24" i="7" s="1"/>
  <c r="GBU24" i="7" s="1"/>
  <c r="GBW24" i="7" s="1"/>
  <c r="GBY24" i="7" s="1"/>
  <c r="GCA24" i="7" s="1"/>
  <c r="GCC24" i="7" s="1"/>
  <c r="GCE24" i="7" s="1"/>
  <c r="GCG24" i="7" s="1"/>
  <c r="GCI24" i="7" s="1"/>
  <c r="GCK24" i="7" s="1"/>
  <c r="GCM24" i="7" s="1"/>
  <c r="GCO24" i="7" s="1"/>
  <c r="GCQ24" i="7" s="1"/>
  <c r="GCS24" i="7" s="1"/>
  <c r="GCU24" i="7" s="1"/>
  <c r="GCW24" i="7" s="1"/>
  <c r="GCY24" i="7" s="1"/>
  <c r="GDA24" i="7" s="1"/>
  <c r="GDC24" i="7" s="1"/>
  <c r="GDE24" i="7" s="1"/>
  <c r="GDG24" i="7" s="1"/>
  <c r="GDI24" i="7" s="1"/>
  <c r="GDK24" i="7" s="1"/>
  <c r="GDM24" i="7" s="1"/>
  <c r="GDO24" i="7" s="1"/>
  <c r="GDQ24" i="7" s="1"/>
  <c r="GDS24" i="7" s="1"/>
  <c r="GDU24" i="7" s="1"/>
  <c r="GDW24" i="7" s="1"/>
  <c r="GDY24" i="7" s="1"/>
  <c r="GEA24" i="7" s="1"/>
  <c r="GEC24" i="7" s="1"/>
  <c r="GEE24" i="7" s="1"/>
  <c r="GEG24" i="7" s="1"/>
  <c r="GEI24" i="7" s="1"/>
  <c r="GEK24" i="7" s="1"/>
  <c r="GEM24" i="7" s="1"/>
  <c r="GEO24" i="7" s="1"/>
  <c r="GEQ24" i="7" s="1"/>
  <c r="GES24" i="7" s="1"/>
  <c r="GEU24" i="7" s="1"/>
  <c r="GEW24" i="7" s="1"/>
  <c r="GEY24" i="7" s="1"/>
  <c r="GFA24" i="7" s="1"/>
  <c r="GFC24" i="7" s="1"/>
  <c r="GFE24" i="7" s="1"/>
  <c r="GFG24" i="7" s="1"/>
  <c r="GFI24" i="7" s="1"/>
  <c r="GFK24" i="7" s="1"/>
  <c r="GFM24" i="7" s="1"/>
  <c r="GFO24" i="7" s="1"/>
  <c r="GFQ24" i="7" s="1"/>
  <c r="GFS24" i="7" s="1"/>
  <c r="GFU24" i="7" s="1"/>
  <c r="GFW24" i="7" s="1"/>
  <c r="GFY24" i="7" s="1"/>
  <c r="GGA24" i="7" s="1"/>
  <c r="GGC24" i="7" s="1"/>
  <c r="GGE24" i="7" s="1"/>
  <c r="GGG24" i="7" s="1"/>
  <c r="GGI24" i="7" s="1"/>
  <c r="GGK24" i="7" s="1"/>
  <c r="GGM24" i="7" s="1"/>
  <c r="GGO24" i="7" s="1"/>
  <c r="GGQ24" i="7" s="1"/>
  <c r="GGS24" i="7" s="1"/>
  <c r="GGU24" i="7" s="1"/>
  <c r="GGW24" i="7" s="1"/>
  <c r="GGY24" i="7" s="1"/>
  <c r="GHA24" i="7" s="1"/>
  <c r="GHC24" i="7" s="1"/>
  <c r="GHE24" i="7" s="1"/>
  <c r="GHG24" i="7" s="1"/>
  <c r="GHI24" i="7" s="1"/>
  <c r="GHK24" i="7" s="1"/>
  <c r="GHM24" i="7" s="1"/>
  <c r="GHO24" i="7" s="1"/>
  <c r="GHQ24" i="7" s="1"/>
  <c r="GHS24" i="7" s="1"/>
  <c r="GHU24" i="7" s="1"/>
  <c r="GHW24" i="7" s="1"/>
  <c r="GHY24" i="7" s="1"/>
  <c r="GIA24" i="7" s="1"/>
  <c r="GIC24" i="7" s="1"/>
  <c r="GIE24" i="7" s="1"/>
  <c r="GIG24" i="7" s="1"/>
  <c r="GII24" i="7" s="1"/>
  <c r="GIK24" i="7" s="1"/>
  <c r="GIM24" i="7" s="1"/>
  <c r="GIO24" i="7" s="1"/>
  <c r="GIQ24" i="7" s="1"/>
  <c r="GIS24" i="7" s="1"/>
  <c r="GIU24" i="7" s="1"/>
  <c r="GIW24" i="7" s="1"/>
  <c r="GIY24" i="7" s="1"/>
  <c r="GJA24" i="7" s="1"/>
  <c r="GJC24" i="7" s="1"/>
  <c r="GJE24" i="7" s="1"/>
  <c r="GJG24" i="7" s="1"/>
  <c r="GJI24" i="7" s="1"/>
  <c r="GJK24" i="7" s="1"/>
  <c r="GJM24" i="7" s="1"/>
  <c r="GJO24" i="7" s="1"/>
  <c r="GJQ24" i="7" s="1"/>
  <c r="GJS24" i="7" s="1"/>
  <c r="GJU24" i="7" s="1"/>
  <c r="GJW24" i="7" s="1"/>
  <c r="GJY24" i="7" s="1"/>
  <c r="GKA24" i="7" s="1"/>
  <c r="GKC24" i="7" s="1"/>
  <c r="GKE24" i="7" s="1"/>
  <c r="GKG24" i="7" s="1"/>
  <c r="GKI24" i="7" s="1"/>
  <c r="GKK24" i="7" s="1"/>
  <c r="GKM24" i="7" s="1"/>
  <c r="GKO24" i="7" s="1"/>
  <c r="GKQ24" i="7" s="1"/>
  <c r="GKS24" i="7" s="1"/>
  <c r="GKU24" i="7" s="1"/>
  <c r="GKW24" i="7" s="1"/>
  <c r="GKY24" i="7" s="1"/>
  <c r="GLA24" i="7" s="1"/>
  <c r="GLC24" i="7" s="1"/>
  <c r="GLE24" i="7" s="1"/>
  <c r="GLG24" i="7" s="1"/>
  <c r="GLI24" i="7" s="1"/>
  <c r="GLK24" i="7" s="1"/>
  <c r="GLM24" i="7" s="1"/>
  <c r="GLO24" i="7" s="1"/>
  <c r="GLQ24" i="7" s="1"/>
  <c r="GLS24" i="7" s="1"/>
  <c r="GLU24" i="7" s="1"/>
  <c r="GLW24" i="7" s="1"/>
  <c r="GLY24" i="7" s="1"/>
  <c r="GMA24" i="7" s="1"/>
  <c r="GMC24" i="7" s="1"/>
  <c r="GME24" i="7" s="1"/>
  <c r="GMG24" i="7" s="1"/>
  <c r="GMI24" i="7" s="1"/>
  <c r="GMK24" i="7" s="1"/>
  <c r="GMM24" i="7" s="1"/>
  <c r="GMO24" i="7" s="1"/>
  <c r="GMQ24" i="7" s="1"/>
  <c r="GMS24" i="7" s="1"/>
  <c r="GMU24" i="7" s="1"/>
  <c r="GMW24" i="7" s="1"/>
  <c r="GMY24" i="7" s="1"/>
  <c r="GNA24" i="7" s="1"/>
  <c r="GNC24" i="7" s="1"/>
  <c r="GNE24" i="7" s="1"/>
  <c r="GNG24" i="7" s="1"/>
  <c r="GNI24" i="7" s="1"/>
  <c r="GNK24" i="7" s="1"/>
  <c r="GNM24" i="7" s="1"/>
  <c r="GNO24" i="7" s="1"/>
  <c r="GNQ24" i="7" s="1"/>
  <c r="GNS24" i="7" s="1"/>
  <c r="GNU24" i="7" s="1"/>
  <c r="GNW24" i="7" s="1"/>
  <c r="GNY24" i="7" s="1"/>
  <c r="GOA24" i="7" s="1"/>
  <c r="GOC24" i="7" s="1"/>
  <c r="GOE24" i="7" s="1"/>
  <c r="GOG24" i="7" s="1"/>
  <c r="GOI24" i="7" s="1"/>
  <c r="GOK24" i="7" s="1"/>
  <c r="GOM24" i="7" s="1"/>
  <c r="GOO24" i="7" s="1"/>
  <c r="GOQ24" i="7" s="1"/>
  <c r="GOS24" i="7" s="1"/>
  <c r="GOU24" i="7" s="1"/>
  <c r="GOW24" i="7" s="1"/>
  <c r="GOY24" i="7" s="1"/>
  <c r="GPA24" i="7" s="1"/>
  <c r="GPC24" i="7" s="1"/>
  <c r="GPE24" i="7" s="1"/>
  <c r="GPG24" i="7" s="1"/>
  <c r="GPI24" i="7" s="1"/>
  <c r="GPK24" i="7" s="1"/>
  <c r="GPM24" i="7" s="1"/>
  <c r="GPO24" i="7" s="1"/>
  <c r="GPQ24" i="7" s="1"/>
  <c r="GPS24" i="7" s="1"/>
  <c r="GPU24" i="7" s="1"/>
  <c r="GPW24" i="7" s="1"/>
  <c r="GPY24" i="7" s="1"/>
  <c r="GQA24" i="7" s="1"/>
  <c r="GQC24" i="7" s="1"/>
  <c r="GQE24" i="7" s="1"/>
  <c r="GQG24" i="7" s="1"/>
  <c r="GQI24" i="7" s="1"/>
  <c r="GQK24" i="7" s="1"/>
  <c r="GQM24" i="7" s="1"/>
  <c r="GQO24" i="7" s="1"/>
  <c r="GQQ24" i="7" s="1"/>
  <c r="GQS24" i="7" s="1"/>
  <c r="GQU24" i="7" s="1"/>
  <c r="GQW24" i="7" s="1"/>
  <c r="GQY24" i="7" s="1"/>
  <c r="GRA24" i="7" s="1"/>
  <c r="GRC24" i="7" s="1"/>
  <c r="GRE24" i="7" s="1"/>
  <c r="GRG24" i="7" s="1"/>
  <c r="GRI24" i="7" s="1"/>
  <c r="GRK24" i="7" s="1"/>
  <c r="GRM24" i="7" s="1"/>
  <c r="GRO24" i="7" s="1"/>
  <c r="GRQ24" i="7" s="1"/>
  <c r="GRS24" i="7" s="1"/>
  <c r="GRU24" i="7" s="1"/>
  <c r="GRW24" i="7" s="1"/>
  <c r="GRY24" i="7" s="1"/>
  <c r="GSA24" i="7" s="1"/>
  <c r="GSC24" i="7" s="1"/>
  <c r="GSE24" i="7" s="1"/>
  <c r="GSG24" i="7" s="1"/>
  <c r="GSI24" i="7" s="1"/>
  <c r="GSK24" i="7" s="1"/>
  <c r="GSM24" i="7" s="1"/>
  <c r="GSO24" i="7" s="1"/>
  <c r="GSQ24" i="7" s="1"/>
  <c r="GSS24" i="7" s="1"/>
  <c r="GSU24" i="7" s="1"/>
  <c r="GSW24" i="7" s="1"/>
  <c r="GSY24" i="7" s="1"/>
  <c r="GTA24" i="7" s="1"/>
  <c r="GTC24" i="7" s="1"/>
  <c r="GTE24" i="7" s="1"/>
  <c r="GTG24" i="7" s="1"/>
  <c r="GTI24" i="7" s="1"/>
  <c r="GTK24" i="7" s="1"/>
  <c r="GTM24" i="7" s="1"/>
  <c r="GTO24" i="7" s="1"/>
  <c r="GTQ24" i="7" s="1"/>
  <c r="GTS24" i="7" s="1"/>
  <c r="GTU24" i="7" s="1"/>
  <c r="GTW24" i="7" s="1"/>
  <c r="GTY24" i="7" s="1"/>
  <c r="GUA24" i="7" s="1"/>
  <c r="GUC24" i="7" s="1"/>
  <c r="GUE24" i="7" s="1"/>
  <c r="GUG24" i="7" s="1"/>
  <c r="GUI24" i="7" s="1"/>
  <c r="GUK24" i="7" s="1"/>
  <c r="GUM24" i="7" s="1"/>
  <c r="GUO24" i="7" s="1"/>
  <c r="GUQ24" i="7" s="1"/>
  <c r="GUS24" i="7" s="1"/>
  <c r="GUU24" i="7" s="1"/>
  <c r="GUW24" i="7" s="1"/>
  <c r="GUY24" i="7" s="1"/>
  <c r="GVA24" i="7" s="1"/>
  <c r="GVC24" i="7" s="1"/>
  <c r="GVE24" i="7" s="1"/>
  <c r="GVG24" i="7" s="1"/>
  <c r="GVI24" i="7" s="1"/>
  <c r="GVK24" i="7" s="1"/>
  <c r="GVM24" i="7" s="1"/>
  <c r="GVO24" i="7" s="1"/>
  <c r="GVQ24" i="7" s="1"/>
  <c r="GVS24" i="7" s="1"/>
  <c r="GVU24" i="7" s="1"/>
  <c r="GVW24" i="7" s="1"/>
  <c r="GVY24" i="7" s="1"/>
  <c r="GWA24" i="7" s="1"/>
  <c r="GWC24" i="7" s="1"/>
  <c r="GWE24" i="7" s="1"/>
  <c r="GWG24" i="7" s="1"/>
  <c r="GWI24" i="7" s="1"/>
  <c r="GWK24" i="7" s="1"/>
  <c r="GWM24" i="7" s="1"/>
  <c r="GWO24" i="7" s="1"/>
  <c r="GWQ24" i="7" s="1"/>
  <c r="GWS24" i="7" s="1"/>
  <c r="GWU24" i="7" s="1"/>
  <c r="GWW24" i="7" s="1"/>
  <c r="GWY24" i="7" s="1"/>
  <c r="GXA24" i="7" s="1"/>
  <c r="GXC24" i="7" s="1"/>
  <c r="GXE24" i="7" s="1"/>
  <c r="GXG24" i="7" s="1"/>
  <c r="GXI24" i="7" s="1"/>
  <c r="GXK24" i="7" s="1"/>
  <c r="GXM24" i="7" s="1"/>
  <c r="GXO24" i="7" s="1"/>
  <c r="GXQ24" i="7" s="1"/>
  <c r="GXS24" i="7" s="1"/>
  <c r="GXU24" i="7" s="1"/>
  <c r="GXW24" i="7" s="1"/>
  <c r="GXY24" i="7" s="1"/>
  <c r="GYA24" i="7" s="1"/>
  <c r="GYC24" i="7" s="1"/>
  <c r="GYE24" i="7" s="1"/>
  <c r="GYG24" i="7" s="1"/>
  <c r="GYI24" i="7" s="1"/>
  <c r="GYK24" i="7" s="1"/>
  <c r="GYM24" i="7" s="1"/>
  <c r="GYO24" i="7" s="1"/>
  <c r="GYQ24" i="7" s="1"/>
  <c r="GYS24" i="7" s="1"/>
  <c r="GYU24" i="7" s="1"/>
  <c r="GYW24" i="7" s="1"/>
  <c r="GYY24" i="7" s="1"/>
  <c r="GZA24" i="7" s="1"/>
  <c r="GZC24" i="7" s="1"/>
  <c r="GZE24" i="7" s="1"/>
  <c r="GZG24" i="7" s="1"/>
  <c r="GZI24" i="7" s="1"/>
  <c r="GZK24" i="7" s="1"/>
  <c r="GZM24" i="7" s="1"/>
  <c r="GZO24" i="7" s="1"/>
  <c r="GZQ24" i="7" s="1"/>
  <c r="GZS24" i="7" s="1"/>
  <c r="GZU24" i="7" s="1"/>
  <c r="GZW24" i="7" s="1"/>
  <c r="GZY24" i="7" s="1"/>
  <c r="HAA24" i="7" s="1"/>
  <c r="HAC24" i="7" s="1"/>
  <c r="HAE24" i="7" s="1"/>
  <c r="HAG24" i="7" s="1"/>
  <c r="HAI24" i="7" s="1"/>
  <c r="HAK24" i="7" s="1"/>
  <c r="HAM24" i="7" s="1"/>
  <c r="HAO24" i="7" s="1"/>
  <c r="HAQ24" i="7" s="1"/>
  <c r="HAS24" i="7" s="1"/>
  <c r="HAU24" i="7" s="1"/>
  <c r="HAW24" i="7" s="1"/>
  <c r="HAY24" i="7" s="1"/>
  <c r="HBA24" i="7" s="1"/>
  <c r="HBC24" i="7" s="1"/>
  <c r="HBE24" i="7" s="1"/>
  <c r="HBG24" i="7" s="1"/>
  <c r="HBI24" i="7" s="1"/>
  <c r="HBK24" i="7" s="1"/>
  <c r="HBM24" i="7" s="1"/>
  <c r="HBO24" i="7" s="1"/>
  <c r="HBQ24" i="7" s="1"/>
  <c r="HBS24" i="7" s="1"/>
  <c r="HBU24" i="7" s="1"/>
  <c r="HBW24" i="7" s="1"/>
  <c r="HBY24" i="7" s="1"/>
  <c r="HCA24" i="7" s="1"/>
  <c r="HCC24" i="7" s="1"/>
  <c r="HCE24" i="7" s="1"/>
  <c r="HCG24" i="7" s="1"/>
  <c r="HCI24" i="7" s="1"/>
  <c r="HCK24" i="7" s="1"/>
  <c r="HCM24" i="7" s="1"/>
  <c r="HCO24" i="7" s="1"/>
  <c r="HCQ24" i="7" s="1"/>
  <c r="HCS24" i="7" s="1"/>
  <c r="HCU24" i="7" s="1"/>
  <c r="HCW24" i="7" s="1"/>
  <c r="HCY24" i="7" s="1"/>
  <c r="HDA24" i="7" s="1"/>
  <c r="HDC24" i="7" s="1"/>
  <c r="HDE24" i="7" s="1"/>
  <c r="HDG24" i="7" s="1"/>
  <c r="HDI24" i="7" s="1"/>
  <c r="HDK24" i="7" s="1"/>
  <c r="HDM24" i="7" s="1"/>
  <c r="HDO24" i="7" s="1"/>
  <c r="HDQ24" i="7" s="1"/>
  <c r="HDS24" i="7" s="1"/>
  <c r="HDU24" i="7" s="1"/>
  <c r="HDW24" i="7" s="1"/>
  <c r="HDY24" i="7" s="1"/>
  <c r="HEA24" i="7" s="1"/>
  <c r="HEC24" i="7" s="1"/>
  <c r="HEE24" i="7" s="1"/>
  <c r="HEG24" i="7" s="1"/>
  <c r="HEI24" i="7" s="1"/>
  <c r="HEK24" i="7" s="1"/>
  <c r="HEM24" i="7" s="1"/>
  <c r="HEO24" i="7" s="1"/>
  <c r="HEQ24" i="7" s="1"/>
  <c r="HES24" i="7" s="1"/>
  <c r="HEU24" i="7" s="1"/>
  <c r="HEW24" i="7" s="1"/>
  <c r="HEY24" i="7" s="1"/>
  <c r="HFA24" i="7" s="1"/>
  <c r="HFC24" i="7" s="1"/>
  <c r="HFE24" i="7" s="1"/>
  <c r="HFG24" i="7" s="1"/>
  <c r="HFI24" i="7" s="1"/>
  <c r="HFK24" i="7" s="1"/>
  <c r="HFM24" i="7" s="1"/>
  <c r="HFO24" i="7" s="1"/>
  <c r="HFQ24" i="7" s="1"/>
  <c r="HFS24" i="7" s="1"/>
  <c r="HFU24" i="7" s="1"/>
  <c r="HFW24" i="7" s="1"/>
  <c r="HFY24" i="7" s="1"/>
  <c r="HGA24" i="7" s="1"/>
  <c r="HGC24" i="7" s="1"/>
  <c r="HGE24" i="7" s="1"/>
  <c r="HGG24" i="7" s="1"/>
  <c r="HGI24" i="7" s="1"/>
  <c r="HGK24" i="7" s="1"/>
  <c r="HGM24" i="7" s="1"/>
  <c r="HGO24" i="7" s="1"/>
  <c r="HGQ24" i="7" s="1"/>
  <c r="HGS24" i="7" s="1"/>
  <c r="HGU24" i="7" s="1"/>
  <c r="HGW24" i="7" s="1"/>
  <c r="HGY24" i="7" s="1"/>
  <c r="HHA24" i="7" s="1"/>
  <c r="HHC24" i="7" s="1"/>
  <c r="HHE24" i="7" s="1"/>
  <c r="HHG24" i="7" s="1"/>
  <c r="HHI24" i="7" s="1"/>
  <c r="HHK24" i="7" s="1"/>
  <c r="HHM24" i="7" s="1"/>
  <c r="HHO24" i="7" s="1"/>
  <c r="HHQ24" i="7" s="1"/>
  <c r="HHS24" i="7" s="1"/>
  <c r="HHU24" i="7" s="1"/>
  <c r="HHW24" i="7" s="1"/>
  <c r="HHY24" i="7" s="1"/>
  <c r="HIA24" i="7" s="1"/>
  <c r="HIC24" i="7" s="1"/>
  <c r="HIE24" i="7" s="1"/>
  <c r="HIG24" i="7" s="1"/>
  <c r="HII24" i="7" s="1"/>
  <c r="HIK24" i="7" s="1"/>
  <c r="HIM24" i="7" s="1"/>
  <c r="HIO24" i="7" s="1"/>
  <c r="HIQ24" i="7" s="1"/>
  <c r="HIS24" i="7" s="1"/>
  <c r="HIU24" i="7" s="1"/>
  <c r="HIW24" i="7" s="1"/>
  <c r="HIY24" i="7" s="1"/>
  <c r="HJA24" i="7" s="1"/>
  <c r="HJC24" i="7" s="1"/>
  <c r="HJE24" i="7" s="1"/>
  <c r="HJG24" i="7" s="1"/>
  <c r="HJI24" i="7" s="1"/>
  <c r="HJK24" i="7" s="1"/>
  <c r="HJM24" i="7" s="1"/>
  <c r="HJO24" i="7" s="1"/>
  <c r="HJQ24" i="7" s="1"/>
  <c r="HJS24" i="7" s="1"/>
  <c r="HJU24" i="7" s="1"/>
  <c r="HJW24" i="7" s="1"/>
  <c r="HJY24" i="7" s="1"/>
  <c r="HKA24" i="7" s="1"/>
  <c r="HKC24" i="7" s="1"/>
  <c r="HKE24" i="7" s="1"/>
  <c r="HKG24" i="7" s="1"/>
  <c r="HKI24" i="7" s="1"/>
  <c r="HKK24" i="7" s="1"/>
  <c r="HKM24" i="7" s="1"/>
  <c r="HKO24" i="7" s="1"/>
  <c r="HKQ24" i="7" s="1"/>
  <c r="HKS24" i="7" s="1"/>
  <c r="HKU24" i="7" s="1"/>
  <c r="HKW24" i="7" s="1"/>
  <c r="HKY24" i="7" s="1"/>
  <c r="HLA24" i="7" s="1"/>
  <c r="HLC24" i="7" s="1"/>
  <c r="HLE24" i="7" s="1"/>
  <c r="HLG24" i="7" s="1"/>
  <c r="HLI24" i="7" s="1"/>
  <c r="HLK24" i="7" s="1"/>
  <c r="HLM24" i="7" s="1"/>
  <c r="HLO24" i="7" s="1"/>
  <c r="HLQ24" i="7" s="1"/>
  <c r="HLS24" i="7" s="1"/>
  <c r="HLU24" i="7" s="1"/>
  <c r="HLW24" i="7" s="1"/>
  <c r="HLY24" i="7" s="1"/>
  <c r="HMA24" i="7" s="1"/>
  <c r="HMC24" i="7" s="1"/>
  <c r="HME24" i="7" s="1"/>
  <c r="HMG24" i="7" s="1"/>
  <c r="HMI24" i="7" s="1"/>
  <c r="HMK24" i="7" s="1"/>
  <c r="HMM24" i="7" s="1"/>
  <c r="HMO24" i="7" s="1"/>
  <c r="HMQ24" i="7" s="1"/>
  <c r="HMS24" i="7" s="1"/>
  <c r="HMU24" i="7" s="1"/>
  <c r="HMW24" i="7" s="1"/>
  <c r="HMY24" i="7" s="1"/>
  <c r="HNA24" i="7" s="1"/>
  <c r="HNC24" i="7" s="1"/>
  <c r="HNE24" i="7" s="1"/>
  <c r="HNG24" i="7" s="1"/>
  <c r="HNI24" i="7" s="1"/>
  <c r="HNK24" i="7" s="1"/>
  <c r="HNM24" i="7" s="1"/>
  <c r="HNO24" i="7" s="1"/>
  <c r="HNQ24" i="7" s="1"/>
  <c r="HNS24" i="7" s="1"/>
  <c r="HNU24" i="7" s="1"/>
  <c r="HNW24" i="7" s="1"/>
  <c r="HNY24" i="7" s="1"/>
  <c r="HOA24" i="7" s="1"/>
  <c r="HOC24" i="7" s="1"/>
  <c r="HOE24" i="7" s="1"/>
  <c r="HOG24" i="7" s="1"/>
  <c r="HOI24" i="7" s="1"/>
  <c r="HOK24" i="7" s="1"/>
  <c r="HOM24" i="7" s="1"/>
  <c r="HOO24" i="7" s="1"/>
  <c r="HOQ24" i="7" s="1"/>
  <c r="HOS24" i="7" s="1"/>
  <c r="HOU24" i="7" s="1"/>
  <c r="HOW24" i="7" s="1"/>
  <c r="HOY24" i="7" s="1"/>
  <c r="HPA24" i="7" s="1"/>
  <c r="HPC24" i="7" s="1"/>
  <c r="HPE24" i="7" s="1"/>
  <c r="HPG24" i="7" s="1"/>
  <c r="HPI24" i="7" s="1"/>
  <c r="HPK24" i="7" s="1"/>
  <c r="HPM24" i="7" s="1"/>
  <c r="HPO24" i="7" s="1"/>
  <c r="HPQ24" i="7" s="1"/>
  <c r="HPS24" i="7" s="1"/>
  <c r="HPU24" i="7" s="1"/>
  <c r="HPW24" i="7" s="1"/>
  <c r="HPY24" i="7" s="1"/>
  <c r="HQA24" i="7" s="1"/>
  <c r="HQC24" i="7" s="1"/>
  <c r="HQE24" i="7" s="1"/>
  <c r="HQG24" i="7" s="1"/>
  <c r="HQI24" i="7" s="1"/>
  <c r="HQK24" i="7" s="1"/>
  <c r="HQM24" i="7" s="1"/>
  <c r="HQO24" i="7" s="1"/>
  <c r="HQQ24" i="7" s="1"/>
  <c r="HQS24" i="7" s="1"/>
  <c r="HQU24" i="7" s="1"/>
  <c r="HQW24" i="7" s="1"/>
  <c r="HQY24" i="7" s="1"/>
  <c r="HRA24" i="7" s="1"/>
  <c r="HRC24" i="7" s="1"/>
  <c r="HRE24" i="7" s="1"/>
  <c r="HRG24" i="7" s="1"/>
  <c r="HRI24" i="7" s="1"/>
  <c r="HRK24" i="7" s="1"/>
  <c r="HRM24" i="7" s="1"/>
  <c r="HRO24" i="7" s="1"/>
  <c r="HRQ24" i="7" s="1"/>
  <c r="HRS24" i="7" s="1"/>
  <c r="HRU24" i="7" s="1"/>
  <c r="HRW24" i="7" s="1"/>
  <c r="HRY24" i="7" s="1"/>
  <c r="HSA24" i="7" s="1"/>
  <c r="HSC24" i="7" s="1"/>
  <c r="HSE24" i="7" s="1"/>
  <c r="HSG24" i="7" s="1"/>
  <c r="HSI24" i="7" s="1"/>
  <c r="HSK24" i="7" s="1"/>
  <c r="HSM24" i="7" s="1"/>
  <c r="HSO24" i="7" s="1"/>
  <c r="HSQ24" i="7" s="1"/>
  <c r="HSS24" i="7" s="1"/>
  <c r="HSU24" i="7" s="1"/>
  <c r="HSW24" i="7" s="1"/>
  <c r="HSY24" i="7" s="1"/>
  <c r="HTA24" i="7" s="1"/>
  <c r="HTC24" i="7" s="1"/>
  <c r="HTE24" i="7" s="1"/>
  <c r="HTG24" i="7" s="1"/>
  <c r="HTI24" i="7" s="1"/>
  <c r="HTK24" i="7" s="1"/>
  <c r="HTM24" i="7" s="1"/>
  <c r="HTO24" i="7" s="1"/>
  <c r="HTQ24" i="7" s="1"/>
  <c r="HTS24" i="7" s="1"/>
  <c r="HTU24" i="7" s="1"/>
  <c r="HTW24" i="7" s="1"/>
  <c r="HTY24" i="7" s="1"/>
  <c r="HUA24" i="7" s="1"/>
  <c r="HUC24" i="7" s="1"/>
  <c r="HUE24" i="7" s="1"/>
  <c r="HUG24" i="7" s="1"/>
  <c r="HUI24" i="7" s="1"/>
  <c r="HUK24" i="7" s="1"/>
  <c r="HUM24" i="7" s="1"/>
  <c r="HUO24" i="7" s="1"/>
  <c r="HUQ24" i="7" s="1"/>
  <c r="HUS24" i="7" s="1"/>
  <c r="HUU24" i="7" s="1"/>
  <c r="HUW24" i="7" s="1"/>
  <c r="HUY24" i="7" s="1"/>
  <c r="HVA24" i="7" s="1"/>
  <c r="HVC24" i="7" s="1"/>
  <c r="HVE24" i="7" s="1"/>
  <c r="HVG24" i="7" s="1"/>
  <c r="HVI24" i="7" s="1"/>
  <c r="HVK24" i="7" s="1"/>
  <c r="HVM24" i="7" s="1"/>
  <c r="HVO24" i="7" s="1"/>
  <c r="HVQ24" i="7" s="1"/>
  <c r="HVS24" i="7" s="1"/>
  <c r="HVU24" i="7" s="1"/>
  <c r="HVW24" i="7" s="1"/>
  <c r="HVY24" i="7" s="1"/>
  <c r="HWA24" i="7" s="1"/>
  <c r="HWC24" i="7" s="1"/>
  <c r="HWE24" i="7" s="1"/>
  <c r="HWG24" i="7" s="1"/>
  <c r="HWI24" i="7" s="1"/>
  <c r="HWK24" i="7" s="1"/>
  <c r="HWM24" i="7" s="1"/>
  <c r="HWO24" i="7" s="1"/>
  <c r="HWQ24" i="7" s="1"/>
  <c r="HWS24" i="7" s="1"/>
  <c r="HWU24" i="7" s="1"/>
  <c r="HWW24" i="7" s="1"/>
  <c r="HWY24" i="7" s="1"/>
  <c r="HXA24" i="7" s="1"/>
  <c r="HXC24" i="7" s="1"/>
  <c r="HXE24" i="7" s="1"/>
  <c r="HXG24" i="7" s="1"/>
  <c r="HXI24" i="7" s="1"/>
  <c r="HXK24" i="7" s="1"/>
  <c r="HXM24" i="7" s="1"/>
  <c r="HXO24" i="7" s="1"/>
  <c r="HXQ24" i="7" s="1"/>
  <c r="HXS24" i="7" s="1"/>
  <c r="HXU24" i="7" s="1"/>
  <c r="HXW24" i="7" s="1"/>
  <c r="HXY24" i="7" s="1"/>
  <c r="HYA24" i="7" s="1"/>
  <c r="HYC24" i="7" s="1"/>
  <c r="HYE24" i="7" s="1"/>
  <c r="HYG24" i="7" s="1"/>
  <c r="HYI24" i="7" s="1"/>
  <c r="HYK24" i="7" s="1"/>
  <c r="HYM24" i="7" s="1"/>
  <c r="HYO24" i="7" s="1"/>
  <c r="HYQ24" i="7" s="1"/>
  <c r="HYS24" i="7" s="1"/>
  <c r="HYU24" i="7" s="1"/>
  <c r="HYW24" i="7" s="1"/>
  <c r="HYY24" i="7" s="1"/>
  <c r="HZA24" i="7" s="1"/>
  <c r="HZC24" i="7" s="1"/>
  <c r="HZE24" i="7" s="1"/>
  <c r="HZG24" i="7" s="1"/>
  <c r="HZI24" i="7" s="1"/>
  <c r="HZK24" i="7" s="1"/>
  <c r="HZM24" i="7" s="1"/>
  <c r="HZO24" i="7" s="1"/>
  <c r="HZQ24" i="7" s="1"/>
  <c r="HZS24" i="7" s="1"/>
  <c r="HZU24" i="7" s="1"/>
  <c r="HZW24" i="7" s="1"/>
  <c r="HZY24" i="7" s="1"/>
  <c r="IAA24" i="7" s="1"/>
  <c r="IAC24" i="7" s="1"/>
  <c r="IAE24" i="7" s="1"/>
  <c r="IAG24" i="7" s="1"/>
  <c r="IAI24" i="7" s="1"/>
  <c r="IAK24" i="7" s="1"/>
  <c r="IAM24" i="7" s="1"/>
  <c r="IAO24" i="7" s="1"/>
  <c r="IAQ24" i="7" s="1"/>
  <c r="IAS24" i="7" s="1"/>
  <c r="IAU24" i="7" s="1"/>
  <c r="IAW24" i="7" s="1"/>
  <c r="IAY24" i="7" s="1"/>
  <c r="IBA24" i="7" s="1"/>
  <c r="IBC24" i="7" s="1"/>
  <c r="IBE24" i="7" s="1"/>
  <c r="IBG24" i="7" s="1"/>
  <c r="IBI24" i="7" s="1"/>
  <c r="IBK24" i="7" s="1"/>
  <c r="IBM24" i="7" s="1"/>
  <c r="IBO24" i="7" s="1"/>
  <c r="IBQ24" i="7" s="1"/>
  <c r="IBS24" i="7" s="1"/>
  <c r="IBU24" i="7" s="1"/>
  <c r="IBW24" i="7" s="1"/>
  <c r="IBY24" i="7" s="1"/>
  <c r="ICA24" i="7" s="1"/>
  <c r="ICC24" i="7" s="1"/>
  <c r="ICE24" i="7" s="1"/>
  <c r="ICG24" i="7" s="1"/>
  <c r="ICI24" i="7" s="1"/>
  <c r="ICK24" i="7" s="1"/>
  <c r="ICM24" i="7" s="1"/>
  <c r="ICO24" i="7" s="1"/>
  <c r="ICQ24" i="7" s="1"/>
  <c r="ICS24" i="7" s="1"/>
  <c r="ICU24" i="7" s="1"/>
  <c r="ICW24" i="7" s="1"/>
  <c r="ICY24" i="7" s="1"/>
  <c r="IDA24" i="7" s="1"/>
  <c r="IDC24" i="7" s="1"/>
  <c r="IDE24" i="7" s="1"/>
  <c r="IDG24" i="7" s="1"/>
  <c r="IDI24" i="7" s="1"/>
  <c r="IDK24" i="7" s="1"/>
  <c r="IDM24" i="7" s="1"/>
  <c r="IDO24" i="7" s="1"/>
  <c r="IDQ24" i="7" s="1"/>
  <c r="IDS24" i="7" s="1"/>
  <c r="IDU24" i="7" s="1"/>
  <c r="IDW24" i="7" s="1"/>
  <c r="IDY24" i="7" s="1"/>
  <c r="IEA24" i="7" s="1"/>
  <c r="IEC24" i="7" s="1"/>
  <c r="IEE24" i="7" s="1"/>
  <c r="IEG24" i="7" s="1"/>
  <c r="IEI24" i="7" s="1"/>
  <c r="IEK24" i="7" s="1"/>
  <c r="IEM24" i="7" s="1"/>
  <c r="IEO24" i="7" s="1"/>
  <c r="IEQ24" i="7" s="1"/>
  <c r="IES24" i="7" s="1"/>
  <c r="IEU24" i="7" s="1"/>
  <c r="IEW24" i="7" s="1"/>
  <c r="IEY24" i="7" s="1"/>
  <c r="IFA24" i="7" s="1"/>
  <c r="IFC24" i="7" s="1"/>
  <c r="IFE24" i="7" s="1"/>
  <c r="IFG24" i="7" s="1"/>
  <c r="IFI24" i="7" s="1"/>
  <c r="IFK24" i="7" s="1"/>
  <c r="IFM24" i="7" s="1"/>
  <c r="IFO24" i="7" s="1"/>
  <c r="IFQ24" i="7" s="1"/>
  <c r="IFS24" i="7" s="1"/>
  <c r="IFU24" i="7" s="1"/>
  <c r="IFW24" i="7" s="1"/>
  <c r="IFY24" i="7" s="1"/>
  <c r="IGA24" i="7" s="1"/>
  <c r="IGC24" i="7" s="1"/>
  <c r="IGE24" i="7" s="1"/>
  <c r="IGG24" i="7" s="1"/>
  <c r="IGI24" i="7" s="1"/>
  <c r="IGK24" i="7" s="1"/>
  <c r="IGM24" i="7" s="1"/>
  <c r="IGO24" i="7" s="1"/>
  <c r="IGQ24" i="7" s="1"/>
  <c r="IGS24" i="7" s="1"/>
  <c r="IGU24" i="7" s="1"/>
  <c r="IGW24" i="7" s="1"/>
  <c r="IGY24" i="7" s="1"/>
  <c r="IHA24" i="7" s="1"/>
  <c r="IHC24" i="7" s="1"/>
  <c r="IHE24" i="7" s="1"/>
  <c r="IHG24" i="7" s="1"/>
  <c r="IHI24" i="7" s="1"/>
  <c r="IHK24" i="7" s="1"/>
  <c r="IHM24" i="7" s="1"/>
  <c r="IHO24" i="7" s="1"/>
  <c r="IHQ24" i="7" s="1"/>
  <c r="IHS24" i="7" s="1"/>
  <c r="IHU24" i="7" s="1"/>
  <c r="IHW24" i="7" s="1"/>
  <c r="IHY24" i="7" s="1"/>
  <c r="IIA24" i="7" s="1"/>
  <c r="IIC24" i="7" s="1"/>
  <c r="IIE24" i="7" s="1"/>
  <c r="IIG24" i="7" s="1"/>
  <c r="III24" i="7" s="1"/>
  <c r="IIK24" i="7" s="1"/>
  <c r="IIM24" i="7" s="1"/>
  <c r="IIO24" i="7" s="1"/>
  <c r="IIQ24" i="7" s="1"/>
  <c r="IIS24" i="7" s="1"/>
  <c r="IIU24" i="7" s="1"/>
  <c r="IIW24" i="7" s="1"/>
  <c r="IIY24" i="7" s="1"/>
  <c r="IJA24" i="7" s="1"/>
  <c r="IJC24" i="7" s="1"/>
  <c r="IJE24" i="7" s="1"/>
  <c r="IJG24" i="7" s="1"/>
  <c r="IJI24" i="7" s="1"/>
  <c r="IJK24" i="7" s="1"/>
  <c r="IJM24" i="7" s="1"/>
  <c r="IJO24" i="7" s="1"/>
  <c r="IJQ24" i="7" s="1"/>
  <c r="IJS24" i="7" s="1"/>
  <c r="IJU24" i="7" s="1"/>
  <c r="IJW24" i="7" s="1"/>
  <c r="IJY24" i="7" s="1"/>
  <c r="IKA24" i="7" s="1"/>
  <c r="IKC24" i="7" s="1"/>
  <c r="IKE24" i="7" s="1"/>
  <c r="IKG24" i="7" s="1"/>
  <c r="IKI24" i="7" s="1"/>
  <c r="IKK24" i="7" s="1"/>
  <c r="IKM24" i="7" s="1"/>
  <c r="IKO24" i="7" s="1"/>
  <c r="IKQ24" i="7" s="1"/>
  <c r="IKS24" i="7" s="1"/>
  <c r="IKU24" i="7" s="1"/>
  <c r="IKW24" i="7" s="1"/>
  <c r="IKY24" i="7" s="1"/>
  <c r="ILA24" i="7" s="1"/>
  <c r="ILC24" i="7" s="1"/>
  <c r="ILE24" i="7" s="1"/>
  <c r="ILG24" i="7" s="1"/>
  <c r="ILI24" i="7" s="1"/>
  <c r="ILK24" i="7" s="1"/>
  <c r="ILM24" i="7" s="1"/>
  <c r="ILO24" i="7" s="1"/>
  <c r="ILQ24" i="7" s="1"/>
  <c r="ILS24" i="7" s="1"/>
  <c r="ILU24" i="7" s="1"/>
  <c r="ILW24" i="7" s="1"/>
  <c r="ILY24" i="7" s="1"/>
  <c r="IMA24" i="7" s="1"/>
  <c r="IMC24" i="7" s="1"/>
  <c r="IME24" i="7" s="1"/>
  <c r="IMG24" i="7" s="1"/>
  <c r="IMI24" i="7" s="1"/>
  <c r="IMK24" i="7" s="1"/>
  <c r="IMM24" i="7" s="1"/>
  <c r="IMO24" i="7" s="1"/>
  <c r="IMQ24" i="7" s="1"/>
  <c r="IMS24" i="7" s="1"/>
  <c r="IMU24" i="7" s="1"/>
  <c r="IMW24" i="7" s="1"/>
  <c r="IMY24" i="7" s="1"/>
  <c r="INA24" i="7" s="1"/>
  <c r="INC24" i="7" s="1"/>
  <c r="INE24" i="7" s="1"/>
  <c r="ING24" i="7" s="1"/>
  <c r="INI24" i="7" s="1"/>
  <c r="INK24" i="7" s="1"/>
  <c r="INM24" i="7" s="1"/>
  <c r="INO24" i="7" s="1"/>
  <c r="INQ24" i="7" s="1"/>
  <c r="INS24" i="7" s="1"/>
  <c r="INU24" i="7" s="1"/>
  <c r="INW24" i="7" s="1"/>
  <c r="INY24" i="7" s="1"/>
  <c r="IOA24" i="7" s="1"/>
  <c r="IOC24" i="7" s="1"/>
  <c r="IOE24" i="7" s="1"/>
  <c r="IOG24" i="7" s="1"/>
  <c r="IOI24" i="7" s="1"/>
  <c r="IOK24" i="7" s="1"/>
  <c r="IOM24" i="7" s="1"/>
  <c r="IOO24" i="7" s="1"/>
  <c r="IOQ24" i="7" s="1"/>
  <c r="IOS24" i="7" s="1"/>
  <c r="IOU24" i="7" s="1"/>
  <c r="IOW24" i="7" s="1"/>
  <c r="IOY24" i="7" s="1"/>
  <c r="IPA24" i="7" s="1"/>
  <c r="IPC24" i="7" s="1"/>
  <c r="IPE24" i="7" s="1"/>
  <c r="IPG24" i="7" s="1"/>
  <c r="IPI24" i="7" s="1"/>
  <c r="IPK24" i="7" s="1"/>
  <c r="IPM24" i="7" s="1"/>
  <c r="IPO24" i="7" s="1"/>
  <c r="IPQ24" i="7" s="1"/>
  <c r="IPS24" i="7" s="1"/>
  <c r="IPU24" i="7" s="1"/>
  <c r="IPW24" i="7" s="1"/>
  <c r="IPY24" i="7" s="1"/>
  <c r="IQA24" i="7" s="1"/>
  <c r="IQC24" i="7" s="1"/>
  <c r="IQE24" i="7" s="1"/>
  <c r="IQG24" i="7" s="1"/>
  <c r="IQI24" i="7" s="1"/>
  <c r="IQK24" i="7" s="1"/>
  <c r="IQM24" i="7" s="1"/>
  <c r="IQO24" i="7" s="1"/>
  <c r="IQQ24" i="7" s="1"/>
  <c r="IQS24" i="7" s="1"/>
  <c r="IQU24" i="7" s="1"/>
  <c r="IQW24" i="7" s="1"/>
  <c r="IQY24" i="7" s="1"/>
  <c r="IRA24" i="7" s="1"/>
  <c r="IRC24" i="7" s="1"/>
  <c r="IRE24" i="7" s="1"/>
  <c r="IRG24" i="7" s="1"/>
  <c r="IRI24" i="7" s="1"/>
  <c r="IRK24" i="7" s="1"/>
  <c r="IRM24" i="7" s="1"/>
  <c r="IRO24" i="7" s="1"/>
  <c r="IRQ24" i="7" s="1"/>
  <c r="IRS24" i="7" s="1"/>
  <c r="IRU24" i="7" s="1"/>
  <c r="IRW24" i="7" s="1"/>
  <c r="IRY24" i="7" s="1"/>
  <c r="ISA24" i="7" s="1"/>
  <c r="ISC24" i="7" s="1"/>
  <c r="ISE24" i="7" s="1"/>
  <c r="ISG24" i="7" s="1"/>
  <c r="ISI24" i="7" s="1"/>
  <c r="ISK24" i="7" s="1"/>
  <c r="ISM24" i="7" s="1"/>
  <c r="ISO24" i="7" s="1"/>
  <c r="ISQ24" i="7" s="1"/>
  <c r="ISS24" i="7" s="1"/>
  <c r="ISU24" i="7" s="1"/>
  <c r="ISW24" i="7" s="1"/>
  <c r="ISY24" i="7" s="1"/>
  <c r="ITA24" i="7" s="1"/>
  <c r="ITC24" i="7" s="1"/>
  <c r="ITE24" i="7" s="1"/>
  <c r="ITG24" i="7" s="1"/>
  <c r="ITI24" i="7" s="1"/>
  <c r="ITK24" i="7" s="1"/>
  <c r="ITM24" i="7" s="1"/>
  <c r="ITO24" i="7" s="1"/>
  <c r="ITQ24" i="7" s="1"/>
  <c r="ITS24" i="7" s="1"/>
  <c r="ITU24" i="7" s="1"/>
  <c r="ITW24" i="7" s="1"/>
  <c r="ITY24" i="7" s="1"/>
  <c r="IUA24" i="7" s="1"/>
  <c r="IUC24" i="7" s="1"/>
  <c r="IUE24" i="7" s="1"/>
  <c r="IUG24" i="7" s="1"/>
  <c r="IUI24" i="7" s="1"/>
  <c r="IUK24" i="7" s="1"/>
  <c r="IUM24" i="7" s="1"/>
  <c r="IUO24" i="7" s="1"/>
  <c r="IUQ24" i="7" s="1"/>
  <c r="IUS24" i="7" s="1"/>
  <c r="IUU24" i="7" s="1"/>
  <c r="IUW24" i="7" s="1"/>
  <c r="IUY24" i="7" s="1"/>
  <c r="IVA24" i="7" s="1"/>
  <c r="IVC24" i="7" s="1"/>
  <c r="IVE24" i="7" s="1"/>
  <c r="IVG24" i="7" s="1"/>
  <c r="IVI24" i="7" s="1"/>
  <c r="IVK24" i="7" s="1"/>
  <c r="IVM24" i="7" s="1"/>
  <c r="IVO24" i="7" s="1"/>
  <c r="IVQ24" i="7" s="1"/>
  <c r="IVS24" i="7" s="1"/>
  <c r="IVU24" i="7" s="1"/>
  <c r="IVW24" i="7" s="1"/>
  <c r="IVY24" i="7" s="1"/>
  <c r="IWA24" i="7" s="1"/>
  <c r="IWC24" i="7" s="1"/>
  <c r="IWE24" i="7" s="1"/>
  <c r="IWG24" i="7" s="1"/>
  <c r="IWI24" i="7" s="1"/>
  <c r="IWK24" i="7" s="1"/>
  <c r="IWM24" i="7" s="1"/>
  <c r="IWO24" i="7" s="1"/>
  <c r="IWQ24" i="7" s="1"/>
  <c r="IWS24" i="7" s="1"/>
  <c r="IWU24" i="7" s="1"/>
  <c r="IWW24" i="7" s="1"/>
  <c r="IWY24" i="7" s="1"/>
  <c r="IXA24" i="7" s="1"/>
  <c r="IXC24" i="7" s="1"/>
  <c r="IXE24" i="7" s="1"/>
  <c r="IXG24" i="7" s="1"/>
  <c r="IXI24" i="7" s="1"/>
  <c r="IXK24" i="7" s="1"/>
  <c r="IXM24" i="7" s="1"/>
  <c r="IXO24" i="7" s="1"/>
  <c r="IXQ24" i="7" s="1"/>
  <c r="IXS24" i="7" s="1"/>
  <c r="IXU24" i="7" s="1"/>
  <c r="IXW24" i="7" s="1"/>
  <c r="IXY24" i="7" s="1"/>
  <c r="IYA24" i="7" s="1"/>
  <c r="IYC24" i="7" s="1"/>
  <c r="IYE24" i="7" s="1"/>
  <c r="IYG24" i="7" s="1"/>
  <c r="IYI24" i="7" s="1"/>
  <c r="IYK24" i="7" s="1"/>
  <c r="IYM24" i="7" s="1"/>
  <c r="IYO24" i="7" s="1"/>
  <c r="IYQ24" i="7" s="1"/>
  <c r="IYS24" i="7" s="1"/>
  <c r="IYU24" i="7" s="1"/>
  <c r="IYW24" i="7" s="1"/>
  <c r="IYY24" i="7" s="1"/>
  <c r="IZA24" i="7" s="1"/>
  <c r="IZC24" i="7" s="1"/>
  <c r="IZE24" i="7" s="1"/>
  <c r="IZG24" i="7" s="1"/>
  <c r="IZI24" i="7" s="1"/>
  <c r="IZK24" i="7" s="1"/>
  <c r="IZM24" i="7" s="1"/>
  <c r="IZO24" i="7" s="1"/>
  <c r="IZQ24" i="7" s="1"/>
  <c r="IZS24" i="7" s="1"/>
  <c r="IZU24" i="7" s="1"/>
  <c r="IZW24" i="7" s="1"/>
  <c r="IZY24" i="7" s="1"/>
  <c r="JAA24" i="7" s="1"/>
  <c r="JAC24" i="7" s="1"/>
  <c r="JAE24" i="7" s="1"/>
  <c r="JAG24" i="7" s="1"/>
  <c r="JAI24" i="7" s="1"/>
  <c r="JAK24" i="7" s="1"/>
  <c r="JAM24" i="7" s="1"/>
  <c r="JAO24" i="7" s="1"/>
  <c r="JAQ24" i="7" s="1"/>
  <c r="JAS24" i="7" s="1"/>
  <c r="JAU24" i="7" s="1"/>
  <c r="JAW24" i="7" s="1"/>
  <c r="JAY24" i="7" s="1"/>
  <c r="JBA24" i="7" s="1"/>
  <c r="JBC24" i="7" s="1"/>
  <c r="JBE24" i="7" s="1"/>
  <c r="JBG24" i="7" s="1"/>
  <c r="JBI24" i="7" s="1"/>
  <c r="JBK24" i="7" s="1"/>
  <c r="JBM24" i="7" s="1"/>
  <c r="JBO24" i="7" s="1"/>
  <c r="JBQ24" i="7" s="1"/>
  <c r="JBS24" i="7" s="1"/>
  <c r="JBU24" i="7" s="1"/>
  <c r="JBW24" i="7" s="1"/>
  <c r="JBY24" i="7" s="1"/>
  <c r="JCA24" i="7" s="1"/>
  <c r="JCC24" i="7" s="1"/>
  <c r="JCE24" i="7" s="1"/>
  <c r="JCG24" i="7" s="1"/>
  <c r="JCI24" i="7" s="1"/>
  <c r="JCK24" i="7" s="1"/>
  <c r="JCM24" i="7" s="1"/>
  <c r="JCO24" i="7" s="1"/>
  <c r="JCQ24" i="7" s="1"/>
  <c r="JCS24" i="7" s="1"/>
  <c r="JCU24" i="7" s="1"/>
  <c r="JCW24" i="7" s="1"/>
  <c r="JCY24" i="7" s="1"/>
  <c r="JDA24" i="7" s="1"/>
  <c r="JDC24" i="7" s="1"/>
  <c r="JDE24" i="7" s="1"/>
  <c r="JDG24" i="7" s="1"/>
  <c r="JDI24" i="7" s="1"/>
  <c r="JDK24" i="7" s="1"/>
  <c r="JDM24" i="7" s="1"/>
  <c r="JDO24" i="7" s="1"/>
  <c r="JDQ24" i="7" s="1"/>
  <c r="JDS24" i="7" s="1"/>
  <c r="JDU24" i="7" s="1"/>
  <c r="JDW24" i="7" s="1"/>
  <c r="JDY24" i="7" s="1"/>
  <c r="JEA24" i="7" s="1"/>
  <c r="JEC24" i="7" s="1"/>
  <c r="JEE24" i="7" s="1"/>
  <c r="JEG24" i="7" s="1"/>
  <c r="JEI24" i="7" s="1"/>
  <c r="JEK24" i="7" s="1"/>
  <c r="JEM24" i="7" s="1"/>
  <c r="JEO24" i="7" s="1"/>
  <c r="JEQ24" i="7" s="1"/>
  <c r="JES24" i="7" s="1"/>
  <c r="JEU24" i="7" s="1"/>
  <c r="JEW24" i="7" s="1"/>
  <c r="JEY24" i="7" s="1"/>
  <c r="JFA24" i="7" s="1"/>
  <c r="JFC24" i="7" s="1"/>
  <c r="JFE24" i="7" s="1"/>
  <c r="JFG24" i="7" s="1"/>
  <c r="JFI24" i="7" s="1"/>
  <c r="JFK24" i="7" s="1"/>
  <c r="JFM24" i="7" s="1"/>
  <c r="JFO24" i="7" s="1"/>
  <c r="JFQ24" i="7" s="1"/>
  <c r="JFS24" i="7" s="1"/>
  <c r="JFU24" i="7" s="1"/>
  <c r="JFW24" i="7" s="1"/>
  <c r="JFY24" i="7" s="1"/>
  <c r="JGA24" i="7" s="1"/>
  <c r="JGC24" i="7" s="1"/>
  <c r="JGE24" i="7" s="1"/>
  <c r="JGG24" i="7" s="1"/>
  <c r="JGI24" i="7" s="1"/>
  <c r="JGK24" i="7" s="1"/>
  <c r="JGM24" i="7" s="1"/>
  <c r="JGO24" i="7" s="1"/>
  <c r="JGQ24" i="7" s="1"/>
  <c r="JGS24" i="7" s="1"/>
  <c r="JGU24" i="7" s="1"/>
  <c r="JGW24" i="7" s="1"/>
  <c r="JGY24" i="7" s="1"/>
  <c r="JHA24" i="7" s="1"/>
  <c r="JHC24" i="7" s="1"/>
  <c r="JHE24" i="7" s="1"/>
  <c r="JHG24" i="7" s="1"/>
  <c r="JHI24" i="7" s="1"/>
  <c r="JHK24" i="7" s="1"/>
  <c r="JHM24" i="7" s="1"/>
  <c r="JHO24" i="7" s="1"/>
  <c r="JHQ24" i="7" s="1"/>
  <c r="JHS24" i="7" s="1"/>
  <c r="JHU24" i="7" s="1"/>
  <c r="JHW24" i="7" s="1"/>
  <c r="JHY24" i="7" s="1"/>
  <c r="JIA24" i="7" s="1"/>
  <c r="JIC24" i="7" s="1"/>
  <c r="JIE24" i="7" s="1"/>
  <c r="JIG24" i="7" s="1"/>
  <c r="JII24" i="7" s="1"/>
  <c r="JIK24" i="7" s="1"/>
  <c r="JIM24" i="7" s="1"/>
  <c r="JIO24" i="7" s="1"/>
  <c r="JIQ24" i="7" s="1"/>
  <c r="JIS24" i="7" s="1"/>
  <c r="JIU24" i="7" s="1"/>
  <c r="JIW24" i="7" s="1"/>
  <c r="JIY24" i="7" s="1"/>
  <c r="JJA24" i="7" s="1"/>
  <c r="JJC24" i="7" s="1"/>
  <c r="JJE24" i="7" s="1"/>
  <c r="JJG24" i="7" s="1"/>
  <c r="JJI24" i="7" s="1"/>
  <c r="JJK24" i="7" s="1"/>
  <c r="JJM24" i="7" s="1"/>
  <c r="JJO24" i="7" s="1"/>
  <c r="JJQ24" i="7" s="1"/>
  <c r="JJS24" i="7" s="1"/>
  <c r="JJU24" i="7" s="1"/>
  <c r="JJW24" i="7" s="1"/>
  <c r="JJY24" i="7" s="1"/>
  <c r="JKA24" i="7" s="1"/>
  <c r="JKC24" i="7" s="1"/>
  <c r="JKE24" i="7" s="1"/>
  <c r="JKG24" i="7" s="1"/>
  <c r="JKI24" i="7" s="1"/>
  <c r="JKK24" i="7" s="1"/>
  <c r="JKM24" i="7" s="1"/>
  <c r="JKO24" i="7" s="1"/>
  <c r="JKQ24" i="7" s="1"/>
  <c r="JKS24" i="7" s="1"/>
  <c r="JKU24" i="7" s="1"/>
  <c r="JKW24" i="7" s="1"/>
  <c r="JKY24" i="7" s="1"/>
  <c r="JLA24" i="7" s="1"/>
  <c r="JLC24" i="7" s="1"/>
  <c r="JLE24" i="7" s="1"/>
  <c r="JLG24" i="7" s="1"/>
  <c r="JLI24" i="7" s="1"/>
  <c r="JLK24" i="7" s="1"/>
  <c r="JLM24" i="7" s="1"/>
  <c r="JLO24" i="7" s="1"/>
  <c r="JLQ24" i="7" s="1"/>
  <c r="JLS24" i="7" s="1"/>
  <c r="JLU24" i="7" s="1"/>
  <c r="JLW24" i="7" s="1"/>
  <c r="JLY24" i="7" s="1"/>
  <c r="JMA24" i="7" s="1"/>
  <c r="JMC24" i="7" s="1"/>
  <c r="JME24" i="7" s="1"/>
  <c r="JMG24" i="7" s="1"/>
  <c r="JMI24" i="7" s="1"/>
  <c r="JMK24" i="7" s="1"/>
  <c r="JMM24" i="7" s="1"/>
  <c r="JMO24" i="7" s="1"/>
  <c r="JMQ24" i="7" s="1"/>
  <c r="JMS24" i="7" s="1"/>
  <c r="JMU24" i="7" s="1"/>
  <c r="JMW24" i="7" s="1"/>
  <c r="JMY24" i="7" s="1"/>
  <c r="JNA24" i="7" s="1"/>
  <c r="JNC24" i="7" s="1"/>
  <c r="JNE24" i="7" s="1"/>
  <c r="JNG24" i="7" s="1"/>
  <c r="JNI24" i="7" s="1"/>
  <c r="JNK24" i="7" s="1"/>
  <c r="JNM24" i="7" s="1"/>
  <c r="JNO24" i="7" s="1"/>
  <c r="JNQ24" i="7" s="1"/>
  <c r="JNS24" i="7" s="1"/>
  <c r="JNU24" i="7" s="1"/>
  <c r="JNW24" i="7" s="1"/>
  <c r="JNY24" i="7" s="1"/>
  <c r="JOA24" i="7" s="1"/>
  <c r="JOC24" i="7" s="1"/>
  <c r="JOE24" i="7" s="1"/>
  <c r="JOG24" i="7" s="1"/>
  <c r="JOI24" i="7" s="1"/>
  <c r="JOK24" i="7" s="1"/>
  <c r="JOM24" i="7" s="1"/>
  <c r="JOO24" i="7" s="1"/>
  <c r="JOQ24" i="7" s="1"/>
  <c r="JOS24" i="7" s="1"/>
  <c r="JOU24" i="7" s="1"/>
  <c r="JOW24" i="7" s="1"/>
  <c r="JOY24" i="7" s="1"/>
  <c r="JPA24" i="7" s="1"/>
  <c r="JPC24" i="7" s="1"/>
  <c r="JPE24" i="7" s="1"/>
  <c r="JPG24" i="7" s="1"/>
  <c r="JPI24" i="7" s="1"/>
  <c r="JPK24" i="7" s="1"/>
  <c r="JPM24" i="7" s="1"/>
  <c r="JPO24" i="7" s="1"/>
  <c r="JPQ24" i="7" s="1"/>
  <c r="JPS24" i="7" s="1"/>
  <c r="JPU24" i="7" s="1"/>
  <c r="JPW24" i="7" s="1"/>
  <c r="JPY24" i="7" s="1"/>
  <c r="JQA24" i="7" s="1"/>
  <c r="JQC24" i="7" s="1"/>
  <c r="JQE24" i="7" s="1"/>
  <c r="JQG24" i="7" s="1"/>
  <c r="JQI24" i="7" s="1"/>
  <c r="JQK24" i="7" s="1"/>
  <c r="JQM24" i="7" s="1"/>
  <c r="JQO24" i="7" s="1"/>
  <c r="JQQ24" i="7" s="1"/>
  <c r="JQS24" i="7" s="1"/>
  <c r="JQU24" i="7" s="1"/>
  <c r="JQW24" i="7" s="1"/>
  <c r="JQY24" i="7" s="1"/>
  <c r="JRA24" i="7" s="1"/>
  <c r="JRC24" i="7" s="1"/>
  <c r="JRE24" i="7" s="1"/>
  <c r="JRG24" i="7" s="1"/>
  <c r="JRI24" i="7" s="1"/>
  <c r="JRK24" i="7" s="1"/>
  <c r="JRM24" i="7" s="1"/>
  <c r="JRO24" i="7" s="1"/>
  <c r="JRQ24" i="7" s="1"/>
  <c r="JRS24" i="7" s="1"/>
  <c r="JRU24" i="7" s="1"/>
  <c r="JRW24" i="7" s="1"/>
  <c r="JRY24" i="7" s="1"/>
  <c r="JSA24" i="7" s="1"/>
  <c r="JSC24" i="7" s="1"/>
  <c r="JSE24" i="7" s="1"/>
  <c r="JSG24" i="7" s="1"/>
  <c r="JSI24" i="7" s="1"/>
  <c r="JSK24" i="7" s="1"/>
  <c r="JSM24" i="7" s="1"/>
  <c r="JSO24" i="7" s="1"/>
  <c r="JSQ24" i="7" s="1"/>
  <c r="JSS24" i="7" s="1"/>
  <c r="JSU24" i="7" s="1"/>
  <c r="JSW24" i="7" s="1"/>
  <c r="JSY24" i="7" s="1"/>
  <c r="JTA24" i="7" s="1"/>
  <c r="JTC24" i="7" s="1"/>
  <c r="JTE24" i="7" s="1"/>
  <c r="JTG24" i="7" s="1"/>
  <c r="JTI24" i="7" s="1"/>
  <c r="JTK24" i="7" s="1"/>
  <c r="JTM24" i="7" s="1"/>
  <c r="JTO24" i="7" s="1"/>
  <c r="JTQ24" i="7" s="1"/>
  <c r="JTS24" i="7" s="1"/>
  <c r="JTU24" i="7" s="1"/>
  <c r="JTW24" i="7" s="1"/>
  <c r="JTY24" i="7" s="1"/>
  <c r="JUA24" i="7" s="1"/>
  <c r="JUC24" i="7" s="1"/>
  <c r="JUE24" i="7" s="1"/>
  <c r="JUG24" i="7" s="1"/>
  <c r="JUI24" i="7" s="1"/>
  <c r="JUK24" i="7" s="1"/>
  <c r="JUM24" i="7" s="1"/>
  <c r="JUO24" i="7" s="1"/>
  <c r="JUQ24" i="7" s="1"/>
  <c r="JUS24" i="7" s="1"/>
  <c r="JUU24" i="7" s="1"/>
  <c r="JUW24" i="7" s="1"/>
  <c r="JUY24" i="7" s="1"/>
  <c r="JVA24" i="7" s="1"/>
  <c r="JVC24" i="7" s="1"/>
  <c r="JVE24" i="7" s="1"/>
  <c r="JVG24" i="7" s="1"/>
  <c r="JVI24" i="7" s="1"/>
  <c r="JVK24" i="7" s="1"/>
  <c r="JVM24" i="7" s="1"/>
  <c r="JVO24" i="7" s="1"/>
  <c r="JVQ24" i="7" s="1"/>
  <c r="JVS24" i="7" s="1"/>
  <c r="JVU24" i="7" s="1"/>
  <c r="JVW24" i="7" s="1"/>
  <c r="JVY24" i="7" s="1"/>
  <c r="JWA24" i="7" s="1"/>
  <c r="JWC24" i="7" s="1"/>
  <c r="JWE24" i="7" s="1"/>
  <c r="JWG24" i="7" s="1"/>
  <c r="JWI24" i="7" s="1"/>
  <c r="JWK24" i="7" s="1"/>
  <c r="JWM24" i="7" s="1"/>
  <c r="JWO24" i="7" s="1"/>
  <c r="JWQ24" i="7" s="1"/>
  <c r="JWS24" i="7" s="1"/>
  <c r="JWU24" i="7" s="1"/>
  <c r="JWW24" i="7" s="1"/>
  <c r="JWY24" i="7" s="1"/>
  <c r="JXA24" i="7" s="1"/>
  <c r="JXC24" i="7" s="1"/>
  <c r="JXE24" i="7" s="1"/>
  <c r="JXG24" i="7" s="1"/>
  <c r="JXI24" i="7" s="1"/>
  <c r="JXK24" i="7" s="1"/>
  <c r="JXM24" i="7" s="1"/>
  <c r="JXO24" i="7" s="1"/>
  <c r="JXQ24" i="7" s="1"/>
  <c r="JXS24" i="7" s="1"/>
  <c r="JXU24" i="7" s="1"/>
  <c r="JXW24" i="7" s="1"/>
  <c r="JXY24" i="7" s="1"/>
  <c r="JYA24" i="7" s="1"/>
  <c r="JYC24" i="7" s="1"/>
  <c r="JYE24" i="7" s="1"/>
  <c r="JYG24" i="7" s="1"/>
  <c r="JYI24" i="7" s="1"/>
  <c r="JYK24" i="7" s="1"/>
  <c r="JYM24" i="7" s="1"/>
  <c r="JYO24" i="7" s="1"/>
  <c r="JYQ24" i="7" s="1"/>
  <c r="JYS24" i="7" s="1"/>
  <c r="JYU24" i="7" s="1"/>
  <c r="JYW24" i="7" s="1"/>
  <c r="JYY24" i="7" s="1"/>
  <c r="JZA24" i="7" s="1"/>
  <c r="JZC24" i="7" s="1"/>
  <c r="JZE24" i="7" s="1"/>
  <c r="JZG24" i="7" s="1"/>
  <c r="JZI24" i="7" s="1"/>
  <c r="JZK24" i="7" s="1"/>
  <c r="JZM24" i="7" s="1"/>
  <c r="JZO24" i="7" s="1"/>
  <c r="JZQ24" i="7" s="1"/>
  <c r="JZS24" i="7" s="1"/>
  <c r="JZU24" i="7" s="1"/>
  <c r="JZW24" i="7" s="1"/>
  <c r="JZY24" i="7" s="1"/>
  <c r="KAA24" i="7" s="1"/>
  <c r="KAC24" i="7" s="1"/>
  <c r="KAE24" i="7" s="1"/>
  <c r="KAG24" i="7" s="1"/>
  <c r="KAI24" i="7" s="1"/>
  <c r="KAK24" i="7" s="1"/>
  <c r="KAM24" i="7" s="1"/>
  <c r="KAO24" i="7" s="1"/>
  <c r="KAQ24" i="7" s="1"/>
  <c r="KAS24" i="7" s="1"/>
  <c r="KAU24" i="7" s="1"/>
  <c r="KAW24" i="7" s="1"/>
  <c r="KAY24" i="7" s="1"/>
  <c r="KBA24" i="7" s="1"/>
  <c r="KBC24" i="7" s="1"/>
  <c r="KBE24" i="7" s="1"/>
  <c r="KBG24" i="7" s="1"/>
  <c r="KBI24" i="7" s="1"/>
  <c r="KBK24" i="7" s="1"/>
  <c r="KBM24" i="7" s="1"/>
  <c r="KBO24" i="7" s="1"/>
  <c r="KBQ24" i="7" s="1"/>
  <c r="KBS24" i="7" s="1"/>
  <c r="KBU24" i="7" s="1"/>
  <c r="KBW24" i="7" s="1"/>
  <c r="KBY24" i="7" s="1"/>
  <c r="KCA24" i="7" s="1"/>
  <c r="KCC24" i="7" s="1"/>
  <c r="KCE24" i="7" s="1"/>
  <c r="KCG24" i="7" s="1"/>
  <c r="KCI24" i="7" s="1"/>
  <c r="KCK24" i="7" s="1"/>
  <c r="KCM24" i="7" s="1"/>
  <c r="KCO24" i="7" s="1"/>
  <c r="KCQ24" i="7" s="1"/>
  <c r="KCS24" i="7" s="1"/>
  <c r="KCU24" i="7" s="1"/>
  <c r="KCW24" i="7" s="1"/>
  <c r="KCY24" i="7" s="1"/>
  <c r="KDA24" i="7" s="1"/>
  <c r="KDC24" i="7" s="1"/>
  <c r="KDE24" i="7" s="1"/>
  <c r="KDG24" i="7" s="1"/>
  <c r="KDI24" i="7" s="1"/>
  <c r="KDK24" i="7" s="1"/>
  <c r="KDM24" i="7" s="1"/>
  <c r="KDO24" i="7" s="1"/>
  <c r="KDQ24" i="7" s="1"/>
  <c r="KDS24" i="7" s="1"/>
  <c r="KDU24" i="7" s="1"/>
  <c r="KDW24" i="7" s="1"/>
  <c r="KDY24" i="7" s="1"/>
  <c r="KEA24" i="7" s="1"/>
  <c r="KEC24" i="7" s="1"/>
  <c r="KEE24" i="7" s="1"/>
  <c r="KEG24" i="7" s="1"/>
  <c r="KEI24" i="7" s="1"/>
  <c r="KEK24" i="7" s="1"/>
  <c r="KEM24" i="7" s="1"/>
  <c r="KEO24" i="7" s="1"/>
  <c r="KEQ24" i="7" s="1"/>
  <c r="KES24" i="7" s="1"/>
  <c r="KEU24" i="7" s="1"/>
  <c r="KEW24" i="7" s="1"/>
  <c r="KEY24" i="7" s="1"/>
  <c r="KFA24" i="7" s="1"/>
  <c r="KFC24" i="7" s="1"/>
  <c r="KFE24" i="7" s="1"/>
  <c r="KFG24" i="7" s="1"/>
  <c r="KFI24" i="7" s="1"/>
  <c r="KFK24" i="7" s="1"/>
  <c r="KFM24" i="7" s="1"/>
  <c r="KFO24" i="7" s="1"/>
  <c r="KFQ24" i="7" s="1"/>
  <c r="KFS24" i="7" s="1"/>
  <c r="KFU24" i="7" s="1"/>
  <c r="KFW24" i="7" s="1"/>
  <c r="KFY24" i="7" s="1"/>
  <c r="KGA24" i="7" s="1"/>
  <c r="KGC24" i="7" s="1"/>
  <c r="KGE24" i="7" s="1"/>
  <c r="KGG24" i="7" s="1"/>
  <c r="KGI24" i="7" s="1"/>
  <c r="KGK24" i="7" s="1"/>
  <c r="KGM24" i="7" s="1"/>
  <c r="KGO24" i="7" s="1"/>
  <c r="KGQ24" i="7" s="1"/>
  <c r="KGS24" i="7" s="1"/>
  <c r="KGU24" i="7" s="1"/>
  <c r="KGW24" i="7" s="1"/>
  <c r="KGY24" i="7" s="1"/>
  <c r="KHA24" i="7" s="1"/>
  <c r="KHC24" i="7" s="1"/>
  <c r="KHE24" i="7" s="1"/>
  <c r="KHG24" i="7" s="1"/>
  <c r="KHI24" i="7" s="1"/>
  <c r="KHK24" i="7" s="1"/>
  <c r="KHM24" i="7" s="1"/>
  <c r="KHO24" i="7" s="1"/>
  <c r="KHQ24" i="7" s="1"/>
  <c r="KHS24" i="7" s="1"/>
  <c r="KHU24" i="7" s="1"/>
  <c r="KHW24" i="7" s="1"/>
  <c r="KHY24" i="7" s="1"/>
  <c r="KIA24" i="7" s="1"/>
  <c r="KIC24" i="7" s="1"/>
  <c r="KIE24" i="7" s="1"/>
  <c r="KIG24" i="7" s="1"/>
  <c r="KII24" i="7" s="1"/>
  <c r="KIK24" i="7" s="1"/>
  <c r="KIM24" i="7" s="1"/>
  <c r="KIO24" i="7" s="1"/>
  <c r="KIQ24" i="7" s="1"/>
  <c r="KIS24" i="7" s="1"/>
  <c r="KIU24" i="7" s="1"/>
  <c r="KIW24" i="7" s="1"/>
  <c r="KIY24" i="7" s="1"/>
  <c r="KJA24" i="7" s="1"/>
  <c r="KJC24" i="7" s="1"/>
  <c r="KJE24" i="7" s="1"/>
  <c r="KJG24" i="7" s="1"/>
  <c r="KJI24" i="7" s="1"/>
  <c r="KJK24" i="7" s="1"/>
  <c r="KJM24" i="7" s="1"/>
  <c r="KJO24" i="7" s="1"/>
  <c r="KJQ24" i="7" s="1"/>
  <c r="KJS24" i="7" s="1"/>
  <c r="KJU24" i="7" s="1"/>
  <c r="KJW24" i="7" s="1"/>
  <c r="KJY24" i="7" s="1"/>
  <c r="KKA24" i="7" s="1"/>
  <c r="KKC24" i="7" s="1"/>
  <c r="KKE24" i="7" s="1"/>
  <c r="KKG24" i="7" s="1"/>
  <c r="KKI24" i="7" s="1"/>
  <c r="KKK24" i="7" s="1"/>
  <c r="KKM24" i="7" s="1"/>
  <c r="KKO24" i="7" s="1"/>
  <c r="KKQ24" i="7" s="1"/>
  <c r="KKS24" i="7" s="1"/>
  <c r="KKU24" i="7" s="1"/>
  <c r="KKW24" i="7" s="1"/>
  <c r="KKY24" i="7" s="1"/>
  <c r="KLA24" i="7" s="1"/>
  <c r="KLC24" i="7" s="1"/>
  <c r="KLE24" i="7" s="1"/>
  <c r="KLG24" i="7" s="1"/>
  <c r="KLI24" i="7" s="1"/>
  <c r="KLK24" i="7" s="1"/>
  <c r="KLM24" i="7" s="1"/>
  <c r="KLO24" i="7" s="1"/>
  <c r="KLQ24" i="7" s="1"/>
  <c r="KLS24" i="7" s="1"/>
  <c r="KLU24" i="7" s="1"/>
  <c r="KLW24" i="7" s="1"/>
  <c r="KLY24" i="7" s="1"/>
  <c r="KMA24" i="7" s="1"/>
  <c r="KMC24" i="7" s="1"/>
  <c r="KME24" i="7" s="1"/>
  <c r="KMG24" i="7" s="1"/>
  <c r="KMI24" i="7" s="1"/>
  <c r="KMK24" i="7" s="1"/>
  <c r="KMM24" i="7" s="1"/>
  <c r="KMO24" i="7" s="1"/>
  <c r="KMQ24" i="7" s="1"/>
  <c r="KMS24" i="7" s="1"/>
  <c r="KMU24" i="7" s="1"/>
  <c r="KMW24" i="7" s="1"/>
  <c r="KMY24" i="7" s="1"/>
  <c r="KNA24" i="7" s="1"/>
  <c r="KNC24" i="7" s="1"/>
  <c r="KNE24" i="7" s="1"/>
  <c r="KNG24" i="7" s="1"/>
  <c r="KNI24" i="7" s="1"/>
  <c r="KNK24" i="7" s="1"/>
  <c r="KNM24" i="7" s="1"/>
  <c r="KNO24" i="7" s="1"/>
  <c r="KNQ24" i="7" s="1"/>
  <c r="KNS24" i="7" s="1"/>
  <c r="KNU24" i="7" s="1"/>
  <c r="KNW24" i="7" s="1"/>
  <c r="KNY24" i="7" s="1"/>
  <c r="KOA24" i="7" s="1"/>
  <c r="KOC24" i="7" s="1"/>
  <c r="KOE24" i="7" s="1"/>
  <c r="KOG24" i="7" s="1"/>
  <c r="KOI24" i="7" s="1"/>
  <c r="KOK24" i="7" s="1"/>
  <c r="KOM24" i="7" s="1"/>
  <c r="KOO24" i="7" s="1"/>
  <c r="KOQ24" i="7" s="1"/>
  <c r="KOS24" i="7" s="1"/>
  <c r="KOU24" i="7" s="1"/>
  <c r="KOW24" i="7" s="1"/>
  <c r="KOY24" i="7" s="1"/>
  <c r="KPA24" i="7" s="1"/>
  <c r="KPC24" i="7" s="1"/>
  <c r="KPE24" i="7" s="1"/>
  <c r="KPG24" i="7" s="1"/>
  <c r="KPI24" i="7" s="1"/>
  <c r="KPK24" i="7" s="1"/>
  <c r="KPM24" i="7" s="1"/>
  <c r="KPO24" i="7" s="1"/>
  <c r="KPQ24" i="7" s="1"/>
  <c r="KPS24" i="7" s="1"/>
  <c r="KPU24" i="7" s="1"/>
  <c r="KPW24" i="7" s="1"/>
  <c r="KPY24" i="7" s="1"/>
  <c r="KQA24" i="7" s="1"/>
  <c r="KQC24" i="7" s="1"/>
  <c r="KQE24" i="7" s="1"/>
  <c r="KQG24" i="7" s="1"/>
  <c r="KQI24" i="7" s="1"/>
  <c r="KQK24" i="7" s="1"/>
  <c r="KQM24" i="7" s="1"/>
  <c r="KQO24" i="7" s="1"/>
  <c r="KQQ24" i="7" s="1"/>
  <c r="KQS24" i="7" s="1"/>
  <c r="KQU24" i="7" s="1"/>
  <c r="KQW24" i="7" s="1"/>
  <c r="KQY24" i="7" s="1"/>
  <c r="KRA24" i="7" s="1"/>
  <c r="KRC24" i="7" s="1"/>
  <c r="KRE24" i="7" s="1"/>
  <c r="KRG24" i="7" s="1"/>
  <c r="KRI24" i="7" s="1"/>
  <c r="KRK24" i="7" s="1"/>
  <c r="KRM24" i="7" s="1"/>
  <c r="KRO24" i="7" s="1"/>
  <c r="KRQ24" i="7" s="1"/>
  <c r="KRS24" i="7" s="1"/>
  <c r="KRU24" i="7" s="1"/>
  <c r="KRW24" i="7" s="1"/>
  <c r="KRY24" i="7" s="1"/>
  <c r="KSA24" i="7" s="1"/>
  <c r="KSC24" i="7" s="1"/>
  <c r="KSE24" i="7" s="1"/>
  <c r="KSG24" i="7" s="1"/>
  <c r="KSI24" i="7" s="1"/>
  <c r="KSK24" i="7" s="1"/>
  <c r="KSM24" i="7" s="1"/>
  <c r="KSO24" i="7" s="1"/>
  <c r="KSQ24" i="7" s="1"/>
  <c r="KSS24" i="7" s="1"/>
  <c r="KSU24" i="7" s="1"/>
  <c r="KSW24" i="7" s="1"/>
  <c r="KSY24" i="7" s="1"/>
  <c r="KTA24" i="7" s="1"/>
  <c r="KTC24" i="7" s="1"/>
  <c r="KTE24" i="7" s="1"/>
  <c r="KTG24" i="7" s="1"/>
  <c r="KTI24" i="7" s="1"/>
  <c r="KTK24" i="7" s="1"/>
  <c r="KTM24" i="7" s="1"/>
  <c r="KTO24" i="7" s="1"/>
  <c r="KTQ24" i="7" s="1"/>
  <c r="KTS24" i="7" s="1"/>
  <c r="KTU24" i="7" s="1"/>
  <c r="KTW24" i="7" s="1"/>
  <c r="KTY24" i="7" s="1"/>
  <c r="KUA24" i="7" s="1"/>
  <c r="KUC24" i="7" s="1"/>
  <c r="KUE24" i="7" s="1"/>
  <c r="KUG24" i="7" s="1"/>
  <c r="KUI24" i="7" s="1"/>
  <c r="KUK24" i="7" s="1"/>
  <c r="KUM24" i="7" s="1"/>
  <c r="KUO24" i="7" s="1"/>
  <c r="KUQ24" i="7" s="1"/>
  <c r="KUS24" i="7" s="1"/>
  <c r="KUU24" i="7" s="1"/>
  <c r="KUW24" i="7" s="1"/>
  <c r="KUY24" i="7" s="1"/>
  <c r="KVA24" i="7" s="1"/>
  <c r="KVC24" i="7" s="1"/>
  <c r="KVE24" i="7" s="1"/>
  <c r="KVG24" i="7" s="1"/>
  <c r="KVI24" i="7" s="1"/>
  <c r="KVK24" i="7" s="1"/>
  <c r="KVM24" i="7" s="1"/>
  <c r="KVO24" i="7" s="1"/>
  <c r="KVQ24" i="7" s="1"/>
  <c r="KVS24" i="7" s="1"/>
  <c r="KVU24" i="7" s="1"/>
  <c r="KVW24" i="7" s="1"/>
  <c r="KVY24" i="7" s="1"/>
  <c r="KWA24" i="7" s="1"/>
  <c r="KWC24" i="7" s="1"/>
  <c r="KWE24" i="7" s="1"/>
  <c r="KWG24" i="7" s="1"/>
  <c r="KWI24" i="7" s="1"/>
  <c r="KWK24" i="7" s="1"/>
  <c r="KWM24" i="7" s="1"/>
  <c r="KWO24" i="7" s="1"/>
  <c r="KWQ24" i="7" s="1"/>
  <c r="KWS24" i="7" s="1"/>
  <c r="KWU24" i="7" s="1"/>
  <c r="KWW24" i="7" s="1"/>
  <c r="KWY24" i="7" s="1"/>
  <c r="KXA24" i="7" s="1"/>
  <c r="KXC24" i="7" s="1"/>
  <c r="KXE24" i="7" s="1"/>
  <c r="KXG24" i="7" s="1"/>
  <c r="KXI24" i="7" s="1"/>
  <c r="KXK24" i="7" s="1"/>
  <c r="KXM24" i="7" s="1"/>
  <c r="KXO24" i="7" s="1"/>
  <c r="KXQ24" i="7" s="1"/>
  <c r="KXS24" i="7" s="1"/>
  <c r="KXU24" i="7" s="1"/>
  <c r="KXW24" i="7" s="1"/>
  <c r="KXY24" i="7" s="1"/>
  <c r="KYA24" i="7" s="1"/>
  <c r="KYC24" i="7" s="1"/>
  <c r="KYE24" i="7" s="1"/>
  <c r="KYG24" i="7" s="1"/>
  <c r="KYI24" i="7" s="1"/>
  <c r="KYK24" i="7" s="1"/>
  <c r="KYM24" i="7" s="1"/>
  <c r="KYO24" i="7" s="1"/>
  <c r="KYQ24" i="7" s="1"/>
  <c r="KYS24" i="7" s="1"/>
  <c r="KYU24" i="7" s="1"/>
  <c r="KYW24" i="7" s="1"/>
  <c r="KYY24" i="7" s="1"/>
  <c r="KZA24" i="7" s="1"/>
  <c r="KZC24" i="7" s="1"/>
  <c r="KZE24" i="7" s="1"/>
  <c r="KZG24" i="7" s="1"/>
  <c r="KZI24" i="7" s="1"/>
  <c r="KZK24" i="7" s="1"/>
  <c r="KZM24" i="7" s="1"/>
  <c r="KZO24" i="7" s="1"/>
  <c r="KZQ24" i="7" s="1"/>
  <c r="KZS24" i="7" s="1"/>
  <c r="KZU24" i="7" s="1"/>
  <c r="KZW24" i="7" s="1"/>
  <c r="KZY24" i="7" s="1"/>
  <c r="LAA24" i="7" s="1"/>
  <c r="LAC24" i="7" s="1"/>
  <c r="LAE24" i="7" s="1"/>
  <c r="LAG24" i="7" s="1"/>
  <c r="LAI24" i="7" s="1"/>
  <c r="LAK24" i="7" s="1"/>
  <c r="LAM24" i="7" s="1"/>
  <c r="LAO24" i="7" s="1"/>
  <c r="LAQ24" i="7" s="1"/>
  <c r="LAS24" i="7" s="1"/>
  <c r="LAU24" i="7" s="1"/>
  <c r="LAW24" i="7" s="1"/>
  <c r="LAY24" i="7" s="1"/>
  <c r="LBA24" i="7" s="1"/>
  <c r="LBC24" i="7" s="1"/>
  <c r="LBE24" i="7" s="1"/>
  <c r="LBG24" i="7" s="1"/>
  <c r="LBI24" i="7" s="1"/>
  <c r="LBK24" i="7" s="1"/>
  <c r="LBM24" i="7" s="1"/>
  <c r="LBO24" i="7" s="1"/>
  <c r="LBQ24" i="7" s="1"/>
  <c r="LBS24" i="7" s="1"/>
  <c r="LBU24" i="7" s="1"/>
  <c r="LBW24" i="7" s="1"/>
  <c r="LBY24" i="7" s="1"/>
  <c r="LCA24" i="7" s="1"/>
  <c r="LCC24" i="7" s="1"/>
  <c r="LCE24" i="7" s="1"/>
  <c r="LCG24" i="7" s="1"/>
  <c r="LCI24" i="7" s="1"/>
  <c r="LCK24" i="7" s="1"/>
  <c r="LCM24" i="7" s="1"/>
  <c r="LCO24" i="7" s="1"/>
  <c r="LCQ24" i="7" s="1"/>
  <c r="LCS24" i="7" s="1"/>
  <c r="LCU24" i="7" s="1"/>
  <c r="LCW24" i="7" s="1"/>
  <c r="LCY24" i="7" s="1"/>
  <c r="LDA24" i="7" s="1"/>
  <c r="LDC24" i="7" s="1"/>
  <c r="LDE24" i="7" s="1"/>
  <c r="LDG24" i="7" s="1"/>
  <c r="LDI24" i="7" s="1"/>
  <c r="LDK24" i="7" s="1"/>
  <c r="LDM24" i="7" s="1"/>
  <c r="LDO24" i="7" s="1"/>
  <c r="LDQ24" i="7" s="1"/>
  <c r="LDS24" i="7" s="1"/>
  <c r="LDU24" i="7" s="1"/>
  <c r="LDW24" i="7" s="1"/>
  <c r="LDY24" i="7" s="1"/>
  <c r="LEA24" i="7" s="1"/>
  <c r="LEC24" i="7" s="1"/>
  <c r="LEE24" i="7" s="1"/>
  <c r="LEG24" i="7" s="1"/>
  <c r="LEI24" i="7" s="1"/>
  <c r="LEK24" i="7" s="1"/>
  <c r="LEM24" i="7" s="1"/>
  <c r="LEO24" i="7" s="1"/>
  <c r="LEQ24" i="7" s="1"/>
  <c r="LES24" i="7" s="1"/>
  <c r="LEU24" i="7" s="1"/>
  <c r="LEW24" i="7" s="1"/>
  <c r="LEY24" i="7" s="1"/>
  <c r="LFA24" i="7" s="1"/>
  <c r="LFC24" i="7" s="1"/>
  <c r="LFE24" i="7" s="1"/>
  <c r="LFG24" i="7" s="1"/>
  <c r="LFI24" i="7" s="1"/>
  <c r="LFK24" i="7" s="1"/>
  <c r="LFM24" i="7" s="1"/>
  <c r="LFO24" i="7" s="1"/>
  <c r="LFQ24" i="7" s="1"/>
  <c r="LFS24" i="7" s="1"/>
  <c r="LFU24" i="7" s="1"/>
  <c r="LFW24" i="7" s="1"/>
  <c r="LFY24" i="7" s="1"/>
  <c r="LGA24" i="7" s="1"/>
  <c r="LGC24" i="7" s="1"/>
  <c r="LGE24" i="7" s="1"/>
  <c r="LGG24" i="7" s="1"/>
  <c r="LGI24" i="7" s="1"/>
  <c r="LGK24" i="7" s="1"/>
  <c r="LGM24" i="7" s="1"/>
  <c r="LGO24" i="7" s="1"/>
  <c r="LGQ24" i="7" s="1"/>
  <c r="LGS24" i="7" s="1"/>
  <c r="LGU24" i="7" s="1"/>
  <c r="LGW24" i="7" s="1"/>
  <c r="LGY24" i="7" s="1"/>
  <c r="LHA24" i="7" s="1"/>
  <c r="LHC24" i="7" s="1"/>
  <c r="LHE24" i="7" s="1"/>
  <c r="LHG24" i="7" s="1"/>
  <c r="LHI24" i="7" s="1"/>
  <c r="LHK24" i="7" s="1"/>
  <c r="LHM24" i="7" s="1"/>
  <c r="LHO24" i="7" s="1"/>
  <c r="LHQ24" i="7" s="1"/>
  <c r="LHS24" i="7" s="1"/>
  <c r="LHU24" i="7" s="1"/>
  <c r="LHW24" i="7" s="1"/>
  <c r="LHY24" i="7" s="1"/>
  <c r="LIA24" i="7" s="1"/>
  <c r="LIC24" i="7" s="1"/>
  <c r="LIE24" i="7" s="1"/>
  <c r="LIG24" i="7" s="1"/>
  <c r="LII24" i="7" s="1"/>
  <c r="LIK24" i="7" s="1"/>
  <c r="LIM24" i="7" s="1"/>
  <c r="LIO24" i="7" s="1"/>
  <c r="LIQ24" i="7" s="1"/>
  <c r="LIS24" i="7" s="1"/>
  <c r="LIU24" i="7" s="1"/>
  <c r="LIW24" i="7" s="1"/>
  <c r="LIY24" i="7" s="1"/>
  <c r="LJA24" i="7" s="1"/>
  <c r="LJC24" i="7" s="1"/>
  <c r="LJE24" i="7" s="1"/>
  <c r="LJG24" i="7" s="1"/>
  <c r="LJI24" i="7" s="1"/>
  <c r="LJK24" i="7" s="1"/>
  <c r="LJM24" i="7" s="1"/>
  <c r="LJO24" i="7" s="1"/>
  <c r="LJQ24" i="7" s="1"/>
  <c r="LJS24" i="7" s="1"/>
  <c r="LJU24" i="7" s="1"/>
  <c r="LJW24" i="7" s="1"/>
  <c r="LJY24" i="7" s="1"/>
  <c r="LKA24" i="7" s="1"/>
  <c r="LKC24" i="7" s="1"/>
  <c r="LKE24" i="7" s="1"/>
  <c r="LKG24" i="7" s="1"/>
  <c r="LKI24" i="7" s="1"/>
  <c r="LKK24" i="7" s="1"/>
  <c r="LKM24" i="7" s="1"/>
  <c r="LKO24" i="7" s="1"/>
  <c r="LKQ24" i="7" s="1"/>
  <c r="LKS24" i="7" s="1"/>
  <c r="LKU24" i="7" s="1"/>
  <c r="LKW24" i="7" s="1"/>
  <c r="LKY24" i="7" s="1"/>
  <c r="LLA24" i="7" s="1"/>
  <c r="LLC24" i="7" s="1"/>
  <c r="LLE24" i="7" s="1"/>
  <c r="LLG24" i="7" s="1"/>
  <c r="LLI24" i="7" s="1"/>
  <c r="LLK24" i="7" s="1"/>
  <c r="LLM24" i="7" s="1"/>
  <c r="LLO24" i="7" s="1"/>
  <c r="LLQ24" i="7" s="1"/>
  <c r="LLS24" i="7" s="1"/>
  <c r="LLU24" i="7" s="1"/>
  <c r="LLW24" i="7" s="1"/>
  <c r="LLY24" i="7" s="1"/>
  <c r="LMA24" i="7" s="1"/>
  <c r="LMC24" i="7" s="1"/>
  <c r="LME24" i="7" s="1"/>
  <c r="LMG24" i="7" s="1"/>
  <c r="LMI24" i="7" s="1"/>
  <c r="LMK24" i="7" s="1"/>
  <c r="LMM24" i="7" s="1"/>
  <c r="LMO24" i="7" s="1"/>
  <c r="LMQ24" i="7" s="1"/>
  <c r="LMS24" i="7" s="1"/>
  <c r="LMU24" i="7" s="1"/>
  <c r="LMW24" i="7" s="1"/>
  <c r="LMY24" i="7" s="1"/>
  <c r="LNA24" i="7" s="1"/>
  <c r="LNC24" i="7" s="1"/>
  <c r="LNE24" i="7" s="1"/>
  <c r="LNG24" i="7" s="1"/>
  <c r="LNI24" i="7" s="1"/>
  <c r="LNK24" i="7" s="1"/>
  <c r="LNM24" i="7" s="1"/>
  <c r="LNO24" i="7" s="1"/>
  <c r="LNQ24" i="7" s="1"/>
  <c r="LNS24" i="7" s="1"/>
  <c r="LNU24" i="7" s="1"/>
  <c r="LNW24" i="7" s="1"/>
  <c r="LNY24" i="7" s="1"/>
  <c r="LOA24" i="7" s="1"/>
  <c r="LOC24" i="7" s="1"/>
  <c r="LOE24" i="7" s="1"/>
  <c r="LOG24" i="7" s="1"/>
  <c r="LOI24" i="7" s="1"/>
  <c r="LOK24" i="7" s="1"/>
  <c r="LOM24" i="7" s="1"/>
  <c r="LOO24" i="7" s="1"/>
  <c r="LOQ24" i="7" s="1"/>
  <c r="LOS24" i="7" s="1"/>
  <c r="LOU24" i="7" s="1"/>
  <c r="LOW24" i="7" s="1"/>
  <c r="LOY24" i="7" s="1"/>
  <c r="LPA24" i="7" s="1"/>
  <c r="LPC24" i="7" s="1"/>
  <c r="LPE24" i="7" s="1"/>
  <c r="LPG24" i="7" s="1"/>
  <c r="LPI24" i="7" s="1"/>
  <c r="LPK24" i="7" s="1"/>
  <c r="LPM24" i="7" s="1"/>
  <c r="LPO24" i="7" s="1"/>
  <c r="LPQ24" i="7" s="1"/>
  <c r="LPS24" i="7" s="1"/>
  <c r="LPU24" i="7" s="1"/>
  <c r="LPW24" i="7" s="1"/>
  <c r="LPY24" i="7" s="1"/>
  <c r="LQA24" i="7" s="1"/>
  <c r="LQC24" i="7" s="1"/>
  <c r="LQE24" i="7" s="1"/>
  <c r="LQG24" i="7" s="1"/>
  <c r="LQI24" i="7" s="1"/>
  <c r="LQK24" i="7" s="1"/>
  <c r="LQM24" i="7" s="1"/>
  <c r="LQO24" i="7" s="1"/>
  <c r="LQQ24" i="7" s="1"/>
  <c r="LQS24" i="7" s="1"/>
  <c r="LQU24" i="7" s="1"/>
  <c r="LQW24" i="7" s="1"/>
  <c r="LQY24" i="7" s="1"/>
  <c r="LRA24" i="7" s="1"/>
  <c r="LRC24" i="7" s="1"/>
  <c r="LRE24" i="7" s="1"/>
  <c r="LRG24" i="7" s="1"/>
  <c r="LRI24" i="7" s="1"/>
  <c r="LRK24" i="7" s="1"/>
  <c r="LRM24" i="7" s="1"/>
  <c r="LRO24" i="7" s="1"/>
  <c r="LRQ24" i="7" s="1"/>
  <c r="LRS24" i="7" s="1"/>
  <c r="LRU24" i="7" s="1"/>
  <c r="LRW24" i="7" s="1"/>
  <c r="LRY24" i="7" s="1"/>
  <c r="LSA24" i="7" s="1"/>
  <c r="LSC24" i="7" s="1"/>
  <c r="LSE24" i="7" s="1"/>
  <c r="LSG24" i="7" s="1"/>
  <c r="LSI24" i="7" s="1"/>
  <c r="LSK24" i="7" s="1"/>
  <c r="LSM24" i="7" s="1"/>
  <c r="LSO24" i="7" s="1"/>
  <c r="LSQ24" i="7" s="1"/>
  <c r="LSS24" i="7" s="1"/>
  <c r="LSU24" i="7" s="1"/>
  <c r="LSW24" i="7" s="1"/>
  <c r="LSY24" i="7" s="1"/>
  <c r="LTA24" i="7" s="1"/>
  <c r="LTC24" i="7" s="1"/>
  <c r="LTE24" i="7" s="1"/>
  <c r="LTG24" i="7" s="1"/>
  <c r="LTI24" i="7" s="1"/>
  <c r="LTK24" i="7" s="1"/>
  <c r="LTM24" i="7" s="1"/>
  <c r="LTO24" i="7" s="1"/>
  <c r="LTQ24" i="7" s="1"/>
  <c r="LTS24" i="7" s="1"/>
  <c r="LTU24" i="7" s="1"/>
  <c r="LTW24" i="7" s="1"/>
  <c r="LTY24" i="7" s="1"/>
  <c r="LUA24" i="7" s="1"/>
  <c r="LUC24" i="7" s="1"/>
  <c r="LUE24" i="7" s="1"/>
  <c r="LUG24" i="7" s="1"/>
  <c r="LUI24" i="7" s="1"/>
  <c r="LUK24" i="7" s="1"/>
  <c r="LUM24" i="7" s="1"/>
  <c r="LUO24" i="7" s="1"/>
  <c r="LUQ24" i="7" s="1"/>
  <c r="LUS24" i="7" s="1"/>
  <c r="LUU24" i="7" s="1"/>
  <c r="LUW24" i="7" s="1"/>
  <c r="LUY24" i="7" s="1"/>
  <c r="LVA24" i="7" s="1"/>
  <c r="LVC24" i="7" s="1"/>
  <c r="LVE24" i="7" s="1"/>
  <c r="LVG24" i="7" s="1"/>
  <c r="LVI24" i="7" s="1"/>
  <c r="LVK24" i="7" s="1"/>
  <c r="LVM24" i="7" s="1"/>
  <c r="LVO24" i="7" s="1"/>
  <c r="LVQ24" i="7" s="1"/>
  <c r="LVS24" i="7" s="1"/>
  <c r="LVU24" i="7" s="1"/>
  <c r="LVW24" i="7" s="1"/>
  <c r="LVY24" i="7" s="1"/>
  <c r="LWA24" i="7" s="1"/>
  <c r="LWC24" i="7" s="1"/>
  <c r="LWE24" i="7" s="1"/>
  <c r="LWG24" i="7" s="1"/>
  <c r="LWI24" i="7" s="1"/>
  <c r="LWK24" i="7" s="1"/>
  <c r="LWM24" i="7" s="1"/>
  <c r="LWO24" i="7" s="1"/>
  <c r="LWQ24" i="7" s="1"/>
  <c r="LWS24" i="7" s="1"/>
  <c r="LWU24" i="7" s="1"/>
  <c r="LWW24" i="7" s="1"/>
  <c r="LWY24" i="7" s="1"/>
  <c r="LXA24" i="7" s="1"/>
  <c r="LXC24" i="7" s="1"/>
  <c r="LXE24" i="7" s="1"/>
  <c r="LXG24" i="7" s="1"/>
  <c r="LXI24" i="7" s="1"/>
  <c r="LXK24" i="7" s="1"/>
  <c r="LXM24" i="7" s="1"/>
  <c r="LXO24" i="7" s="1"/>
  <c r="LXQ24" i="7" s="1"/>
  <c r="LXS24" i="7" s="1"/>
  <c r="LXU24" i="7" s="1"/>
  <c r="LXW24" i="7" s="1"/>
  <c r="LXY24" i="7" s="1"/>
  <c r="LYA24" i="7" s="1"/>
  <c r="LYC24" i="7" s="1"/>
  <c r="LYE24" i="7" s="1"/>
  <c r="LYG24" i="7" s="1"/>
  <c r="LYI24" i="7" s="1"/>
  <c r="LYK24" i="7" s="1"/>
  <c r="LYM24" i="7" s="1"/>
  <c r="LYO24" i="7" s="1"/>
  <c r="LYQ24" i="7" s="1"/>
  <c r="LYS24" i="7" s="1"/>
  <c r="LYU24" i="7" s="1"/>
  <c r="LYW24" i="7" s="1"/>
  <c r="LYY24" i="7" s="1"/>
  <c r="LZA24" i="7" s="1"/>
  <c r="LZC24" i="7" s="1"/>
  <c r="LZE24" i="7" s="1"/>
  <c r="LZG24" i="7" s="1"/>
  <c r="LZI24" i="7" s="1"/>
  <c r="LZK24" i="7" s="1"/>
  <c r="LZM24" i="7" s="1"/>
  <c r="LZO24" i="7" s="1"/>
  <c r="LZQ24" i="7" s="1"/>
  <c r="LZS24" i="7" s="1"/>
  <c r="LZU24" i="7" s="1"/>
  <c r="LZW24" i="7" s="1"/>
  <c r="LZY24" i="7" s="1"/>
  <c r="MAA24" i="7" s="1"/>
  <c r="MAC24" i="7" s="1"/>
  <c r="MAE24" i="7" s="1"/>
  <c r="MAG24" i="7" s="1"/>
  <c r="MAI24" i="7" s="1"/>
  <c r="MAK24" i="7" s="1"/>
  <c r="MAM24" i="7" s="1"/>
  <c r="MAO24" i="7" s="1"/>
  <c r="MAQ24" i="7" s="1"/>
  <c r="MAS24" i="7" s="1"/>
  <c r="MAU24" i="7" s="1"/>
  <c r="MAW24" i="7" s="1"/>
  <c r="MAY24" i="7" s="1"/>
  <c r="MBA24" i="7" s="1"/>
  <c r="MBC24" i="7" s="1"/>
  <c r="MBE24" i="7" s="1"/>
  <c r="MBG24" i="7" s="1"/>
  <c r="MBI24" i="7" s="1"/>
  <c r="MBK24" i="7" s="1"/>
  <c r="MBM24" i="7" s="1"/>
  <c r="MBO24" i="7" s="1"/>
  <c r="MBQ24" i="7" s="1"/>
  <c r="MBS24" i="7" s="1"/>
  <c r="MBU24" i="7" s="1"/>
  <c r="MBW24" i="7" s="1"/>
  <c r="MBY24" i="7" s="1"/>
  <c r="MCA24" i="7" s="1"/>
  <c r="MCC24" i="7" s="1"/>
  <c r="MCE24" i="7" s="1"/>
  <c r="MCG24" i="7" s="1"/>
  <c r="MCI24" i="7" s="1"/>
  <c r="MCK24" i="7" s="1"/>
  <c r="MCM24" i="7" s="1"/>
  <c r="MCO24" i="7" s="1"/>
  <c r="MCQ24" i="7" s="1"/>
  <c r="MCS24" i="7" s="1"/>
  <c r="MCU24" i="7" s="1"/>
  <c r="MCW24" i="7" s="1"/>
  <c r="MCY24" i="7" s="1"/>
  <c r="MDA24" i="7" s="1"/>
  <c r="MDC24" i="7" s="1"/>
  <c r="MDE24" i="7" s="1"/>
  <c r="MDG24" i="7" s="1"/>
  <c r="MDI24" i="7" s="1"/>
  <c r="MDK24" i="7" s="1"/>
  <c r="MDM24" i="7" s="1"/>
  <c r="MDO24" i="7" s="1"/>
  <c r="MDQ24" i="7" s="1"/>
  <c r="MDS24" i="7" s="1"/>
  <c r="MDU24" i="7" s="1"/>
  <c r="MDW24" i="7" s="1"/>
  <c r="MDY24" i="7" s="1"/>
  <c r="MEA24" i="7" s="1"/>
  <c r="MEC24" i="7" s="1"/>
  <c r="MEE24" i="7" s="1"/>
  <c r="MEG24" i="7" s="1"/>
  <c r="MEI24" i="7" s="1"/>
  <c r="MEK24" i="7" s="1"/>
  <c r="MEM24" i="7" s="1"/>
  <c r="MEO24" i="7" s="1"/>
  <c r="MEQ24" i="7" s="1"/>
  <c r="MES24" i="7" s="1"/>
  <c r="MEU24" i="7" s="1"/>
  <c r="MEW24" i="7" s="1"/>
  <c r="MEY24" i="7" s="1"/>
  <c r="MFA24" i="7" s="1"/>
  <c r="MFC24" i="7" s="1"/>
  <c r="MFE24" i="7" s="1"/>
  <c r="MFG24" i="7" s="1"/>
  <c r="MFI24" i="7" s="1"/>
  <c r="MFK24" i="7" s="1"/>
  <c r="MFM24" i="7" s="1"/>
  <c r="MFO24" i="7" s="1"/>
  <c r="MFQ24" i="7" s="1"/>
  <c r="MFS24" i="7" s="1"/>
  <c r="MFU24" i="7" s="1"/>
  <c r="MFW24" i="7" s="1"/>
  <c r="MFY24" i="7" s="1"/>
  <c r="MGA24" i="7" s="1"/>
  <c r="MGC24" i="7" s="1"/>
  <c r="MGE24" i="7" s="1"/>
  <c r="MGG24" i="7" s="1"/>
  <c r="MGI24" i="7" s="1"/>
  <c r="MGK24" i="7" s="1"/>
  <c r="MGM24" i="7" s="1"/>
  <c r="MGO24" i="7" s="1"/>
  <c r="MGQ24" i="7" s="1"/>
  <c r="MGS24" i="7" s="1"/>
  <c r="MGU24" i="7" s="1"/>
  <c r="MGW24" i="7" s="1"/>
  <c r="MGY24" i="7" s="1"/>
  <c r="MHA24" i="7" s="1"/>
  <c r="MHC24" i="7" s="1"/>
  <c r="MHE24" i="7" s="1"/>
  <c r="MHG24" i="7" s="1"/>
  <c r="MHI24" i="7" s="1"/>
  <c r="MHK24" i="7" s="1"/>
  <c r="MHM24" i="7" s="1"/>
  <c r="MHO24" i="7" s="1"/>
  <c r="MHQ24" i="7" s="1"/>
  <c r="MHS24" i="7" s="1"/>
  <c r="MHU24" i="7" s="1"/>
  <c r="MHW24" i="7" s="1"/>
  <c r="MHY24" i="7" s="1"/>
  <c r="MIA24" i="7" s="1"/>
  <c r="MIC24" i="7" s="1"/>
  <c r="MIE24" i="7" s="1"/>
  <c r="MIG24" i="7" s="1"/>
  <c r="MII24" i="7" s="1"/>
  <c r="MIK24" i="7" s="1"/>
  <c r="MIM24" i="7" s="1"/>
  <c r="MIO24" i="7" s="1"/>
  <c r="MIQ24" i="7" s="1"/>
  <c r="MIS24" i="7" s="1"/>
  <c r="MIU24" i="7" s="1"/>
  <c r="MIW24" i="7" s="1"/>
  <c r="MIY24" i="7" s="1"/>
  <c r="MJA24" i="7" s="1"/>
  <c r="MJC24" i="7" s="1"/>
  <c r="MJE24" i="7" s="1"/>
  <c r="MJG24" i="7" s="1"/>
  <c r="MJI24" i="7" s="1"/>
  <c r="MJK24" i="7" s="1"/>
  <c r="MJM24" i="7" s="1"/>
  <c r="MJO24" i="7" s="1"/>
  <c r="MJQ24" i="7" s="1"/>
  <c r="MJS24" i="7" s="1"/>
  <c r="MJU24" i="7" s="1"/>
  <c r="MJW24" i="7" s="1"/>
  <c r="MJY24" i="7" s="1"/>
  <c r="MKA24" i="7" s="1"/>
  <c r="MKC24" i="7" s="1"/>
  <c r="MKE24" i="7" s="1"/>
  <c r="MKG24" i="7" s="1"/>
  <c r="MKI24" i="7" s="1"/>
  <c r="MKK24" i="7" s="1"/>
  <c r="MKM24" i="7" s="1"/>
  <c r="MKO24" i="7" s="1"/>
  <c r="MKQ24" i="7" s="1"/>
  <c r="MKS24" i="7" s="1"/>
  <c r="MKU24" i="7" s="1"/>
  <c r="MKW24" i="7" s="1"/>
  <c r="MKY24" i="7" s="1"/>
  <c r="MLA24" i="7" s="1"/>
  <c r="MLC24" i="7" s="1"/>
  <c r="MLE24" i="7" s="1"/>
  <c r="MLG24" i="7" s="1"/>
  <c r="MLI24" i="7" s="1"/>
  <c r="MLK24" i="7" s="1"/>
  <c r="MLM24" i="7" s="1"/>
  <c r="MLO24" i="7" s="1"/>
  <c r="MLQ24" i="7" s="1"/>
  <c r="MLS24" i="7" s="1"/>
  <c r="MLU24" i="7" s="1"/>
  <c r="MLW24" i="7" s="1"/>
  <c r="MLY24" i="7" s="1"/>
  <c r="MMA24" i="7" s="1"/>
  <c r="MMC24" i="7" s="1"/>
  <c r="MME24" i="7" s="1"/>
  <c r="MMG24" i="7" s="1"/>
  <c r="MMI24" i="7" s="1"/>
  <c r="MMK24" i="7" s="1"/>
  <c r="MMM24" i="7" s="1"/>
  <c r="MMO24" i="7" s="1"/>
  <c r="MMQ24" i="7" s="1"/>
  <c r="MMS24" i="7" s="1"/>
  <c r="MMU24" i="7" s="1"/>
  <c r="MMW24" i="7" s="1"/>
  <c r="MMY24" i="7" s="1"/>
  <c r="MNA24" i="7" s="1"/>
  <c r="MNC24" i="7" s="1"/>
  <c r="MNE24" i="7" s="1"/>
  <c r="MNG24" i="7" s="1"/>
  <c r="MNI24" i="7" s="1"/>
  <c r="MNK24" i="7" s="1"/>
  <c r="MNM24" i="7" s="1"/>
  <c r="MNO24" i="7" s="1"/>
  <c r="MNQ24" i="7" s="1"/>
  <c r="MNS24" i="7" s="1"/>
  <c r="MNU24" i="7" s="1"/>
  <c r="MNW24" i="7" s="1"/>
  <c r="MNY24" i="7" s="1"/>
  <c r="MOA24" i="7" s="1"/>
  <c r="MOC24" i="7" s="1"/>
  <c r="MOE24" i="7" s="1"/>
  <c r="MOG24" i="7" s="1"/>
  <c r="MOI24" i="7" s="1"/>
  <c r="MOK24" i="7" s="1"/>
  <c r="MOM24" i="7" s="1"/>
  <c r="MOO24" i="7" s="1"/>
  <c r="MOQ24" i="7" s="1"/>
  <c r="MOS24" i="7" s="1"/>
  <c r="MOU24" i="7" s="1"/>
  <c r="MOW24" i="7" s="1"/>
  <c r="MOY24" i="7" s="1"/>
  <c r="MPA24" i="7" s="1"/>
  <c r="MPC24" i="7" s="1"/>
  <c r="MPE24" i="7" s="1"/>
  <c r="MPG24" i="7" s="1"/>
  <c r="MPI24" i="7" s="1"/>
  <c r="MPK24" i="7" s="1"/>
  <c r="MPM24" i="7" s="1"/>
  <c r="MPO24" i="7" s="1"/>
  <c r="MPQ24" i="7" s="1"/>
  <c r="MPS24" i="7" s="1"/>
  <c r="MPU24" i="7" s="1"/>
  <c r="MPW24" i="7" s="1"/>
  <c r="MPY24" i="7" s="1"/>
  <c r="MQA24" i="7" s="1"/>
  <c r="MQC24" i="7" s="1"/>
  <c r="MQE24" i="7" s="1"/>
  <c r="MQG24" i="7" s="1"/>
  <c r="MQI24" i="7" s="1"/>
  <c r="MQK24" i="7" s="1"/>
  <c r="MQM24" i="7" s="1"/>
  <c r="MQO24" i="7" s="1"/>
  <c r="MQQ24" i="7" s="1"/>
  <c r="MQS24" i="7" s="1"/>
  <c r="MQU24" i="7" s="1"/>
  <c r="MQW24" i="7" s="1"/>
  <c r="MQY24" i="7" s="1"/>
  <c r="MRA24" i="7" s="1"/>
  <c r="MRC24" i="7" s="1"/>
  <c r="MRE24" i="7" s="1"/>
  <c r="MRG24" i="7" s="1"/>
  <c r="MRI24" i="7" s="1"/>
  <c r="MRK24" i="7" s="1"/>
  <c r="MRM24" i="7" s="1"/>
  <c r="MRO24" i="7" s="1"/>
  <c r="MRQ24" i="7" s="1"/>
  <c r="MRS24" i="7" s="1"/>
  <c r="MRU24" i="7" s="1"/>
  <c r="MRW24" i="7" s="1"/>
  <c r="MRY24" i="7" s="1"/>
  <c r="MSA24" i="7" s="1"/>
  <c r="MSC24" i="7" s="1"/>
  <c r="MSE24" i="7" s="1"/>
  <c r="MSG24" i="7" s="1"/>
  <c r="MSI24" i="7" s="1"/>
  <c r="MSK24" i="7" s="1"/>
  <c r="MSM24" i="7" s="1"/>
  <c r="MSO24" i="7" s="1"/>
  <c r="MSQ24" i="7" s="1"/>
  <c r="MSS24" i="7" s="1"/>
  <c r="MSU24" i="7" s="1"/>
  <c r="MSW24" i="7" s="1"/>
  <c r="MSY24" i="7" s="1"/>
  <c r="MTA24" i="7" s="1"/>
  <c r="MTC24" i="7" s="1"/>
  <c r="MTE24" i="7" s="1"/>
  <c r="MTG24" i="7" s="1"/>
  <c r="MTI24" i="7" s="1"/>
  <c r="MTK24" i="7" s="1"/>
  <c r="MTM24" i="7" s="1"/>
  <c r="MTO24" i="7" s="1"/>
  <c r="MTQ24" i="7" s="1"/>
  <c r="MTS24" i="7" s="1"/>
  <c r="MTU24" i="7" s="1"/>
  <c r="MTW24" i="7" s="1"/>
  <c r="MTY24" i="7" s="1"/>
  <c r="MUA24" i="7" s="1"/>
  <c r="MUC24" i="7" s="1"/>
  <c r="MUE24" i="7" s="1"/>
  <c r="MUG24" i="7" s="1"/>
  <c r="MUI24" i="7" s="1"/>
  <c r="MUK24" i="7" s="1"/>
  <c r="MUM24" i="7" s="1"/>
  <c r="MUO24" i="7" s="1"/>
  <c r="MUQ24" i="7" s="1"/>
  <c r="MUS24" i="7" s="1"/>
  <c r="MUU24" i="7" s="1"/>
  <c r="MUW24" i="7" s="1"/>
  <c r="MUY24" i="7" s="1"/>
  <c r="MVA24" i="7" s="1"/>
  <c r="MVC24" i="7" s="1"/>
  <c r="MVE24" i="7" s="1"/>
  <c r="MVG24" i="7" s="1"/>
  <c r="MVI24" i="7" s="1"/>
  <c r="MVK24" i="7" s="1"/>
  <c r="MVM24" i="7" s="1"/>
  <c r="MVO24" i="7" s="1"/>
  <c r="MVQ24" i="7" s="1"/>
  <c r="MVS24" i="7" s="1"/>
  <c r="MVU24" i="7" s="1"/>
  <c r="MVW24" i="7" s="1"/>
  <c r="MVY24" i="7" s="1"/>
  <c r="MWA24" i="7" s="1"/>
  <c r="MWC24" i="7" s="1"/>
  <c r="MWE24" i="7" s="1"/>
  <c r="MWG24" i="7" s="1"/>
  <c r="MWI24" i="7" s="1"/>
  <c r="MWK24" i="7" s="1"/>
  <c r="MWM24" i="7" s="1"/>
  <c r="MWO24" i="7" s="1"/>
  <c r="MWQ24" i="7" s="1"/>
  <c r="MWS24" i="7" s="1"/>
  <c r="MWU24" i="7" s="1"/>
  <c r="MWW24" i="7" s="1"/>
  <c r="MWY24" i="7" s="1"/>
  <c r="MXA24" i="7" s="1"/>
  <c r="MXC24" i="7" s="1"/>
  <c r="MXE24" i="7" s="1"/>
  <c r="MXG24" i="7" s="1"/>
  <c r="MXI24" i="7" s="1"/>
  <c r="MXK24" i="7" s="1"/>
  <c r="MXM24" i="7" s="1"/>
  <c r="MXO24" i="7" s="1"/>
  <c r="MXQ24" i="7" s="1"/>
  <c r="MXS24" i="7" s="1"/>
  <c r="MXU24" i="7" s="1"/>
  <c r="MXW24" i="7" s="1"/>
  <c r="MXY24" i="7" s="1"/>
  <c r="MYA24" i="7" s="1"/>
  <c r="MYC24" i="7" s="1"/>
  <c r="MYE24" i="7" s="1"/>
  <c r="MYG24" i="7" s="1"/>
  <c r="MYI24" i="7" s="1"/>
  <c r="MYK24" i="7" s="1"/>
  <c r="MYM24" i="7" s="1"/>
  <c r="MYO24" i="7" s="1"/>
  <c r="MYQ24" i="7" s="1"/>
  <c r="MYS24" i="7" s="1"/>
  <c r="MYU24" i="7" s="1"/>
  <c r="MYW24" i="7" s="1"/>
  <c r="MYY24" i="7" s="1"/>
  <c r="MZA24" i="7" s="1"/>
  <c r="MZC24" i="7" s="1"/>
  <c r="MZE24" i="7" s="1"/>
  <c r="MZG24" i="7" s="1"/>
  <c r="MZI24" i="7" s="1"/>
  <c r="MZK24" i="7" s="1"/>
  <c r="MZM24" i="7" s="1"/>
  <c r="MZO24" i="7" s="1"/>
  <c r="MZQ24" i="7" s="1"/>
  <c r="MZS24" i="7" s="1"/>
  <c r="MZU24" i="7" s="1"/>
  <c r="MZW24" i="7" s="1"/>
  <c r="MZY24" i="7" s="1"/>
  <c r="NAA24" i="7" s="1"/>
  <c r="NAC24" i="7" s="1"/>
  <c r="NAE24" i="7" s="1"/>
  <c r="NAG24" i="7" s="1"/>
  <c r="NAI24" i="7" s="1"/>
  <c r="NAK24" i="7" s="1"/>
  <c r="NAM24" i="7" s="1"/>
  <c r="NAO24" i="7" s="1"/>
  <c r="NAQ24" i="7" s="1"/>
  <c r="NAS24" i="7" s="1"/>
  <c r="NAU24" i="7" s="1"/>
  <c r="NAW24" i="7" s="1"/>
  <c r="NAY24" i="7" s="1"/>
  <c r="NBA24" i="7" s="1"/>
  <c r="NBC24" i="7" s="1"/>
  <c r="NBE24" i="7" s="1"/>
  <c r="NBG24" i="7" s="1"/>
  <c r="NBI24" i="7" s="1"/>
  <c r="NBK24" i="7" s="1"/>
  <c r="NBM24" i="7" s="1"/>
  <c r="NBO24" i="7" s="1"/>
  <c r="NBQ24" i="7" s="1"/>
  <c r="NBS24" i="7" s="1"/>
  <c r="NBU24" i="7" s="1"/>
  <c r="NBW24" i="7" s="1"/>
  <c r="NBY24" i="7" s="1"/>
  <c r="NCA24" i="7" s="1"/>
  <c r="NCC24" i="7" s="1"/>
  <c r="NCE24" i="7" s="1"/>
  <c r="NCG24" i="7" s="1"/>
  <c r="NCI24" i="7" s="1"/>
  <c r="NCK24" i="7" s="1"/>
  <c r="NCM24" i="7" s="1"/>
  <c r="NCO24" i="7" s="1"/>
  <c r="NCQ24" i="7" s="1"/>
  <c r="NCS24" i="7" s="1"/>
  <c r="NCU24" i="7" s="1"/>
  <c r="NCW24" i="7" s="1"/>
  <c r="NCY24" i="7" s="1"/>
  <c r="NDA24" i="7" s="1"/>
  <c r="NDC24" i="7" s="1"/>
  <c r="NDE24" i="7" s="1"/>
  <c r="NDG24" i="7" s="1"/>
  <c r="NDI24" i="7" s="1"/>
  <c r="NDK24" i="7" s="1"/>
  <c r="NDM24" i="7" s="1"/>
  <c r="NDO24" i="7" s="1"/>
  <c r="NDQ24" i="7" s="1"/>
  <c r="NDS24" i="7" s="1"/>
  <c r="NDU24" i="7" s="1"/>
  <c r="NDW24" i="7" s="1"/>
  <c r="NDY24" i="7" s="1"/>
  <c r="NEA24" i="7" s="1"/>
  <c r="NEC24" i="7" s="1"/>
  <c r="NEE24" i="7" s="1"/>
  <c r="NEG24" i="7" s="1"/>
  <c r="NEI24" i="7" s="1"/>
  <c r="NEK24" i="7" s="1"/>
  <c r="NEM24" i="7" s="1"/>
  <c r="NEO24" i="7" s="1"/>
  <c r="NEQ24" i="7" s="1"/>
  <c r="NES24" i="7" s="1"/>
  <c r="NEU24" i="7" s="1"/>
  <c r="NEW24" i="7" s="1"/>
  <c r="NEY24" i="7" s="1"/>
  <c r="NFA24" i="7" s="1"/>
  <c r="NFC24" i="7" s="1"/>
  <c r="NFE24" i="7" s="1"/>
  <c r="NFG24" i="7" s="1"/>
  <c r="NFI24" i="7" s="1"/>
  <c r="NFK24" i="7" s="1"/>
  <c r="NFM24" i="7" s="1"/>
  <c r="NFO24" i="7" s="1"/>
  <c r="NFQ24" i="7" s="1"/>
  <c r="NFS24" i="7" s="1"/>
  <c r="NFU24" i="7" s="1"/>
  <c r="NFW24" i="7" s="1"/>
  <c r="NFY24" i="7" s="1"/>
  <c r="NGA24" i="7" s="1"/>
  <c r="NGC24" i="7" s="1"/>
  <c r="NGE24" i="7" s="1"/>
  <c r="NGG24" i="7" s="1"/>
  <c r="NGI24" i="7" s="1"/>
  <c r="NGK24" i="7" s="1"/>
  <c r="NGM24" i="7" s="1"/>
  <c r="NGO24" i="7" s="1"/>
  <c r="NGQ24" i="7" s="1"/>
  <c r="NGS24" i="7" s="1"/>
  <c r="NGU24" i="7" s="1"/>
  <c r="NGW24" i="7" s="1"/>
  <c r="NGY24" i="7" s="1"/>
  <c r="NHA24" i="7" s="1"/>
  <c r="NHC24" i="7" s="1"/>
  <c r="NHE24" i="7" s="1"/>
  <c r="NHG24" i="7" s="1"/>
  <c r="NHI24" i="7" s="1"/>
  <c r="NHK24" i="7" s="1"/>
  <c r="NHM24" i="7" s="1"/>
  <c r="NHO24" i="7" s="1"/>
  <c r="NHQ24" i="7" s="1"/>
  <c r="NHS24" i="7" s="1"/>
  <c r="NHU24" i="7" s="1"/>
  <c r="NHW24" i="7" s="1"/>
  <c r="NHY24" i="7" s="1"/>
  <c r="NIA24" i="7" s="1"/>
  <c r="NIC24" i="7" s="1"/>
  <c r="NIE24" i="7" s="1"/>
  <c r="NIG24" i="7" s="1"/>
  <c r="NII24" i="7" s="1"/>
  <c r="NIK24" i="7" s="1"/>
  <c r="NIM24" i="7" s="1"/>
  <c r="NIO24" i="7" s="1"/>
  <c r="NIQ24" i="7" s="1"/>
  <c r="NIS24" i="7" s="1"/>
  <c r="NIU24" i="7" s="1"/>
  <c r="NIW24" i="7" s="1"/>
  <c r="NIY24" i="7" s="1"/>
  <c r="NJA24" i="7" s="1"/>
  <c r="NJC24" i="7" s="1"/>
  <c r="NJE24" i="7" s="1"/>
  <c r="NJG24" i="7" s="1"/>
  <c r="NJI24" i="7" s="1"/>
  <c r="NJK24" i="7" s="1"/>
  <c r="NJM24" i="7" s="1"/>
  <c r="NJO24" i="7" s="1"/>
  <c r="NJQ24" i="7" s="1"/>
  <c r="NJS24" i="7" s="1"/>
  <c r="NJU24" i="7" s="1"/>
  <c r="NJW24" i="7" s="1"/>
  <c r="NJY24" i="7" s="1"/>
  <c r="NKA24" i="7" s="1"/>
  <c r="NKC24" i="7" s="1"/>
  <c r="NKE24" i="7" s="1"/>
  <c r="NKG24" i="7" s="1"/>
  <c r="NKI24" i="7" s="1"/>
  <c r="NKK24" i="7" s="1"/>
  <c r="NKM24" i="7" s="1"/>
  <c r="NKO24" i="7" s="1"/>
  <c r="NKQ24" i="7" s="1"/>
  <c r="NKS24" i="7" s="1"/>
  <c r="NKU24" i="7" s="1"/>
  <c r="NKW24" i="7" s="1"/>
  <c r="NKY24" i="7" s="1"/>
  <c r="NLA24" i="7" s="1"/>
  <c r="NLC24" i="7" s="1"/>
  <c r="NLE24" i="7" s="1"/>
  <c r="NLG24" i="7" s="1"/>
  <c r="NLI24" i="7" s="1"/>
  <c r="NLK24" i="7" s="1"/>
  <c r="NLM24" i="7" s="1"/>
  <c r="NLO24" i="7" s="1"/>
  <c r="NLQ24" i="7" s="1"/>
  <c r="NLS24" i="7" s="1"/>
  <c r="NLU24" i="7" s="1"/>
  <c r="NLW24" i="7" s="1"/>
  <c r="NLY24" i="7" s="1"/>
  <c r="NMA24" i="7" s="1"/>
  <c r="NMC24" i="7" s="1"/>
  <c r="NME24" i="7" s="1"/>
  <c r="NMG24" i="7" s="1"/>
  <c r="NMI24" i="7" s="1"/>
  <c r="NMK24" i="7" s="1"/>
  <c r="NMM24" i="7" s="1"/>
  <c r="NMO24" i="7" s="1"/>
  <c r="NMQ24" i="7" s="1"/>
  <c r="NMS24" i="7" s="1"/>
  <c r="NMU24" i="7" s="1"/>
  <c r="NMW24" i="7" s="1"/>
  <c r="NMY24" i="7" s="1"/>
  <c r="NNA24" i="7" s="1"/>
  <c r="NNC24" i="7" s="1"/>
  <c r="NNE24" i="7" s="1"/>
  <c r="NNG24" i="7" s="1"/>
  <c r="NNI24" i="7" s="1"/>
  <c r="NNK24" i="7" s="1"/>
  <c r="NNM24" i="7" s="1"/>
  <c r="NNO24" i="7" s="1"/>
  <c r="NNQ24" i="7" s="1"/>
  <c r="NNS24" i="7" s="1"/>
  <c r="NNU24" i="7" s="1"/>
  <c r="NNW24" i="7" s="1"/>
  <c r="NNY24" i="7" s="1"/>
  <c r="NOA24" i="7" s="1"/>
  <c r="NOC24" i="7" s="1"/>
  <c r="NOE24" i="7" s="1"/>
  <c r="NOG24" i="7" s="1"/>
  <c r="NOI24" i="7" s="1"/>
  <c r="NOK24" i="7" s="1"/>
  <c r="NOM24" i="7" s="1"/>
  <c r="NOO24" i="7" s="1"/>
  <c r="NOQ24" i="7" s="1"/>
  <c r="NOS24" i="7" s="1"/>
  <c r="NOU24" i="7" s="1"/>
  <c r="NOW24" i="7" s="1"/>
  <c r="NOY24" i="7" s="1"/>
  <c r="NPA24" i="7" s="1"/>
  <c r="NPC24" i="7" s="1"/>
  <c r="NPE24" i="7" s="1"/>
  <c r="NPG24" i="7" s="1"/>
  <c r="NPI24" i="7" s="1"/>
  <c r="NPK24" i="7" s="1"/>
  <c r="NPM24" i="7" s="1"/>
  <c r="NPO24" i="7" s="1"/>
  <c r="NPQ24" i="7" s="1"/>
  <c r="NPS24" i="7" s="1"/>
  <c r="NPU24" i="7" s="1"/>
  <c r="NPW24" i="7" s="1"/>
  <c r="NPY24" i="7" s="1"/>
  <c r="NQA24" i="7" s="1"/>
  <c r="NQC24" i="7" s="1"/>
  <c r="NQE24" i="7" s="1"/>
  <c r="NQG24" i="7" s="1"/>
  <c r="NQI24" i="7" s="1"/>
  <c r="NQK24" i="7" s="1"/>
  <c r="NQM24" i="7" s="1"/>
  <c r="NQO24" i="7" s="1"/>
  <c r="NQQ24" i="7" s="1"/>
  <c r="NQS24" i="7" s="1"/>
  <c r="NQU24" i="7" s="1"/>
  <c r="NQW24" i="7" s="1"/>
  <c r="NQY24" i="7" s="1"/>
  <c r="NRA24" i="7" s="1"/>
  <c r="NRC24" i="7" s="1"/>
  <c r="NRE24" i="7" s="1"/>
  <c r="NRG24" i="7" s="1"/>
  <c r="NRI24" i="7" s="1"/>
  <c r="NRK24" i="7" s="1"/>
  <c r="NRM24" i="7" s="1"/>
  <c r="NRO24" i="7" s="1"/>
  <c r="NRQ24" i="7" s="1"/>
  <c r="NRS24" i="7" s="1"/>
  <c r="NRU24" i="7" s="1"/>
  <c r="NRW24" i="7" s="1"/>
  <c r="NRY24" i="7" s="1"/>
  <c r="NSA24" i="7" s="1"/>
  <c r="NSC24" i="7" s="1"/>
  <c r="NSE24" i="7" s="1"/>
  <c r="NSG24" i="7" s="1"/>
  <c r="NSI24" i="7" s="1"/>
  <c r="NSK24" i="7" s="1"/>
  <c r="NSM24" i="7" s="1"/>
  <c r="NSO24" i="7" s="1"/>
  <c r="NSQ24" i="7" s="1"/>
  <c r="NSS24" i="7" s="1"/>
  <c r="NSU24" i="7" s="1"/>
  <c r="NSW24" i="7" s="1"/>
  <c r="NSY24" i="7" s="1"/>
  <c r="NTA24" i="7" s="1"/>
  <c r="NTC24" i="7" s="1"/>
  <c r="NTE24" i="7" s="1"/>
  <c r="NTG24" i="7" s="1"/>
  <c r="NTI24" i="7" s="1"/>
  <c r="NTK24" i="7" s="1"/>
  <c r="NTM24" i="7" s="1"/>
  <c r="NTO24" i="7" s="1"/>
  <c r="NTQ24" i="7" s="1"/>
  <c r="NTS24" i="7" s="1"/>
  <c r="NTU24" i="7" s="1"/>
  <c r="NTW24" i="7" s="1"/>
  <c r="NTY24" i="7" s="1"/>
  <c r="NUA24" i="7" s="1"/>
  <c r="NUC24" i="7" s="1"/>
  <c r="NUE24" i="7" s="1"/>
  <c r="NUG24" i="7" s="1"/>
  <c r="NUI24" i="7" s="1"/>
  <c r="NUK24" i="7" s="1"/>
  <c r="NUM24" i="7" s="1"/>
  <c r="NUO24" i="7" s="1"/>
  <c r="NUQ24" i="7" s="1"/>
  <c r="NUS24" i="7" s="1"/>
  <c r="NUU24" i="7" s="1"/>
  <c r="NUW24" i="7" s="1"/>
  <c r="NUY24" i="7" s="1"/>
  <c r="NVA24" i="7" s="1"/>
  <c r="NVC24" i="7" s="1"/>
  <c r="NVE24" i="7" s="1"/>
  <c r="NVG24" i="7" s="1"/>
  <c r="NVI24" i="7" s="1"/>
  <c r="NVK24" i="7" s="1"/>
  <c r="NVM24" i="7" s="1"/>
  <c r="NVO24" i="7" s="1"/>
  <c r="NVQ24" i="7" s="1"/>
  <c r="NVS24" i="7" s="1"/>
  <c r="NVU24" i="7" s="1"/>
  <c r="NVW24" i="7" s="1"/>
  <c r="NVY24" i="7" s="1"/>
  <c r="NWA24" i="7" s="1"/>
  <c r="NWC24" i="7" s="1"/>
  <c r="NWE24" i="7" s="1"/>
  <c r="NWG24" i="7" s="1"/>
  <c r="NWI24" i="7" s="1"/>
  <c r="NWK24" i="7" s="1"/>
  <c r="NWM24" i="7" s="1"/>
  <c r="NWO24" i="7" s="1"/>
  <c r="NWQ24" i="7" s="1"/>
  <c r="NWS24" i="7" s="1"/>
  <c r="NWU24" i="7" s="1"/>
  <c r="NWW24" i="7" s="1"/>
  <c r="NWY24" i="7" s="1"/>
  <c r="NXA24" i="7" s="1"/>
  <c r="NXC24" i="7" s="1"/>
  <c r="NXE24" i="7" s="1"/>
  <c r="NXG24" i="7" s="1"/>
  <c r="NXI24" i="7" s="1"/>
  <c r="NXK24" i="7" s="1"/>
  <c r="NXM24" i="7" s="1"/>
  <c r="NXO24" i="7" s="1"/>
  <c r="NXQ24" i="7" s="1"/>
  <c r="NXS24" i="7" s="1"/>
  <c r="NXU24" i="7" s="1"/>
  <c r="NXW24" i="7" s="1"/>
  <c r="NXY24" i="7" s="1"/>
  <c r="NYA24" i="7" s="1"/>
  <c r="NYC24" i="7" s="1"/>
  <c r="NYE24" i="7" s="1"/>
  <c r="NYG24" i="7" s="1"/>
  <c r="NYI24" i="7" s="1"/>
  <c r="NYK24" i="7" s="1"/>
  <c r="NYM24" i="7" s="1"/>
  <c r="NYO24" i="7" s="1"/>
  <c r="NYQ24" i="7" s="1"/>
  <c r="NYS24" i="7" s="1"/>
  <c r="NYU24" i="7" s="1"/>
  <c r="NYW24" i="7" s="1"/>
  <c r="NYY24" i="7" s="1"/>
  <c r="NZA24" i="7" s="1"/>
  <c r="NZC24" i="7" s="1"/>
  <c r="NZE24" i="7" s="1"/>
  <c r="NZG24" i="7" s="1"/>
  <c r="NZI24" i="7" s="1"/>
  <c r="NZK24" i="7" s="1"/>
  <c r="NZM24" i="7" s="1"/>
  <c r="NZO24" i="7" s="1"/>
  <c r="NZQ24" i="7" s="1"/>
  <c r="NZS24" i="7" s="1"/>
  <c r="NZU24" i="7" s="1"/>
  <c r="NZW24" i="7" s="1"/>
  <c r="NZY24" i="7" s="1"/>
  <c r="OAA24" i="7" s="1"/>
  <c r="OAC24" i="7" s="1"/>
  <c r="OAE24" i="7" s="1"/>
  <c r="OAG24" i="7" s="1"/>
  <c r="OAI24" i="7" s="1"/>
  <c r="OAK24" i="7" s="1"/>
  <c r="OAM24" i="7" s="1"/>
  <c r="OAO24" i="7" s="1"/>
  <c r="OAQ24" i="7" s="1"/>
  <c r="OAS24" i="7" s="1"/>
  <c r="OAU24" i="7" s="1"/>
  <c r="OAW24" i="7" s="1"/>
  <c r="OAY24" i="7" s="1"/>
  <c r="OBA24" i="7" s="1"/>
  <c r="OBC24" i="7" s="1"/>
  <c r="OBE24" i="7" s="1"/>
  <c r="OBG24" i="7" s="1"/>
  <c r="OBI24" i="7" s="1"/>
  <c r="OBK24" i="7" s="1"/>
  <c r="OBM24" i="7" s="1"/>
  <c r="OBO24" i="7" s="1"/>
  <c r="OBQ24" i="7" s="1"/>
  <c r="OBS24" i="7" s="1"/>
  <c r="OBU24" i="7" s="1"/>
  <c r="OBW24" i="7" s="1"/>
  <c r="OBY24" i="7" s="1"/>
  <c r="OCA24" i="7" s="1"/>
  <c r="OCC24" i="7" s="1"/>
  <c r="OCE24" i="7" s="1"/>
  <c r="OCG24" i="7" s="1"/>
  <c r="OCI24" i="7" s="1"/>
  <c r="OCK24" i="7" s="1"/>
  <c r="OCM24" i="7" s="1"/>
  <c r="OCO24" i="7" s="1"/>
  <c r="OCQ24" i="7" s="1"/>
  <c r="OCS24" i="7" s="1"/>
  <c r="OCU24" i="7" s="1"/>
  <c r="OCW24" i="7" s="1"/>
  <c r="OCY24" i="7" s="1"/>
  <c r="ODA24" i="7" s="1"/>
  <c r="ODC24" i="7" s="1"/>
  <c r="ODE24" i="7" s="1"/>
  <c r="ODG24" i="7" s="1"/>
  <c r="ODI24" i="7" s="1"/>
  <c r="ODK24" i="7" s="1"/>
  <c r="ODM24" i="7" s="1"/>
  <c r="ODO24" i="7" s="1"/>
  <c r="ODQ24" i="7" s="1"/>
  <c r="ODS24" i="7" s="1"/>
  <c r="ODU24" i="7" s="1"/>
  <c r="ODW24" i="7" s="1"/>
  <c r="ODY24" i="7" s="1"/>
  <c r="OEA24" i="7" s="1"/>
  <c r="OEC24" i="7" s="1"/>
  <c r="OEE24" i="7" s="1"/>
  <c r="OEG24" i="7" s="1"/>
  <c r="OEI24" i="7" s="1"/>
  <c r="OEK24" i="7" s="1"/>
  <c r="OEM24" i="7" s="1"/>
  <c r="OEO24" i="7" s="1"/>
  <c r="OEQ24" i="7" s="1"/>
  <c r="OES24" i="7" s="1"/>
  <c r="OEU24" i="7" s="1"/>
  <c r="OEW24" i="7" s="1"/>
  <c r="OEY24" i="7" s="1"/>
  <c r="OFA24" i="7" s="1"/>
  <c r="OFC24" i="7" s="1"/>
  <c r="OFE24" i="7" s="1"/>
  <c r="OFG24" i="7" s="1"/>
  <c r="OFI24" i="7" s="1"/>
  <c r="OFK24" i="7" s="1"/>
  <c r="OFM24" i="7" s="1"/>
  <c r="OFO24" i="7" s="1"/>
  <c r="OFQ24" i="7" s="1"/>
  <c r="OFS24" i="7" s="1"/>
  <c r="OFU24" i="7" s="1"/>
  <c r="OFW24" i="7" s="1"/>
  <c r="OFY24" i="7" s="1"/>
  <c r="OGA24" i="7" s="1"/>
  <c r="OGC24" i="7" s="1"/>
  <c r="OGE24" i="7" s="1"/>
  <c r="OGG24" i="7" s="1"/>
  <c r="OGI24" i="7" s="1"/>
  <c r="OGK24" i="7" s="1"/>
  <c r="OGM24" i="7" s="1"/>
  <c r="OGO24" i="7" s="1"/>
  <c r="OGQ24" i="7" s="1"/>
  <c r="OGS24" i="7" s="1"/>
  <c r="OGU24" i="7" s="1"/>
  <c r="OGW24" i="7" s="1"/>
  <c r="OGY24" i="7" s="1"/>
  <c r="OHA24" i="7" s="1"/>
  <c r="OHC24" i="7" s="1"/>
  <c r="OHE24" i="7" s="1"/>
  <c r="OHG24" i="7" s="1"/>
  <c r="OHI24" i="7" s="1"/>
  <c r="OHK24" i="7" s="1"/>
  <c r="OHM24" i="7" s="1"/>
  <c r="OHO24" i="7" s="1"/>
  <c r="OHQ24" i="7" s="1"/>
  <c r="OHS24" i="7" s="1"/>
  <c r="OHU24" i="7" s="1"/>
  <c r="OHW24" i="7" s="1"/>
  <c r="OHY24" i="7" s="1"/>
  <c r="OIA24" i="7" s="1"/>
  <c r="OIC24" i="7" s="1"/>
  <c r="OIE24" i="7" s="1"/>
  <c r="OIG24" i="7" s="1"/>
  <c r="OII24" i="7" s="1"/>
  <c r="OIK24" i="7" s="1"/>
  <c r="OIM24" i="7" s="1"/>
  <c r="OIO24" i="7" s="1"/>
  <c r="OIQ24" i="7" s="1"/>
  <c r="OIS24" i="7" s="1"/>
  <c r="OIU24" i="7" s="1"/>
  <c r="OIW24" i="7" s="1"/>
  <c r="OIY24" i="7" s="1"/>
  <c r="OJA24" i="7" s="1"/>
  <c r="OJC24" i="7" s="1"/>
  <c r="OJE24" i="7" s="1"/>
  <c r="OJG24" i="7" s="1"/>
  <c r="OJI24" i="7" s="1"/>
  <c r="OJK24" i="7" s="1"/>
  <c r="OJM24" i="7" s="1"/>
  <c r="OJO24" i="7" s="1"/>
  <c r="OJQ24" i="7" s="1"/>
  <c r="OJS24" i="7" s="1"/>
  <c r="OJU24" i="7" s="1"/>
  <c r="OJW24" i="7" s="1"/>
  <c r="OJY24" i="7" s="1"/>
  <c r="OKA24" i="7" s="1"/>
  <c r="OKC24" i="7" s="1"/>
  <c r="OKE24" i="7" s="1"/>
  <c r="OKG24" i="7" s="1"/>
  <c r="OKI24" i="7" s="1"/>
  <c r="OKK24" i="7" s="1"/>
  <c r="OKM24" i="7" s="1"/>
  <c r="OKO24" i="7" s="1"/>
  <c r="OKQ24" i="7" s="1"/>
  <c r="OKS24" i="7" s="1"/>
  <c r="OKU24" i="7" s="1"/>
  <c r="OKW24" i="7" s="1"/>
  <c r="OKY24" i="7" s="1"/>
  <c r="OLA24" i="7" s="1"/>
  <c r="OLC24" i="7" s="1"/>
  <c r="OLE24" i="7" s="1"/>
  <c r="OLG24" i="7" s="1"/>
  <c r="OLI24" i="7" s="1"/>
  <c r="OLK24" i="7" s="1"/>
  <c r="OLM24" i="7" s="1"/>
  <c r="OLO24" i="7" s="1"/>
  <c r="OLQ24" i="7" s="1"/>
  <c r="OLS24" i="7" s="1"/>
  <c r="OLU24" i="7" s="1"/>
  <c r="OLW24" i="7" s="1"/>
  <c r="OLY24" i="7" s="1"/>
  <c r="OMA24" i="7" s="1"/>
  <c r="OMC24" i="7" s="1"/>
  <c r="OME24" i="7" s="1"/>
  <c r="OMG24" i="7" s="1"/>
  <c r="OMI24" i="7" s="1"/>
  <c r="OMK24" i="7" s="1"/>
  <c r="OMM24" i="7" s="1"/>
  <c r="OMO24" i="7" s="1"/>
  <c r="OMQ24" i="7" s="1"/>
  <c r="OMS24" i="7" s="1"/>
  <c r="OMU24" i="7" s="1"/>
  <c r="OMW24" i="7" s="1"/>
  <c r="OMY24" i="7" s="1"/>
  <c r="ONA24" i="7" s="1"/>
  <c r="ONC24" i="7" s="1"/>
  <c r="ONE24" i="7" s="1"/>
  <c r="ONG24" i="7" s="1"/>
  <c r="ONI24" i="7" s="1"/>
  <c r="ONK24" i="7" s="1"/>
  <c r="ONM24" i="7" s="1"/>
  <c r="ONO24" i="7" s="1"/>
  <c r="ONQ24" i="7" s="1"/>
  <c r="ONS24" i="7" s="1"/>
  <c r="ONU24" i="7" s="1"/>
  <c r="ONW24" i="7" s="1"/>
  <c r="ONY24" i="7" s="1"/>
  <c r="OOA24" i="7" s="1"/>
  <c r="OOC24" i="7" s="1"/>
  <c r="OOE24" i="7" s="1"/>
  <c r="OOG24" i="7" s="1"/>
  <c r="OOI24" i="7" s="1"/>
  <c r="OOK24" i="7" s="1"/>
  <c r="OOM24" i="7" s="1"/>
  <c r="OOO24" i="7" s="1"/>
  <c r="OOQ24" i="7" s="1"/>
  <c r="OOS24" i="7" s="1"/>
  <c r="OOU24" i="7" s="1"/>
  <c r="OOW24" i="7" s="1"/>
  <c r="OOY24" i="7" s="1"/>
  <c r="OPA24" i="7" s="1"/>
  <c r="OPC24" i="7" s="1"/>
  <c r="OPE24" i="7" s="1"/>
  <c r="OPG24" i="7" s="1"/>
  <c r="OPI24" i="7" s="1"/>
  <c r="OPK24" i="7" s="1"/>
  <c r="OPM24" i="7" s="1"/>
  <c r="OPO24" i="7" s="1"/>
  <c r="OPQ24" i="7" s="1"/>
  <c r="OPS24" i="7" s="1"/>
  <c r="OPU24" i="7" s="1"/>
  <c r="OPW24" i="7" s="1"/>
  <c r="OPY24" i="7" s="1"/>
  <c r="OQA24" i="7" s="1"/>
  <c r="OQC24" i="7" s="1"/>
  <c r="OQE24" i="7" s="1"/>
  <c r="OQG24" i="7" s="1"/>
  <c r="OQI24" i="7" s="1"/>
  <c r="OQK24" i="7" s="1"/>
  <c r="OQM24" i="7" s="1"/>
  <c r="OQO24" i="7" s="1"/>
  <c r="OQQ24" i="7" s="1"/>
  <c r="OQS24" i="7" s="1"/>
  <c r="OQU24" i="7" s="1"/>
  <c r="OQW24" i="7" s="1"/>
  <c r="OQY24" i="7" s="1"/>
  <c r="ORA24" i="7" s="1"/>
  <c r="ORC24" i="7" s="1"/>
  <c r="ORE24" i="7" s="1"/>
  <c r="ORG24" i="7" s="1"/>
  <c r="ORI24" i="7" s="1"/>
  <c r="ORK24" i="7" s="1"/>
  <c r="ORM24" i="7" s="1"/>
  <c r="ORO24" i="7" s="1"/>
  <c r="ORQ24" i="7" s="1"/>
  <c r="ORS24" i="7" s="1"/>
  <c r="ORU24" i="7" s="1"/>
  <c r="ORW24" i="7" s="1"/>
  <c r="ORY24" i="7" s="1"/>
  <c r="OSA24" i="7" s="1"/>
  <c r="OSC24" i="7" s="1"/>
  <c r="OSE24" i="7" s="1"/>
  <c r="OSG24" i="7" s="1"/>
  <c r="OSI24" i="7" s="1"/>
  <c r="OSK24" i="7" s="1"/>
  <c r="OSM24" i="7" s="1"/>
  <c r="OSO24" i="7" s="1"/>
  <c r="OSQ24" i="7" s="1"/>
  <c r="OSS24" i="7" s="1"/>
  <c r="OSU24" i="7" s="1"/>
  <c r="OSW24" i="7" s="1"/>
  <c r="OSY24" i="7" s="1"/>
  <c r="OTA24" i="7" s="1"/>
  <c r="OTC24" i="7" s="1"/>
  <c r="OTE24" i="7" s="1"/>
  <c r="OTG24" i="7" s="1"/>
  <c r="OTI24" i="7" s="1"/>
  <c r="OTK24" i="7" s="1"/>
  <c r="OTM24" i="7" s="1"/>
  <c r="OTO24" i="7" s="1"/>
  <c r="OTQ24" i="7" s="1"/>
  <c r="OTS24" i="7" s="1"/>
  <c r="OTU24" i="7" s="1"/>
  <c r="OTW24" i="7" s="1"/>
  <c r="OTY24" i="7" s="1"/>
  <c r="OUA24" i="7" s="1"/>
  <c r="OUC24" i="7" s="1"/>
  <c r="OUE24" i="7" s="1"/>
  <c r="OUG24" i="7" s="1"/>
  <c r="OUI24" i="7" s="1"/>
  <c r="OUK24" i="7" s="1"/>
  <c r="OUM24" i="7" s="1"/>
  <c r="OUO24" i="7" s="1"/>
  <c r="OUQ24" i="7" s="1"/>
  <c r="OUS24" i="7" s="1"/>
  <c r="OUU24" i="7" s="1"/>
  <c r="OUW24" i="7" s="1"/>
  <c r="OUY24" i="7" s="1"/>
  <c r="OVA24" i="7" s="1"/>
  <c r="OVC24" i="7" s="1"/>
  <c r="OVE24" i="7" s="1"/>
  <c r="OVG24" i="7" s="1"/>
  <c r="OVI24" i="7" s="1"/>
  <c r="OVK24" i="7" s="1"/>
  <c r="OVM24" i="7" s="1"/>
  <c r="OVO24" i="7" s="1"/>
  <c r="OVQ24" i="7" s="1"/>
  <c r="OVS24" i="7" s="1"/>
  <c r="OVU24" i="7" s="1"/>
  <c r="OVW24" i="7" s="1"/>
  <c r="OVY24" i="7" s="1"/>
  <c r="OWA24" i="7" s="1"/>
  <c r="OWC24" i="7" s="1"/>
  <c r="OWE24" i="7" s="1"/>
  <c r="OWG24" i="7" s="1"/>
  <c r="OWI24" i="7" s="1"/>
  <c r="OWK24" i="7" s="1"/>
  <c r="OWM24" i="7" s="1"/>
  <c r="OWO24" i="7" s="1"/>
  <c r="OWQ24" i="7" s="1"/>
  <c r="OWS24" i="7" s="1"/>
  <c r="OWU24" i="7" s="1"/>
  <c r="OWW24" i="7" s="1"/>
  <c r="OWY24" i="7" s="1"/>
  <c r="OXA24" i="7" s="1"/>
  <c r="OXC24" i="7" s="1"/>
  <c r="OXE24" i="7" s="1"/>
  <c r="OXG24" i="7" s="1"/>
  <c r="OXI24" i="7" s="1"/>
  <c r="OXK24" i="7" s="1"/>
  <c r="OXM24" i="7" s="1"/>
  <c r="OXO24" i="7" s="1"/>
  <c r="OXQ24" i="7" s="1"/>
  <c r="OXS24" i="7" s="1"/>
  <c r="OXU24" i="7" s="1"/>
  <c r="OXW24" i="7" s="1"/>
  <c r="OXY24" i="7" s="1"/>
  <c r="OYA24" i="7" s="1"/>
  <c r="OYC24" i="7" s="1"/>
  <c r="OYE24" i="7" s="1"/>
  <c r="OYG24" i="7" s="1"/>
  <c r="OYI24" i="7" s="1"/>
  <c r="OYK24" i="7" s="1"/>
  <c r="OYM24" i="7" s="1"/>
  <c r="OYO24" i="7" s="1"/>
  <c r="OYQ24" i="7" s="1"/>
  <c r="OYS24" i="7" s="1"/>
  <c r="OYU24" i="7" s="1"/>
  <c r="OYW24" i="7" s="1"/>
  <c r="OYY24" i="7" s="1"/>
  <c r="OZA24" i="7" s="1"/>
  <c r="OZC24" i="7" s="1"/>
  <c r="OZE24" i="7" s="1"/>
  <c r="OZG24" i="7" s="1"/>
  <c r="OZI24" i="7" s="1"/>
  <c r="OZK24" i="7" s="1"/>
  <c r="OZM24" i="7" s="1"/>
  <c r="OZO24" i="7" s="1"/>
  <c r="OZQ24" i="7" s="1"/>
  <c r="OZS24" i="7" s="1"/>
  <c r="OZU24" i="7" s="1"/>
  <c r="OZW24" i="7" s="1"/>
  <c r="OZY24" i="7" s="1"/>
  <c r="PAA24" i="7" s="1"/>
  <c r="PAC24" i="7" s="1"/>
  <c r="PAE24" i="7" s="1"/>
  <c r="PAG24" i="7" s="1"/>
  <c r="PAI24" i="7" s="1"/>
  <c r="PAK24" i="7" s="1"/>
  <c r="PAM24" i="7" s="1"/>
  <c r="PAO24" i="7" s="1"/>
  <c r="PAQ24" i="7" s="1"/>
  <c r="PAS24" i="7" s="1"/>
  <c r="PAU24" i="7" s="1"/>
  <c r="PAW24" i="7" s="1"/>
  <c r="PAY24" i="7" s="1"/>
  <c r="PBA24" i="7" s="1"/>
  <c r="PBC24" i="7" s="1"/>
  <c r="PBE24" i="7" s="1"/>
  <c r="PBG24" i="7" s="1"/>
  <c r="PBI24" i="7" s="1"/>
  <c r="PBK24" i="7" s="1"/>
  <c r="PBM24" i="7" s="1"/>
  <c r="PBO24" i="7" s="1"/>
  <c r="PBQ24" i="7" s="1"/>
  <c r="PBS24" i="7" s="1"/>
  <c r="PBU24" i="7" s="1"/>
  <c r="PBW24" i="7" s="1"/>
  <c r="PBY24" i="7" s="1"/>
  <c r="PCA24" i="7" s="1"/>
  <c r="PCC24" i="7" s="1"/>
  <c r="PCE24" i="7" s="1"/>
  <c r="PCG24" i="7" s="1"/>
  <c r="PCI24" i="7" s="1"/>
  <c r="PCK24" i="7" s="1"/>
  <c r="PCM24" i="7" s="1"/>
  <c r="PCO24" i="7" s="1"/>
  <c r="PCQ24" i="7" s="1"/>
  <c r="PCS24" i="7" s="1"/>
  <c r="PCU24" i="7" s="1"/>
  <c r="PCW24" i="7" s="1"/>
  <c r="PCY24" i="7" s="1"/>
  <c r="PDA24" i="7" s="1"/>
  <c r="PDC24" i="7" s="1"/>
  <c r="PDE24" i="7" s="1"/>
  <c r="PDG24" i="7" s="1"/>
  <c r="PDI24" i="7" s="1"/>
  <c r="PDK24" i="7" s="1"/>
  <c r="PDM24" i="7" s="1"/>
  <c r="PDO24" i="7" s="1"/>
  <c r="PDQ24" i="7" s="1"/>
  <c r="PDS24" i="7" s="1"/>
  <c r="PDU24" i="7" s="1"/>
  <c r="PDW24" i="7" s="1"/>
  <c r="PDY24" i="7" s="1"/>
  <c r="PEA24" i="7" s="1"/>
  <c r="PEC24" i="7" s="1"/>
  <c r="PEE24" i="7" s="1"/>
  <c r="PEG24" i="7" s="1"/>
  <c r="PEI24" i="7" s="1"/>
  <c r="PEK24" i="7" s="1"/>
  <c r="PEM24" i="7" s="1"/>
  <c r="PEO24" i="7" s="1"/>
  <c r="PEQ24" i="7" s="1"/>
  <c r="PES24" i="7" s="1"/>
  <c r="PEU24" i="7" s="1"/>
  <c r="PEW24" i="7" s="1"/>
  <c r="PEY24" i="7" s="1"/>
  <c r="PFA24" i="7" s="1"/>
  <c r="PFC24" i="7" s="1"/>
  <c r="PFE24" i="7" s="1"/>
  <c r="PFG24" i="7" s="1"/>
  <c r="PFI24" i="7" s="1"/>
  <c r="PFK24" i="7" s="1"/>
  <c r="PFM24" i="7" s="1"/>
  <c r="PFO24" i="7" s="1"/>
  <c r="PFQ24" i="7" s="1"/>
  <c r="PFS24" i="7" s="1"/>
  <c r="PFU24" i="7" s="1"/>
  <c r="PFW24" i="7" s="1"/>
  <c r="PFY24" i="7" s="1"/>
  <c r="PGA24" i="7" s="1"/>
  <c r="PGC24" i="7" s="1"/>
  <c r="PGE24" i="7" s="1"/>
  <c r="PGG24" i="7" s="1"/>
  <c r="PGI24" i="7" s="1"/>
  <c r="PGK24" i="7" s="1"/>
  <c r="PGM24" i="7" s="1"/>
  <c r="PGO24" i="7" s="1"/>
  <c r="PGQ24" i="7" s="1"/>
  <c r="PGS24" i="7" s="1"/>
  <c r="PGU24" i="7" s="1"/>
  <c r="PGW24" i="7" s="1"/>
  <c r="PGY24" i="7" s="1"/>
  <c r="PHA24" i="7" s="1"/>
  <c r="PHC24" i="7" s="1"/>
  <c r="PHE24" i="7" s="1"/>
  <c r="PHG24" i="7" s="1"/>
  <c r="PHI24" i="7" s="1"/>
  <c r="PHK24" i="7" s="1"/>
  <c r="PHM24" i="7" s="1"/>
  <c r="PHO24" i="7" s="1"/>
  <c r="PHQ24" i="7" s="1"/>
  <c r="PHS24" i="7" s="1"/>
  <c r="PHU24" i="7" s="1"/>
  <c r="PHW24" i="7" s="1"/>
  <c r="PHY24" i="7" s="1"/>
  <c r="PIA24" i="7" s="1"/>
  <c r="PIC24" i="7" s="1"/>
  <c r="PIE24" i="7" s="1"/>
  <c r="PIG24" i="7" s="1"/>
  <c r="PII24" i="7" s="1"/>
  <c r="PIK24" i="7" s="1"/>
  <c r="PIM24" i="7" s="1"/>
  <c r="PIO24" i="7" s="1"/>
  <c r="PIQ24" i="7" s="1"/>
  <c r="PIS24" i="7" s="1"/>
  <c r="PIU24" i="7" s="1"/>
  <c r="PIW24" i="7" s="1"/>
  <c r="PIY24" i="7" s="1"/>
  <c r="PJA24" i="7" s="1"/>
  <c r="PJC24" i="7" s="1"/>
  <c r="PJE24" i="7" s="1"/>
  <c r="PJG24" i="7" s="1"/>
  <c r="PJI24" i="7" s="1"/>
  <c r="PJK24" i="7" s="1"/>
  <c r="PJM24" i="7" s="1"/>
  <c r="PJO24" i="7" s="1"/>
  <c r="PJQ24" i="7" s="1"/>
  <c r="PJS24" i="7" s="1"/>
  <c r="PJU24" i="7" s="1"/>
  <c r="PJW24" i="7" s="1"/>
  <c r="PJY24" i="7" s="1"/>
  <c r="PKA24" i="7" s="1"/>
  <c r="PKC24" i="7" s="1"/>
  <c r="PKE24" i="7" s="1"/>
  <c r="PKG24" i="7" s="1"/>
  <c r="PKI24" i="7" s="1"/>
  <c r="PKK24" i="7" s="1"/>
  <c r="PKM24" i="7" s="1"/>
  <c r="PKO24" i="7" s="1"/>
  <c r="PKQ24" i="7" s="1"/>
  <c r="PKS24" i="7" s="1"/>
  <c r="PKU24" i="7" s="1"/>
  <c r="PKW24" i="7" s="1"/>
  <c r="PKY24" i="7" s="1"/>
  <c r="PLA24" i="7" s="1"/>
  <c r="PLC24" i="7" s="1"/>
  <c r="PLE24" i="7" s="1"/>
  <c r="PLG24" i="7" s="1"/>
  <c r="PLI24" i="7" s="1"/>
  <c r="PLK24" i="7" s="1"/>
  <c r="PLM24" i="7" s="1"/>
  <c r="PLO24" i="7" s="1"/>
  <c r="PLQ24" i="7" s="1"/>
  <c r="PLS24" i="7" s="1"/>
  <c r="PLU24" i="7" s="1"/>
  <c r="PLW24" i="7" s="1"/>
  <c r="PLY24" i="7" s="1"/>
  <c r="PMA24" i="7" s="1"/>
  <c r="PMC24" i="7" s="1"/>
  <c r="PME24" i="7" s="1"/>
  <c r="PMG24" i="7" s="1"/>
  <c r="PMI24" i="7" s="1"/>
  <c r="PMK24" i="7" s="1"/>
  <c r="PMM24" i="7" s="1"/>
  <c r="PMO24" i="7" s="1"/>
  <c r="PMQ24" i="7" s="1"/>
  <c r="PMS24" i="7" s="1"/>
  <c r="PMU24" i="7" s="1"/>
  <c r="PMW24" i="7" s="1"/>
  <c r="PMY24" i="7" s="1"/>
  <c r="PNA24" i="7" s="1"/>
  <c r="PNC24" i="7" s="1"/>
  <c r="PNE24" i="7" s="1"/>
  <c r="PNG24" i="7" s="1"/>
  <c r="PNI24" i="7" s="1"/>
  <c r="PNK24" i="7" s="1"/>
  <c r="PNM24" i="7" s="1"/>
  <c r="PNO24" i="7" s="1"/>
  <c r="PNQ24" i="7" s="1"/>
  <c r="PNS24" i="7" s="1"/>
  <c r="PNU24" i="7" s="1"/>
  <c r="PNW24" i="7" s="1"/>
  <c r="PNY24" i="7" s="1"/>
  <c r="POA24" i="7" s="1"/>
  <c r="POC24" i="7" s="1"/>
  <c r="POE24" i="7" s="1"/>
  <c r="POG24" i="7" s="1"/>
  <c r="POI24" i="7" s="1"/>
  <c r="POK24" i="7" s="1"/>
  <c r="POM24" i="7" s="1"/>
  <c r="POO24" i="7" s="1"/>
  <c r="POQ24" i="7" s="1"/>
  <c r="POS24" i="7" s="1"/>
  <c r="POU24" i="7" s="1"/>
  <c r="POW24" i="7" s="1"/>
  <c r="POY24" i="7" s="1"/>
  <c r="PPA24" i="7" s="1"/>
  <c r="PPC24" i="7" s="1"/>
  <c r="PPE24" i="7" s="1"/>
  <c r="PPG24" i="7" s="1"/>
  <c r="PPI24" i="7" s="1"/>
  <c r="PPK24" i="7" s="1"/>
  <c r="PPM24" i="7" s="1"/>
  <c r="PPO24" i="7" s="1"/>
  <c r="PPQ24" i="7" s="1"/>
  <c r="PPS24" i="7" s="1"/>
  <c r="PPU24" i="7" s="1"/>
  <c r="PPW24" i="7" s="1"/>
  <c r="PPY24" i="7" s="1"/>
  <c r="PQA24" i="7" s="1"/>
  <c r="PQC24" i="7" s="1"/>
  <c r="PQE24" i="7" s="1"/>
  <c r="PQG24" i="7" s="1"/>
  <c r="PQI24" i="7" s="1"/>
  <c r="PQK24" i="7" s="1"/>
  <c r="PQM24" i="7" s="1"/>
  <c r="PQO24" i="7" s="1"/>
  <c r="PQQ24" i="7" s="1"/>
  <c r="PQS24" i="7" s="1"/>
  <c r="PQU24" i="7" s="1"/>
  <c r="PQW24" i="7" s="1"/>
  <c r="PQY24" i="7" s="1"/>
  <c r="PRA24" i="7" s="1"/>
  <c r="PRC24" i="7" s="1"/>
  <c r="PRE24" i="7" s="1"/>
  <c r="PRG24" i="7" s="1"/>
  <c r="PRI24" i="7" s="1"/>
  <c r="PRK24" i="7" s="1"/>
  <c r="PRM24" i="7" s="1"/>
  <c r="PRO24" i="7" s="1"/>
  <c r="PRQ24" i="7" s="1"/>
  <c r="PRS24" i="7" s="1"/>
  <c r="PRU24" i="7" s="1"/>
  <c r="PRW24" i="7" s="1"/>
  <c r="PRY24" i="7" s="1"/>
  <c r="PSA24" i="7" s="1"/>
  <c r="PSC24" i="7" s="1"/>
  <c r="PSE24" i="7" s="1"/>
  <c r="PSG24" i="7" s="1"/>
  <c r="PSI24" i="7" s="1"/>
  <c r="PSK24" i="7" s="1"/>
  <c r="PSM24" i="7" s="1"/>
  <c r="PSO24" i="7" s="1"/>
  <c r="PSQ24" i="7" s="1"/>
  <c r="PSS24" i="7" s="1"/>
  <c r="PSU24" i="7" s="1"/>
  <c r="PSW24" i="7" s="1"/>
  <c r="PSY24" i="7" s="1"/>
  <c r="PTA24" i="7" s="1"/>
  <c r="PTC24" i="7" s="1"/>
  <c r="PTE24" i="7" s="1"/>
  <c r="PTG24" i="7" s="1"/>
  <c r="PTI24" i="7" s="1"/>
  <c r="PTK24" i="7" s="1"/>
  <c r="PTM24" i="7" s="1"/>
  <c r="PTO24" i="7" s="1"/>
  <c r="PTQ24" i="7" s="1"/>
  <c r="PTS24" i="7" s="1"/>
  <c r="PTU24" i="7" s="1"/>
  <c r="PTW24" i="7" s="1"/>
  <c r="PTY24" i="7" s="1"/>
  <c r="PUA24" i="7" s="1"/>
  <c r="PUC24" i="7" s="1"/>
  <c r="PUE24" i="7" s="1"/>
  <c r="PUG24" i="7" s="1"/>
  <c r="PUI24" i="7" s="1"/>
  <c r="PUK24" i="7" s="1"/>
  <c r="PUM24" i="7" s="1"/>
  <c r="PUO24" i="7" s="1"/>
  <c r="PUQ24" i="7" s="1"/>
  <c r="PUS24" i="7" s="1"/>
  <c r="PUU24" i="7" s="1"/>
  <c r="PUW24" i="7" s="1"/>
  <c r="PUY24" i="7" s="1"/>
  <c r="PVA24" i="7" s="1"/>
  <c r="PVC24" i="7" s="1"/>
  <c r="PVE24" i="7" s="1"/>
  <c r="PVG24" i="7" s="1"/>
  <c r="PVI24" i="7" s="1"/>
  <c r="PVK24" i="7" s="1"/>
  <c r="PVM24" i="7" s="1"/>
  <c r="PVO24" i="7" s="1"/>
  <c r="PVQ24" i="7" s="1"/>
  <c r="PVS24" i="7" s="1"/>
  <c r="PVU24" i="7" s="1"/>
  <c r="PVW24" i="7" s="1"/>
  <c r="PVY24" i="7" s="1"/>
  <c r="PWA24" i="7" s="1"/>
  <c r="PWC24" i="7" s="1"/>
  <c r="PWE24" i="7" s="1"/>
  <c r="PWG24" i="7" s="1"/>
  <c r="PWI24" i="7" s="1"/>
  <c r="PWK24" i="7" s="1"/>
  <c r="PWM24" i="7" s="1"/>
  <c r="PWO24" i="7" s="1"/>
  <c r="PWQ24" i="7" s="1"/>
  <c r="PWS24" i="7" s="1"/>
  <c r="PWU24" i="7" s="1"/>
  <c r="PWW24" i="7" s="1"/>
  <c r="PWY24" i="7" s="1"/>
  <c r="PXA24" i="7" s="1"/>
  <c r="PXC24" i="7" s="1"/>
  <c r="PXE24" i="7" s="1"/>
  <c r="PXG24" i="7" s="1"/>
  <c r="PXI24" i="7" s="1"/>
  <c r="PXK24" i="7" s="1"/>
  <c r="PXM24" i="7" s="1"/>
  <c r="PXO24" i="7" s="1"/>
  <c r="PXQ24" i="7" s="1"/>
  <c r="PXS24" i="7" s="1"/>
  <c r="PXU24" i="7" s="1"/>
  <c r="PXW24" i="7" s="1"/>
  <c r="PXY24" i="7" s="1"/>
  <c r="PYA24" i="7" s="1"/>
  <c r="PYC24" i="7" s="1"/>
  <c r="PYE24" i="7" s="1"/>
  <c r="PYG24" i="7" s="1"/>
  <c r="PYI24" i="7" s="1"/>
  <c r="PYK24" i="7" s="1"/>
  <c r="PYM24" i="7" s="1"/>
  <c r="PYO24" i="7" s="1"/>
  <c r="PYQ24" i="7" s="1"/>
  <c r="PYS24" i="7" s="1"/>
  <c r="PYU24" i="7" s="1"/>
  <c r="PYW24" i="7" s="1"/>
  <c r="PYY24" i="7" s="1"/>
  <c r="PZA24" i="7" s="1"/>
  <c r="PZC24" i="7" s="1"/>
  <c r="PZE24" i="7" s="1"/>
  <c r="PZG24" i="7" s="1"/>
  <c r="PZI24" i="7" s="1"/>
  <c r="PZK24" i="7" s="1"/>
  <c r="PZM24" i="7" s="1"/>
  <c r="PZO24" i="7" s="1"/>
  <c r="PZQ24" i="7" s="1"/>
  <c r="PZS24" i="7" s="1"/>
  <c r="PZU24" i="7" s="1"/>
  <c r="PZW24" i="7" s="1"/>
  <c r="PZY24" i="7" s="1"/>
  <c r="QAA24" i="7" s="1"/>
  <c r="QAC24" i="7" s="1"/>
  <c r="QAE24" i="7" s="1"/>
  <c r="QAG24" i="7" s="1"/>
  <c r="QAI24" i="7" s="1"/>
  <c r="QAK24" i="7" s="1"/>
  <c r="QAM24" i="7" s="1"/>
  <c r="QAO24" i="7" s="1"/>
  <c r="QAQ24" i="7" s="1"/>
  <c r="QAS24" i="7" s="1"/>
  <c r="QAU24" i="7" s="1"/>
  <c r="QAW24" i="7" s="1"/>
  <c r="QAY24" i="7" s="1"/>
  <c r="QBA24" i="7" s="1"/>
  <c r="QBC24" i="7" s="1"/>
  <c r="QBE24" i="7" s="1"/>
  <c r="QBG24" i="7" s="1"/>
  <c r="QBI24" i="7" s="1"/>
  <c r="QBK24" i="7" s="1"/>
  <c r="QBM24" i="7" s="1"/>
  <c r="QBO24" i="7" s="1"/>
  <c r="QBQ24" i="7" s="1"/>
  <c r="QBS24" i="7" s="1"/>
  <c r="QBU24" i="7" s="1"/>
  <c r="QBW24" i="7" s="1"/>
  <c r="QBY24" i="7" s="1"/>
  <c r="QCA24" i="7" s="1"/>
  <c r="QCC24" i="7" s="1"/>
  <c r="QCE24" i="7" s="1"/>
  <c r="QCG24" i="7" s="1"/>
  <c r="QCI24" i="7" s="1"/>
  <c r="QCK24" i="7" s="1"/>
  <c r="QCM24" i="7" s="1"/>
  <c r="QCO24" i="7" s="1"/>
  <c r="QCQ24" i="7" s="1"/>
  <c r="QCS24" i="7" s="1"/>
  <c r="QCU24" i="7" s="1"/>
  <c r="QCW24" i="7" s="1"/>
  <c r="QCY24" i="7" s="1"/>
  <c r="QDA24" i="7" s="1"/>
  <c r="QDC24" i="7" s="1"/>
  <c r="QDE24" i="7" s="1"/>
  <c r="QDG24" i="7" s="1"/>
  <c r="QDI24" i="7" s="1"/>
  <c r="QDK24" i="7" s="1"/>
  <c r="QDM24" i="7" s="1"/>
  <c r="QDO24" i="7" s="1"/>
  <c r="QDQ24" i="7" s="1"/>
  <c r="QDS24" i="7" s="1"/>
  <c r="QDU24" i="7" s="1"/>
  <c r="QDW24" i="7" s="1"/>
  <c r="QDY24" i="7" s="1"/>
  <c r="QEA24" i="7" s="1"/>
  <c r="QEC24" i="7" s="1"/>
  <c r="QEE24" i="7" s="1"/>
  <c r="QEG24" i="7" s="1"/>
  <c r="QEI24" i="7" s="1"/>
  <c r="QEK24" i="7" s="1"/>
  <c r="QEM24" i="7" s="1"/>
  <c r="QEO24" i="7" s="1"/>
  <c r="QEQ24" i="7" s="1"/>
  <c r="QES24" i="7" s="1"/>
  <c r="QEU24" i="7" s="1"/>
  <c r="QEW24" i="7" s="1"/>
  <c r="QEY24" i="7" s="1"/>
  <c r="QFA24" i="7" s="1"/>
  <c r="QFC24" i="7" s="1"/>
  <c r="QFE24" i="7" s="1"/>
  <c r="QFG24" i="7" s="1"/>
  <c r="QFI24" i="7" s="1"/>
  <c r="QFK24" i="7" s="1"/>
  <c r="QFM24" i="7" s="1"/>
  <c r="QFO24" i="7" s="1"/>
  <c r="QFQ24" i="7" s="1"/>
  <c r="QFS24" i="7" s="1"/>
  <c r="QFU24" i="7" s="1"/>
  <c r="QFW24" i="7" s="1"/>
  <c r="QFY24" i="7" s="1"/>
  <c r="QGA24" i="7" s="1"/>
  <c r="QGC24" i="7" s="1"/>
  <c r="QGE24" i="7" s="1"/>
  <c r="QGG24" i="7" s="1"/>
  <c r="QGI24" i="7" s="1"/>
  <c r="QGK24" i="7" s="1"/>
  <c r="QGM24" i="7" s="1"/>
  <c r="QGO24" i="7" s="1"/>
  <c r="QGQ24" i="7" s="1"/>
  <c r="QGS24" i="7" s="1"/>
  <c r="QGU24" i="7" s="1"/>
  <c r="QGW24" i="7" s="1"/>
  <c r="QGY24" i="7" s="1"/>
  <c r="QHA24" i="7" s="1"/>
  <c r="QHC24" i="7" s="1"/>
  <c r="QHE24" i="7" s="1"/>
  <c r="QHG24" i="7" s="1"/>
  <c r="QHI24" i="7" s="1"/>
  <c r="QHK24" i="7" s="1"/>
  <c r="QHM24" i="7" s="1"/>
  <c r="QHO24" i="7" s="1"/>
  <c r="QHQ24" i="7" s="1"/>
  <c r="QHS24" i="7" s="1"/>
  <c r="QHU24" i="7" s="1"/>
  <c r="QHW24" i="7" s="1"/>
  <c r="QHY24" i="7" s="1"/>
  <c r="QIA24" i="7" s="1"/>
  <c r="QIC24" i="7" s="1"/>
  <c r="QIE24" i="7" s="1"/>
  <c r="QIG24" i="7" s="1"/>
  <c r="QII24" i="7" s="1"/>
  <c r="QIK24" i="7" s="1"/>
  <c r="QIM24" i="7" s="1"/>
  <c r="QIO24" i="7" s="1"/>
  <c r="QIQ24" i="7" s="1"/>
  <c r="QIS24" i="7" s="1"/>
  <c r="QIU24" i="7" s="1"/>
  <c r="QIW24" i="7" s="1"/>
  <c r="QIY24" i="7" s="1"/>
  <c r="QJA24" i="7" s="1"/>
  <c r="QJC24" i="7" s="1"/>
  <c r="QJE24" i="7" s="1"/>
  <c r="QJG24" i="7" s="1"/>
  <c r="QJI24" i="7" s="1"/>
  <c r="QJK24" i="7" s="1"/>
  <c r="QJM24" i="7" s="1"/>
  <c r="QJO24" i="7" s="1"/>
  <c r="QJQ24" i="7" s="1"/>
  <c r="QJS24" i="7" s="1"/>
  <c r="QJU24" i="7" s="1"/>
  <c r="QJW24" i="7" s="1"/>
  <c r="QJY24" i="7" s="1"/>
  <c r="QKA24" i="7" s="1"/>
  <c r="QKC24" i="7" s="1"/>
  <c r="QKE24" i="7" s="1"/>
  <c r="QKG24" i="7" s="1"/>
  <c r="QKI24" i="7" s="1"/>
  <c r="QKK24" i="7" s="1"/>
  <c r="QKM24" i="7" s="1"/>
  <c r="QKO24" i="7" s="1"/>
  <c r="QKQ24" i="7" s="1"/>
  <c r="QKS24" i="7" s="1"/>
  <c r="QKU24" i="7" s="1"/>
  <c r="QKW24" i="7" s="1"/>
  <c r="QKY24" i="7" s="1"/>
  <c r="QLA24" i="7" s="1"/>
  <c r="QLC24" i="7" s="1"/>
  <c r="QLE24" i="7" s="1"/>
  <c r="QLG24" i="7" s="1"/>
  <c r="QLI24" i="7" s="1"/>
  <c r="QLK24" i="7" s="1"/>
  <c r="QLM24" i="7" s="1"/>
  <c r="QLO24" i="7" s="1"/>
  <c r="QLQ24" i="7" s="1"/>
  <c r="QLS24" i="7" s="1"/>
  <c r="QLU24" i="7" s="1"/>
  <c r="QLW24" i="7" s="1"/>
  <c r="QLY24" i="7" s="1"/>
  <c r="QMA24" i="7" s="1"/>
  <c r="QMC24" i="7" s="1"/>
  <c r="QME24" i="7" s="1"/>
  <c r="QMG24" i="7" s="1"/>
  <c r="QMI24" i="7" s="1"/>
  <c r="QMK24" i="7" s="1"/>
  <c r="QMM24" i="7" s="1"/>
  <c r="QMO24" i="7" s="1"/>
  <c r="QMQ24" i="7" s="1"/>
  <c r="QMS24" i="7" s="1"/>
  <c r="QMU24" i="7" s="1"/>
  <c r="QMW24" i="7" s="1"/>
  <c r="QMY24" i="7" s="1"/>
  <c r="QNA24" i="7" s="1"/>
  <c r="QNC24" i="7" s="1"/>
  <c r="QNE24" i="7" s="1"/>
  <c r="QNG24" i="7" s="1"/>
  <c r="QNI24" i="7" s="1"/>
  <c r="QNK24" i="7" s="1"/>
  <c r="QNM24" i="7" s="1"/>
  <c r="QNO24" i="7" s="1"/>
  <c r="QNQ24" i="7" s="1"/>
  <c r="QNS24" i="7" s="1"/>
  <c r="QNU24" i="7" s="1"/>
  <c r="QNW24" i="7" s="1"/>
  <c r="QNY24" i="7" s="1"/>
  <c r="QOA24" i="7" s="1"/>
  <c r="QOC24" i="7" s="1"/>
  <c r="QOE24" i="7" s="1"/>
  <c r="QOG24" i="7" s="1"/>
  <c r="QOI24" i="7" s="1"/>
  <c r="QOK24" i="7" s="1"/>
  <c r="QOM24" i="7" s="1"/>
  <c r="QOO24" i="7" s="1"/>
  <c r="QOQ24" i="7" s="1"/>
  <c r="QOS24" i="7" s="1"/>
  <c r="QOU24" i="7" s="1"/>
  <c r="QOW24" i="7" s="1"/>
  <c r="QOY24" i="7" s="1"/>
  <c r="QPA24" i="7" s="1"/>
  <c r="QPC24" i="7" s="1"/>
  <c r="QPE24" i="7" s="1"/>
  <c r="QPG24" i="7" s="1"/>
  <c r="QPI24" i="7" s="1"/>
  <c r="QPK24" i="7" s="1"/>
  <c r="QPM24" i="7" s="1"/>
  <c r="QPO24" i="7" s="1"/>
  <c r="QPQ24" i="7" s="1"/>
  <c r="QPS24" i="7" s="1"/>
  <c r="QPU24" i="7" s="1"/>
  <c r="QPW24" i="7" s="1"/>
  <c r="QPY24" i="7" s="1"/>
  <c r="QQA24" i="7" s="1"/>
  <c r="QQC24" i="7" s="1"/>
  <c r="QQE24" i="7" s="1"/>
  <c r="QQG24" i="7" s="1"/>
  <c r="QQI24" i="7" s="1"/>
  <c r="QQK24" i="7" s="1"/>
  <c r="QQM24" i="7" s="1"/>
  <c r="QQO24" i="7" s="1"/>
  <c r="QQQ24" i="7" s="1"/>
  <c r="QQS24" i="7" s="1"/>
  <c r="QQU24" i="7" s="1"/>
  <c r="QQW24" i="7" s="1"/>
  <c r="QQY24" i="7" s="1"/>
  <c r="QRA24" i="7" s="1"/>
  <c r="QRC24" i="7" s="1"/>
  <c r="QRE24" i="7" s="1"/>
  <c r="QRG24" i="7" s="1"/>
  <c r="QRI24" i="7" s="1"/>
  <c r="QRK24" i="7" s="1"/>
  <c r="QRM24" i="7" s="1"/>
  <c r="QRO24" i="7" s="1"/>
  <c r="QRQ24" i="7" s="1"/>
  <c r="QRS24" i="7" s="1"/>
  <c r="QRU24" i="7" s="1"/>
  <c r="QRW24" i="7" s="1"/>
  <c r="QRY24" i="7" s="1"/>
  <c r="QSA24" i="7" s="1"/>
  <c r="QSC24" i="7" s="1"/>
  <c r="QSE24" i="7" s="1"/>
  <c r="QSG24" i="7" s="1"/>
  <c r="QSI24" i="7" s="1"/>
  <c r="QSK24" i="7" s="1"/>
  <c r="QSM24" i="7" s="1"/>
  <c r="QSO24" i="7" s="1"/>
  <c r="QSQ24" i="7" s="1"/>
  <c r="QSS24" i="7" s="1"/>
  <c r="QSU24" i="7" s="1"/>
  <c r="QSW24" i="7" s="1"/>
  <c r="QSY24" i="7" s="1"/>
  <c r="QTA24" i="7" s="1"/>
  <c r="QTC24" i="7" s="1"/>
  <c r="QTE24" i="7" s="1"/>
  <c r="QTG24" i="7" s="1"/>
  <c r="QTI24" i="7" s="1"/>
  <c r="QTK24" i="7" s="1"/>
  <c r="QTM24" i="7" s="1"/>
  <c r="QTO24" i="7" s="1"/>
  <c r="QTQ24" i="7" s="1"/>
  <c r="QTS24" i="7" s="1"/>
  <c r="QTU24" i="7" s="1"/>
  <c r="QTW24" i="7" s="1"/>
  <c r="QTY24" i="7" s="1"/>
  <c r="QUA24" i="7" s="1"/>
  <c r="QUC24" i="7" s="1"/>
  <c r="QUE24" i="7" s="1"/>
  <c r="QUG24" i="7" s="1"/>
  <c r="QUI24" i="7" s="1"/>
  <c r="QUK24" i="7" s="1"/>
  <c r="QUM24" i="7" s="1"/>
  <c r="QUO24" i="7" s="1"/>
  <c r="QUQ24" i="7" s="1"/>
  <c r="QUS24" i="7" s="1"/>
  <c r="QUU24" i="7" s="1"/>
  <c r="QUW24" i="7" s="1"/>
  <c r="QUY24" i="7" s="1"/>
  <c r="QVA24" i="7" s="1"/>
  <c r="QVC24" i="7" s="1"/>
  <c r="QVE24" i="7" s="1"/>
  <c r="QVG24" i="7" s="1"/>
  <c r="QVI24" i="7" s="1"/>
  <c r="QVK24" i="7" s="1"/>
  <c r="QVM24" i="7" s="1"/>
  <c r="QVO24" i="7" s="1"/>
  <c r="QVQ24" i="7" s="1"/>
  <c r="QVS24" i="7" s="1"/>
  <c r="QVU24" i="7" s="1"/>
  <c r="QVW24" i="7" s="1"/>
  <c r="QVY24" i="7" s="1"/>
  <c r="QWA24" i="7" s="1"/>
  <c r="QWC24" i="7" s="1"/>
  <c r="QWE24" i="7" s="1"/>
  <c r="QWG24" i="7" s="1"/>
  <c r="QWI24" i="7" s="1"/>
  <c r="QWK24" i="7" s="1"/>
  <c r="QWM24" i="7" s="1"/>
  <c r="QWO24" i="7" s="1"/>
  <c r="QWQ24" i="7" s="1"/>
  <c r="QWS24" i="7" s="1"/>
  <c r="QWU24" i="7" s="1"/>
  <c r="QWW24" i="7" s="1"/>
  <c r="QWY24" i="7" s="1"/>
  <c r="QXA24" i="7" s="1"/>
  <c r="QXC24" i="7" s="1"/>
  <c r="QXE24" i="7" s="1"/>
  <c r="QXG24" i="7" s="1"/>
  <c r="QXI24" i="7" s="1"/>
  <c r="QXK24" i="7" s="1"/>
  <c r="QXM24" i="7" s="1"/>
  <c r="QXO24" i="7" s="1"/>
  <c r="QXQ24" i="7" s="1"/>
  <c r="QXS24" i="7" s="1"/>
  <c r="QXU24" i="7" s="1"/>
  <c r="QXW24" i="7" s="1"/>
  <c r="QXY24" i="7" s="1"/>
  <c r="QYA24" i="7" s="1"/>
  <c r="QYC24" i="7" s="1"/>
  <c r="QYE24" i="7" s="1"/>
  <c r="QYG24" i="7" s="1"/>
  <c r="QYI24" i="7" s="1"/>
  <c r="QYK24" i="7" s="1"/>
  <c r="QYM24" i="7" s="1"/>
  <c r="QYO24" i="7" s="1"/>
  <c r="QYQ24" i="7" s="1"/>
  <c r="QYS24" i="7" s="1"/>
  <c r="QYU24" i="7" s="1"/>
  <c r="QYW24" i="7" s="1"/>
  <c r="QYY24" i="7" s="1"/>
  <c r="QZA24" i="7" s="1"/>
  <c r="QZC24" i="7" s="1"/>
  <c r="QZE24" i="7" s="1"/>
  <c r="QZG24" i="7" s="1"/>
  <c r="QZI24" i="7" s="1"/>
  <c r="QZK24" i="7" s="1"/>
  <c r="QZM24" i="7" s="1"/>
  <c r="QZO24" i="7" s="1"/>
  <c r="QZQ24" i="7" s="1"/>
  <c r="QZS24" i="7" s="1"/>
  <c r="QZU24" i="7" s="1"/>
  <c r="QZW24" i="7" s="1"/>
  <c r="QZY24" i="7" s="1"/>
  <c r="RAA24" i="7" s="1"/>
  <c r="RAC24" i="7" s="1"/>
  <c r="RAE24" i="7" s="1"/>
  <c r="RAG24" i="7" s="1"/>
  <c r="RAI24" i="7" s="1"/>
  <c r="RAK24" i="7" s="1"/>
  <c r="RAM24" i="7" s="1"/>
  <c r="RAO24" i="7" s="1"/>
  <c r="RAQ24" i="7" s="1"/>
  <c r="RAS24" i="7" s="1"/>
  <c r="RAU24" i="7" s="1"/>
  <c r="RAW24" i="7" s="1"/>
  <c r="RAY24" i="7" s="1"/>
  <c r="RBA24" i="7" s="1"/>
  <c r="RBC24" i="7" s="1"/>
  <c r="RBE24" i="7" s="1"/>
  <c r="RBG24" i="7" s="1"/>
  <c r="RBI24" i="7" s="1"/>
  <c r="RBK24" i="7" s="1"/>
  <c r="RBM24" i="7" s="1"/>
  <c r="RBO24" i="7" s="1"/>
  <c r="RBQ24" i="7" s="1"/>
  <c r="RBS24" i="7" s="1"/>
  <c r="RBU24" i="7" s="1"/>
  <c r="RBW24" i="7" s="1"/>
  <c r="RBY24" i="7" s="1"/>
  <c r="RCA24" i="7" s="1"/>
  <c r="RCC24" i="7" s="1"/>
  <c r="RCE24" i="7" s="1"/>
  <c r="RCG24" i="7" s="1"/>
  <c r="RCI24" i="7" s="1"/>
  <c r="RCK24" i="7" s="1"/>
  <c r="RCM24" i="7" s="1"/>
  <c r="RCO24" i="7" s="1"/>
  <c r="RCQ24" i="7" s="1"/>
  <c r="RCS24" i="7" s="1"/>
  <c r="RCU24" i="7" s="1"/>
  <c r="RCW24" i="7" s="1"/>
  <c r="RCY24" i="7" s="1"/>
  <c r="RDA24" i="7" s="1"/>
  <c r="RDC24" i="7" s="1"/>
  <c r="RDE24" i="7" s="1"/>
  <c r="RDG24" i="7" s="1"/>
  <c r="RDI24" i="7" s="1"/>
  <c r="RDK24" i="7" s="1"/>
  <c r="RDM24" i="7" s="1"/>
  <c r="RDO24" i="7" s="1"/>
  <c r="RDQ24" i="7" s="1"/>
  <c r="RDS24" i="7" s="1"/>
  <c r="RDU24" i="7" s="1"/>
  <c r="RDW24" i="7" s="1"/>
  <c r="RDY24" i="7" s="1"/>
  <c r="REA24" i="7" s="1"/>
  <c r="REC24" i="7" s="1"/>
  <c r="REE24" i="7" s="1"/>
  <c r="REG24" i="7" s="1"/>
  <c r="REI24" i="7" s="1"/>
  <c r="REK24" i="7" s="1"/>
  <c r="REM24" i="7" s="1"/>
  <c r="REO24" i="7" s="1"/>
  <c r="REQ24" i="7" s="1"/>
  <c r="RES24" i="7" s="1"/>
  <c r="REU24" i="7" s="1"/>
  <c r="REW24" i="7" s="1"/>
  <c r="REY24" i="7" s="1"/>
  <c r="RFA24" i="7" s="1"/>
  <c r="RFC24" i="7" s="1"/>
  <c r="RFE24" i="7" s="1"/>
  <c r="RFG24" i="7" s="1"/>
  <c r="RFI24" i="7" s="1"/>
  <c r="RFK24" i="7" s="1"/>
  <c r="RFM24" i="7" s="1"/>
  <c r="RFO24" i="7" s="1"/>
  <c r="RFQ24" i="7" s="1"/>
  <c r="RFS24" i="7" s="1"/>
  <c r="RFU24" i="7" s="1"/>
  <c r="RFW24" i="7" s="1"/>
  <c r="RFY24" i="7" s="1"/>
  <c r="RGA24" i="7" s="1"/>
  <c r="RGC24" i="7" s="1"/>
  <c r="RGE24" i="7" s="1"/>
  <c r="RGG24" i="7" s="1"/>
  <c r="RGI24" i="7" s="1"/>
  <c r="RGK24" i="7" s="1"/>
  <c r="RGM24" i="7" s="1"/>
  <c r="RGO24" i="7" s="1"/>
  <c r="RGQ24" i="7" s="1"/>
  <c r="RGS24" i="7" s="1"/>
  <c r="RGU24" i="7" s="1"/>
  <c r="RGW24" i="7" s="1"/>
  <c r="RGY24" i="7" s="1"/>
  <c r="RHA24" i="7" s="1"/>
  <c r="RHC24" i="7" s="1"/>
  <c r="RHE24" i="7" s="1"/>
  <c r="RHG24" i="7" s="1"/>
  <c r="RHI24" i="7" s="1"/>
  <c r="RHK24" i="7" s="1"/>
  <c r="RHM24" i="7" s="1"/>
  <c r="RHO24" i="7" s="1"/>
  <c r="RHQ24" i="7" s="1"/>
  <c r="RHS24" i="7" s="1"/>
  <c r="RHU24" i="7" s="1"/>
  <c r="RHW24" i="7" s="1"/>
  <c r="RHY24" i="7" s="1"/>
  <c r="RIA24" i="7" s="1"/>
  <c r="RIC24" i="7" s="1"/>
  <c r="RIE24" i="7" s="1"/>
  <c r="RIG24" i="7" s="1"/>
  <c r="RII24" i="7" s="1"/>
  <c r="RIK24" i="7" s="1"/>
  <c r="RIM24" i="7" s="1"/>
  <c r="RIO24" i="7" s="1"/>
  <c r="RIQ24" i="7" s="1"/>
  <c r="RIS24" i="7" s="1"/>
  <c r="RIU24" i="7" s="1"/>
  <c r="RIW24" i="7" s="1"/>
  <c r="RIY24" i="7" s="1"/>
  <c r="RJA24" i="7" s="1"/>
  <c r="RJC24" i="7" s="1"/>
  <c r="RJE24" i="7" s="1"/>
  <c r="RJG24" i="7" s="1"/>
  <c r="RJI24" i="7" s="1"/>
  <c r="RJK24" i="7" s="1"/>
  <c r="RJM24" i="7" s="1"/>
  <c r="RJO24" i="7" s="1"/>
  <c r="RJQ24" i="7" s="1"/>
  <c r="RJS24" i="7" s="1"/>
  <c r="RJU24" i="7" s="1"/>
  <c r="RJW24" i="7" s="1"/>
  <c r="RJY24" i="7" s="1"/>
  <c r="RKA24" i="7" s="1"/>
  <c r="RKC24" i="7" s="1"/>
  <c r="RKE24" i="7" s="1"/>
  <c r="RKG24" i="7" s="1"/>
  <c r="RKI24" i="7" s="1"/>
  <c r="RKK24" i="7" s="1"/>
  <c r="RKM24" i="7" s="1"/>
  <c r="RKO24" i="7" s="1"/>
  <c r="RKQ24" i="7" s="1"/>
  <c r="RKS24" i="7" s="1"/>
  <c r="RKU24" i="7" s="1"/>
  <c r="RKW24" i="7" s="1"/>
  <c r="RKY24" i="7" s="1"/>
  <c r="RLA24" i="7" s="1"/>
  <c r="RLC24" i="7" s="1"/>
  <c r="RLE24" i="7" s="1"/>
  <c r="RLG24" i="7" s="1"/>
  <c r="RLI24" i="7" s="1"/>
  <c r="RLK24" i="7" s="1"/>
  <c r="RLM24" i="7" s="1"/>
  <c r="RLO24" i="7" s="1"/>
  <c r="RLQ24" i="7" s="1"/>
  <c r="RLS24" i="7" s="1"/>
  <c r="RLU24" i="7" s="1"/>
  <c r="RLW24" i="7" s="1"/>
  <c r="RLY24" i="7" s="1"/>
  <c r="RMA24" i="7" s="1"/>
  <c r="RMC24" i="7" s="1"/>
  <c r="RME24" i="7" s="1"/>
  <c r="RMG24" i="7" s="1"/>
  <c r="RMI24" i="7" s="1"/>
  <c r="RMK24" i="7" s="1"/>
  <c r="RMM24" i="7" s="1"/>
  <c r="RMO24" i="7" s="1"/>
  <c r="RMQ24" i="7" s="1"/>
  <c r="RMS24" i="7" s="1"/>
  <c r="RMU24" i="7" s="1"/>
  <c r="RMW24" i="7" s="1"/>
  <c r="RMY24" i="7" s="1"/>
  <c r="RNA24" i="7" s="1"/>
  <c r="RNC24" i="7" s="1"/>
  <c r="RNE24" i="7" s="1"/>
  <c r="RNG24" i="7" s="1"/>
  <c r="RNI24" i="7" s="1"/>
  <c r="RNK24" i="7" s="1"/>
  <c r="RNM24" i="7" s="1"/>
  <c r="RNO24" i="7" s="1"/>
  <c r="RNQ24" i="7" s="1"/>
  <c r="RNS24" i="7" s="1"/>
  <c r="RNU24" i="7" s="1"/>
  <c r="RNW24" i="7" s="1"/>
  <c r="RNY24" i="7" s="1"/>
  <c r="ROA24" i="7" s="1"/>
  <c r="ROC24" i="7" s="1"/>
  <c r="ROE24" i="7" s="1"/>
  <c r="ROG24" i="7" s="1"/>
  <c r="ROI24" i="7" s="1"/>
  <c r="ROK24" i="7" s="1"/>
  <c r="ROM24" i="7" s="1"/>
  <c r="ROO24" i="7" s="1"/>
  <c r="ROQ24" i="7" s="1"/>
  <c r="ROS24" i="7" s="1"/>
  <c r="ROU24" i="7" s="1"/>
  <c r="ROW24" i="7" s="1"/>
  <c r="ROY24" i="7" s="1"/>
  <c r="RPA24" i="7" s="1"/>
  <c r="RPC24" i="7" s="1"/>
  <c r="RPE24" i="7" s="1"/>
  <c r="RPG24" i="7" s="1"/>
  <c r="RPI24" i="7" s="1"/>
  <c r="RPK24" i="7" s="1"/>
  <c r="RPM24" i="7" s="1"/>
  <c r="RPO24" i="7" s="1"/>
  <c r="RPQ24" i="7" s="1"/>
  <c r="RPS24" i="7" s="1"/>
  <c r="RPU24" i="7" s="1"/>
  <c r="RPW24" i="7" s="1"/>
  <c r="RPY24" i="7" s="1"/>
  <c r="RQA24" i="7" s="1"/>
  <c r="RQC24" i="7" s="1"/>
  <c r="RQE24" i="7" s="1"/>
  <c r="RQG24" i="7" s="1"/>
  <c r="RQI24" i="7" s="1"/>
  <c r="RQK24" i="7" s="1"/>
  <c r="RQM24" i="7" s="1"/>
  <c r="RQO24" i="7" s="1"/>
  <c r="RQQ24" i="7" s="1"/>
  <c r="RQS24" i="7" s="1"/>
  <c r="RQU24" i="7" s="1"/>
  <c r="RQW24" i="7" s="1"/>
  <c r="RQY24" i="7" s="1"/>
  <c r="RRA24" i="7" s="1"/>
  <c r="RRC24" i="7" s="1"/>
  <c r="RRE24" i="7" s="1"/>
  <c r="RRG24" i="7" s="1"/>
  <c r="RRI24" i="7" s="1"/>
  <c r="RRK24" i="7" s="1"/>
  <c r="RRM24" i="7" s="1"/>
  <c r="RRO24" i="7" s="1"/>
  <c r="RRQ24" i="7" s="1"/>
  <c r="RRS24" i="7" s="1"/>
  <c r="RRU24" i="7" s="1"/>
  <c r="RRW24" i="7" s="1"/>
  <c r="RRY24" i="7" s="1"/>
  <c r="RSA24" i="7" s="1"/>
  <c r="RSC24" i="7" s="1"/>
  <c r="RSE24" i="7" s="1"/>
  <c r="RSG24" i="7" s="1"/>
  <c r="RSI24" i="7" s="1"/>
  <c r="RSK24" i="7" s="1"/>
  <c r="RSM24" i="7" s="1"/>
  <c r="RSO24" i="7" s="1"/>
  <c r="RSQ24" i="7" s="1"/>
  <c r="RSS24" i="7" s="1"/>
  <c r="RSU24" i="7" s="1"/>
  <c r="RSW24" i="7" s="1"/>
  <c r="RSY24" i="7" s="1"/>
  <c r="RTA24" i="7" s="1"/>
  <c r="RTC24" i="7" s="1"/>
  <c r="RTE24" i="7" s="1"/>
  <c r="RTG24" i="7" s="1"/>
  <c r="RTI24" i="7" s="1"/>
  <c r="RTK24" i="7" s="1"/>
  <c r="RTM24" i="7" s="1"/>
  <c r="RTO24" i="7" s="1"/>
  <c r="RTQ24" i="7" s="1"/>
  <c r="RTS24" i="7" s="1"/>
  <c r="RTU24" i="7" s="1"/>
  <c r="RTW24" i="7" s="1"/>
  <c r="RTY24" i="7" s="1"/>
  <c r="RUA24" i="7" s="1"/>
  <c r="RUC24" i="7" s="1"/>
  <c r="RUE24" i="7" s="1"/>
  <c r="RUG24" i="7" s="1"/>
  <c r="RUI24" i="7" s="1"/>
  <c r="RUK24" i="7" s="1"/>
  <c r="RUM24" i="7" s="1"/>
  <c r="RUO24" i="7" s="1"/>
  <c r="RUQ24" i="7" s="1"/>
  <c r="RUS24" i="7" s="1"/>
  <c r="RUU24" i="7" s="1"/>
  <c r="RUW24" i="7" s="1"/>
  <c r="RUY24" i="7" s="1"/>
  <c r="RVA24" i="7" s="1"/>
  <c r="RVC24" i="7" s="1"/>
  <c r="RVE24" i="7" s="1"/>
  <c r="RVG24" i="7" s="1"/>
  <c r="RVI24" i="7" s="1"/>
  <c r="RVK24" i="7" s="1"/>
  <c r="RVM24" i="7" s="1"/>
  <c r="RVO24" i="7" s="1"/>
  <c r="RVQ24" i="7" s="1"/>
  <c r="RVS24" i="7" s="1"/>
  <c r="RVU24" i="7" s="1"/>
  <c r="RVW24" i="7" s="1"/>
  <c r="RVY24" i="7" s="1"/>
  <c r="RWA24" i="7" s="1"/>
  <c r="RWC24" i="7" s="1"/>
  <c r="RWE24" i="7" s="1"/>
  <c r="RWG24" i="7" s="1"/>
  <c r="RWI24" i="7" s="1"/>
  <c r="RWK24" i="7" s="1"/>
  <c r="RWM24" i="7" s="1"/>
  <c r="RWO24" i="7" s="1"/>
  <c r="RWQ24" i="7" s="1"/>
  <c r="RWS24" i="7" s="1"/>
  <c r="RWU24" i="7" s="1"/>
  <c r="RWW24" i="7" s="1"/>
  <c r="RWY24" i="7" s="1"/>
  <c r="RXA24" i="7" s="1"/>
  <c r="RXC24" i="7" s="1"/>
  <c r="RXE24" i="7" s="1"/>
  <c r="RXG24" i="7" s="1"/>
  <c r="RXI24" i="7" s="1"/>
  <c r="RXK24" i="7" s="1"/>
  <c r="RXM24" i="7" s="1"/>
  <c r="RXO24" i="7" s="1"/>
  <c r="RXQ24" i="7" s="1"/>
  <c r="RXS24" i="7" s="1"/>
  <c r="RXU24" i="7" s="1"/>
  <c r="RXW24" i="7" s="1"/>
  <c r="RXY24" i="7" s="1"/>
  <c r="RYA24" i="7" s="1"/>
  <c r="RYC24" i="7" s="1"/>
  <c r="RYE24" i="7" s="1"/>
  <c r="RYG24" i="7" s="1"/>
  <c r="RYI24" i="7" s="1"/>
  <c r="RYK24" i="7" s="1"/>
  <c r="RYM24" i="7" s="1"/>
  <c r="RYO24" i="7" s="1"/>
  <c r="RYQ24" i="7" s="1"/>
  <c r="RYS24" i="7" s="1"/>
  <c r="RYU24" i="7" s="1"/>
  <c r="RYW24" i="7" s="1"/>
  <c r="RYY24" i="7" s="1"/>
  <c r="RZA24" i="7" s="1"/>
  <c r="RZC24" i="7" s="1"/>
  <c r="RZE24" i="7" s="1"/>
  <c r="RZG24" i="7" s="1"/>
  <c r="RZI24" i="7" s="1"/>
  <c r="RZK24" i="7" s="1"/>
  <c r="RZM24" i="7" s="1"/>
  <c r="RZO24" i="7" s="1"/>
  <c r="RZQ24" i="7" s="1"/>
  <c r="RZS24" i="7" s="1"/>
  <c r="RZU24" i="7" s="1"/>
  <c r="RZW24" i="7" s="1"/>
  <c r="RZY24" i="7" s="1"/>
  <c r="SAA24" i="7" s="1"/>
  <c r="SAC24" i="7" s="1"/>
  <c r="SAE24" i="7" s="1"/>
  <c r="SAG24" i="7" s="1"/>
  <c r="SAI24" i="7" s="1"/>
  <c r="SAK24" i="7" s="1"/>
  <c r="SAM24" i="7" s="1"/>
  <c r="SAO24" i="7" s="1"/>
  <c r="SAQ24" i="7" s="1"/>
  <c r="SAS24" i="7" s="1"/>
  <c r="SAU24" i="7" s="1"/>
  <c r="SAW24" i="7" s="1"/>
  <c r="SAY24" i="7" s="1"/>
  <c r="SBA24" i="7" s="1"/>
  <c r="SBC24" i="7" s="1"/>
  <c r="SBE24" i="7" s="1"/>
  <c r="SBG24" i="7" s="1"/>
  <c r="SBI24" i="7" s="1"/>
  <c r="SBK24" i="7" s="1"/>
  <c r="SBM24" i="7" s="1"/>
  <c r="SBO24" i="7" s="1"/>
  <c r="SBQ24" i="7" s="1"/>
  <c r="SBS24" i="7" s="1"/>
  <c r="SBU24" i="7" s="1"/>
  <c r="SBW24" i="7" s="1"/>
  <c r="SBY24" i="7" s="1"/>
  <c r="SCA24" i="7" s="1"/>
  <c r="SCC24" i="7" s="1"/>
  <c r="SCE24" i="7" s="1"/>
  <c r="SCG24" i="7" s="1"/>
  <c r="SCI24" i="7" s="1"/>
  <c r="SCK24" i="7" s="1"/>
  <c r="SCM24" i="7" s="1"/>
  <c r="SCO24" i="7" s="1"/>
  <c r="SCQ24" i="7" s="1"/>
  <c r="SCS24" i="7" s="1"/>
  <c r="SCU24" i="7" s="1"/>
  <c r="SCW24" i="7" s="1"/>
  <c r="SCY24" i="7" s="1"/>
  <c r="SDA24" i="7" s="1"/>
  <c r="SDC24" i="7" s="1"/>
  <c r="SDE24" i="7" s="1"/>
  <c r="SDG24" i="7" s="1"/>
  <c r="SDI24" i="7" s="1"/>
  <c r="SDK24" i="7" s="1"/>
  <c r="SDM24" i="7" s="1"/>
  <c r="SDO24" i="7" s="1"/>
  <c r="SDQ24" i="7" s="1"/>
  <c r="SDS24" i="7" s="1"/>
  <c r="SDU24" i="7" s="1"/>
  <c r="SDW24" i="7" s="1"/>
  <c r="SDY24" i="7" s="1"/>
  <c r="SEA24" i="7" s="1"/>
  <c r="SEC24" i="7" s="1"/>
  <c r="SEE24" i="7" s="1"/>
  <c r="SEG24" i="7" s="1"/>
  <c r="SEI24" i="7" s="1"/>
  <c r="SEK24" i="7" s="1"/>
  <c r="SEM24" i="7" s="1"/>
  <c r="SEO24" i="7" s="1"/>
  <c r="SEQ24" i="7" s="1"/>
  <c r="SES24" i="7" s="1"/>
  <c r="SEU24" i="7" s="1"/>
  <c r="SEW24" i="7" s="1"/>
  <c r="SEY24" i="7" s="1"/>
  <c r="SFA24" i="7" s="1"/>
  <c r="SFC24" i="7" s="1"/>
  <c r="SFE24" i="7" s="1"/>
  <c r="SFG24" i="7" s="1"/>
  <c r="SFI24" i="7" s="1"/>
  <c r="SFK24" i="7" s="1"/>
  <c r="SFM24" i="7" s="1"/>
  <c r="SFO24" i="7" s="1"/>
  <c r="SFQ24" i="7" s="1"/>
  <c r="SFS24" i="7" s="1"/>
  <c r="SFU24" i="7" s="1"/>
  <c r="SFW24" i="7" s="1"/>
  <c r="SFY24" i="7" s="1"/>
  <c r="SGA24" i="7" s="1"/>
  <c r="SGC24" i="7" s="1"/>
  <c r="SGE24" i="7" s="1"/>
  <c r="SGG24" i="7" s="1"/>
  <c r="SGI24" i="7" s="1"/>
  <c r="SGK24" i="7" s="1"/>
  <c r="SGM24" i="7" s="1"/>
  <c r="SGO24" i="7" s="1"/>
  <c r="SGQ24" i="7" s="1"/>
  <c r="SGS24" i="7" s="1"/>
  <c r="SGU24" i="7" s="1"/>
  <c r="SGW24" i="7" s="1"/>
  <c r="SGY24" i="7" s="1"/>
  <c r="SHA24" i="7" s="1"/>
  <c r="SHC24" i="7" s="1"/>
  <c r="SHE24" i="7" s="1"/>
  <c r="SHG24" i="7" s="1"/>
  <c r="SHI24" i="7" s="1"/>
  <c r="SHK24" i="7" s="1"/>
  <c r="SHM24" i="7" s="1"/>
  <c r="SHO24" i="7" s="1"/>
  <c r="SHQ24" i="7" s="1"/>
  <c r="SHS24" i="7" s="1"/>
  <c r="SHU24" i="7" s="1"/>
  <c r="SHW24" i="7" s="1"/>
  <c r="SHY24" i="7" s="1"/>
  <c r="SIA24" i="7" s="1"/>
  <c r="SIC24" i="7" s="1"/>
  <c r="SIE24" i="7" s="1"/>
  <c r="SIG24" i="7" s="1"/>
  <c r="SII24" i="7" s="1"/>
  <c r="SIK24" i="7" s="1"/>
  <c r="SIM24" i="7" s="1"/>
  <c r="SIO24" i="7" s="1"/>
  <c r="SIQ24" i="7" s="1"/>
  <c r="SIS24" i="7" s="1"/>
  <c r="SIU24" i="7" s="1"/>
  <c r="SIW24" i="7" s="1"/>
  <c r="SIY24" i="7" s="1"/>
  <c r="SJA24" i="7" s="1"/>
  <c r="SJC24" i="7" s="1"/>
  <c r="SJE24" i="7" s="1"/>
  <c r="SJG24" i="7" s="1"/>
  <c r="SJI24" i="7" s="1"/>
  <c r="SJK24" i="7" s="1"/>
  <c r="SJM24" i="7" s="1"/>
  <c r="SJO24" i="7" s="1"/>
  <c r="SJQ24" i="7" s="1"/>
  <c r="SJS24" i="7" s="1"/>
  <c r="SJU24" i="7" s="1"/>
  <c r="SJW24" i="7" s="1"/>
  <c r="SJY24" i="7" s="1"/>
  <c r="SKA24" i="7" s="1"/>
  <c r="SKC24" i="7" s="1"/>
  <c r="SKE24" i="7" s="1"/>
  <c r="SKG24" i="7" s="1"/>
  <c r="SKI24" i="7" s="1"/>
  <c r="SKK24" i="7" s="1"/>
  <c r="SKM24" i="7" s="1"/>
  <c r="SKO24" i="7" s="1"/>
  <c r="SKQ24" i="7" s="1"/>
  <c r="SKS24" i="7" s="1"/>
  <c r="SKU24" i="7" s="1"/>
  <c r="SKW24" i="7" s="1"/>
  <c r="SKY24" i="7" s="1"/>
  <c r="SLA24" i="7" s="1"/>
  <c r="SLC24" i="7" s="1"/>
  <c r="SLE24" i="7" s="1"/>
  <c r="SLG24" i="7" s="1"/>
  <c r="SLI24" i="7" s="1"/>
  <c r="SLK24" i="7" s="1"/>
  <c r="SLM24" i="7" s="1"/>
  <c r="SLO24" i="7" s="1"/>
  <c r="SLQ24" i="7" s="1"/>
  <c r="SLS24" i="7" s="1"/>
  <c r="SLU24" i="7" s="1"/>
  <c r="SLW24" i="7" s="1"/>
  <c r="SLY24" i="7" s="1"/>
  <c r="SMA24" i="7" s="1"/>
  <c r="SMC24" i="7" s="1"/>
  <c r="SME24" i="7" s="1"/>
  <c r="SMG24" i="7" s="1"/>
  <c r="SMI24" i="7" s="1"/>
  <c r="SMK24" i="7" s="1"/>
  <c r="SMM24" i="7" s="1"/>
  <c r="SMO24" i="7" s="1"/>
  <c r="SMQ24" i="7" s="1"/>
  <c r="SMS24" i="7" s="1"/>
  <c r="SMU24" i="7" s="1"/>
  <c r="SMW24" i="7" s="1"/>
  <c r="SMY24" i="7" s="1"/>
  <c r="SNA24" i="7" s="1"/>
  <c r="SNC24" i="7" s="1"/>
  <c r="SNE24" i="7" s="1"/>
  <c r="SNG24" i="7" s="1"/>
  <c r="SNI24" i="7" s="1"/>
  <c r="SNK24" i="7" s="1"/>
  <c r="SNM24" i="7" s="1"/>
  <c r="SNO24" i="7" s="1"/>
  <c r="SNQ24" i="7" s="1"/>
  <c r="SNS24" i="7" s="1"/>
  <c r="SNU24" i="7" s="1"/>
  <c r="SNW24" i="7" s="1"/>
  <c r="SNY24" i="7" s="1"/>
  <c r="SOA24" i="7" s="1"/>
  <c r="SOC24" i="7" s="1"/>
  <c r="SOE24" i="7" s="1"/>
  <c r="SOG24" i="7" s="1"/>
  <c r="SOI24" i="7" s="1"/>
  <c r="SOK24" i="7" s="1"/>
  <c r="SOM24" i="7" s="1"/>
  <c r="SOO24" i="7" s="1"/>
  <c r="SOQ24" i="7" s="1"/>
  <c r="SOS24" i="7" s="1"/>
  <c r="SOU24" i="7" s="1"/>
  <c r="SOW24" i="7" s="1"/>
  <c r="SOY24" i="7" s="1"/>
  <c r="SPA24" i="7" s="1"/>
  <c r="SPC24" i="7" s="1"/>
  <c r="SPE24" i="7" s="1"/>
  <c r="SPG24" i="7" s="1"/>
  <c r="SPI24" i="7" s="1"/>
  <c r="SPK24" i="7" s="1"/>
  <c r="SPM24" i="7" s="1"/>
  <c r="SPO24" i="7" s="1"/>
  <c r="SPQ24" i="7" s="1"/>
  <c r="SPS24" i="7" s="1"/>
  <c r="SPU24" i="7" s="1"/>
  <c r="SPW24" i="7" s="1"/>
  <c r="SPY24" i="7" s="1"/>
  <c r="SQA24" i="7" s="1"/>
  <c r="SQC24" i="7" s="1"/>
  <c r="SQE24" i="7" s="1"/>
  <c r="SQG24" i="7" s="1"/>
  <c r="SQI24" i="7" s="1"/>
  <c r="SQK24" i="7" s="1"/>
  <c r="SQM24" i="7" s="1"/>
  <c r="SQO24" i="7" s="1"/>
  <c r="SQQ24" i="7" s="1"/>
  <c r="SQS24" i="7" s="1"/>
  <c r="SQU24" i="7" s="1"/>
  <c r="SQW24" i="7" s="1"/>
  <c r="SQY24" i="7" s="1"/>
  <c r="SRA24" i="7" s="1"/>
  <c r="SRC24" i="7" s="1"/>
  <c r="SRE24" i="7" s="1"/>
  <c r="SRG24" i="7" s="1"/>
  <c r="SRI24" i="7" s="1"/>
  <c r="SRK24" i="7" s="1"/>
  <c r="SRM24" i="7" s="1"/>
  <c r="SRO24" i="7" s="1"/>
  <c r="SRQ24" i="7" s="1"/>
  <c r="SRS24" i="7" s="1"/>
  <c r="SRU24" i="7" s="1"/>
  <c r="SRW24" i="7" s="1"/>
  <c r="SRY24" i="7" s="1"/>
  <c r="SSA24" i="7" s="1"/>
  <c r="SSC24" i="7" s="1"/>
  <c r="SSE24" i="7" s="1"/>
  <c r="SSG24" i="7" s="1"/>
  <c r="SSI24" i="7" s="1"/>
  <c r="SSK24" i="7" s="1"/>
  <c r="SSM24" i="7" s="1"/>
  <c r="SSO24" i="7" s="1"/>
  <c r="SSQ24" i="7" s="1"/>
  <c r="SSS24" i="7" s="1"/>
  <c r="SSU24" i="7" s="1"/>
  <c r="SSW24" i="7" s="1"/>
  <c r="SSY24" i="7" s="1"/>
  <c r="STA24" i="7" s="1"/>
  <c r="STC24" i="7" s="1"/>
  <c r="STE24" i="7" s="1"/>
  <c r="STG24" i="7" s="1"/>
  <c r="STI24" i="7" s="1"/>
  <c r="STK24" i="7" s="1"/>
  <c r="STM24" i="7" s="1"/>
  <c r="STO24" i="7" s="1"/>
  <c r="STQ24" i="7" s="1"/>
  <c r="STS24" i="7" s="1"/>
  <c r="STU24" i="7" s="1"/>
  <c r="STW24" i="7" s="1"/>
  <c r="STY24" i="7" s="1"/>
  <c r="SUA24" i="7" s="1"/>
  <c r="SUC24" i="7" s="1"/>
  <c r="SUE24" i="7" s="1"/>
  <c r="SUG24" i="7" s="1"/>
  <c r="SUI24" i="7" s="1"/>
  <c r="SUK24" i="7" s="1"/>
  <c r="SUM24" i="7" s="1"/>
  <c r="SUO24" i="7" s="1"/>
  <c r="SUQ24" i="7" s="1"/>
  <c r="SUS24" i="7" s="1"/>
  <c r="SUU24" i="7" s="1"/>
  <c r="SUW24" i="7" s="1"/>
  <c r="SUY24" i="7" s="1"/>
  <c r="SVA24" i="7" s="1"/>
  <c r="SVC24" i="7" s="1"/>
  <c r="SVE24" i="7" s="1"/>
  <c r="SVG24" i="7" s="1"/>
  <c r="SVI24" i="7" s="1"/>
  <c r="SVK24" i="7" s="1"/>
  <c r="SVM24" i="7" s="1"/>
  <c r="SVO24" i="7" s="1"/>
  <c r="SVQ24" i="7" s="1"/>
  <c r="SVS24" i="7" s="1"/>
  <c r="SVU24" i="7" s="1"/>
  <c r="SVW24" i="7" s="1"/>
  <c r="SVY24" i="7" s="1"/>
  <c r="SWA24" i="7" s="1"/>
  <c r="SWC24" i="7" s="1"/>
  <c r="SWE24" i="7" s="1"/>
  <c r="SWG24" i="7" s="1"/>
  <c r="SWI24" i="7" s="1"/>
  <c r="SWK24" i="7" s="1"/>
  <c r="SWM24" i="7" s="1"/>
  <c r="SWO24" i="7" s="1"/>
  <c r="SWQ24" i="7" s="1"/>
  <c r="SWS24" i="7" s="1"/>
  <c r="SWU24" i="7" s="1"/>
  <c r="SWW24" i="7" s="1"/>
  <c r="SWY24" i="7" s="1"/>
  <c r="SXA24" i="7" s="1"/>
  <c r="SXC24" i="7" s="1"/>
  <c r="SXE24" i="7" s="1"/>
  <c r="SXG24" i="7" s="1"/>
  <c r="SXI24" i="7" s="1"/>
  <c r="SXK24" i="7" s="1"/>
  <c r="SXM24" i="7" s="1"/>
  <c r="SXO24" i="7" s="1"/>
  <c r="SXQ24" i="7" s="1"/>
  <c r="SXS24" i="7" s="1"/>
  <c r="SXU24" i="7" s="1"/>
  <c r="SXW24" i="7" s="1"/>
  <c r="SXY24" i="7" s="1"/>
  <c r="SYA24" i="7" s="1"/>
  <c r="SYC24" i="7" s="1"/>
  <c r="SYE24" i="7" s="1"/>
  <c r="SYG24" i="7" s="1"/>
  <c r="SYI24" i="7" s="1"/>
  <c r="SYK24" i="7" s="1"/>
  <c r="SYM24" i="7" s="1"/>
  <c r="SYO24" i="7" s="1"/>
  <c r="SYQ24" i="7" s="1"/>
  <c r="SYS24" i="7" s="1"/>
  <c r="SYU24" i="7" s="1"/>
  <c r="SYW24" i="7" s="1"/>
  <c r="SYY24" i="7" s="1"/>
  <c r="SZA24" i="7" s="1"/>
  <c r="SZC24" i="7" s="1"/>
  <c r="SZE24" i="7" s="1"/>
  <c r="SZG24" i="7" s="1"/>
  <c r="SZI24" i="7" s="1"/>
  <c r="SZK24" i="7" s="1"/>
  <c r="SZM24" i="7" s="1"/>
  <c r="SZO24" i="7" s="1"/>
  <c r="SZQ24" i="7" s="1"/>
  <c r="SZS24" i="7" s="1"/>
  <c r="SZU24" i="7" s="1"/>
  <c r="SZW24" i="7" s="1"/>
  <c r="SZY24" i="7" s="1"/>
  <c r="TAA24" i="7" s="1"/>
  <c r="TAC24" i="7" s="1"/>
  <c r="TAE24" i="7" s="1"/>
  <c r="TAG24" i="7" s="1"/>
  <c r="TAI24" i="7" s="1"/>
  <c r="TAK24" i="7" s="1"/>
  <c r="TAM24" i="7" s="1"/>
  <c r="TAO24" i="7" s="1"/>
  <c r="TAQ24" i="7" s="1"/>
  <c r="TAS24" i="7" s="1"/>
  <c r="TAU24" i="7" s="1"/>
  <c r="TAW24" i="7" s="1"/>
  <c r="TAY24" i="7" s="1"/>
  <c r="TBA24" i="7" s="1"/>
  <c r="TBC24" i="7" s="1"/>
  <c r="TBE24" i="7" s="1"/>
  <c r="TBG24" i="7" s="1"/>
  <c r="TBI24" i="7" s="1"/>
  <c r="TBK24" i="7" s="1"/>
  <c r="TBM24" i="7" s="1"/>
  <c r="TBO24" i="7" s="1"/>
  <c r="TBQ24" i="7" s="1"/>
  <c r="TBS24" i="7" s="1"/>
  <c r="TBU24" i="7" s="1"/>
  <c r="TBW24" i="7" s="1"/>
  <c r="TBY24" i="7" s="1"/>
  <c r="TCA24" i="7" s="1"/>
  <c r="TCC24" i="7" s="1"/>
  <c r="TCE24" i="7" s="1"/>
  <c r="TCG24" i="7" s="1"/>
  <c r="TCI24" i="7" s="1"/>
  <c r="TCK24" i="7" s="1"/>
  <c r="TCM24" i="7" s="1"/>
  <c r="TCO24" i="7" s="1"/>
  <c r="TCQ24" i="7" s="1"/>
  <c r="TCS24" i="7" s="1"/>
  <c r="TCU24" i="7" s="1"/>
  <c r="TCW24" i="7" s="1"/>
  <c r="TCY24" i="7" s="1"/>
  <c r="TDA24" i="7" s="1"/>
  <c r="TDC24" i="7" s="1"/>
  <c r="TDE24" i="7" s="1"/>
  <c r="TDG24" i="7" s="1"/>
  <c r="TDI24" i="7" s="1"/>
  <c r="TDK24" i="7" s="1"/>
  <c r="TDM24" i="7" s="1"/>
  <c r="TDO24" i="7" s="1"/>
  <c r="TDQ24" i="7" s="1"/>
  <c r="TDS24" i="7" s="1"/>
  <c r="TDU24" i="7" s="1"/>
  <c r="TDW24" i="7" s="1"/>
  <c r="TDY24" i="7" s="1"/>
  <c r="TEA24" i="7" s="1"/>
  <c r="TEC24" i="7" s="1"/>
  <c r="TEE24" i="7" s="1"/>
  <c r="TEG24" i="7" s="1"/>
  <c r="TEI24" i="7" s="1"/>
  <c r="TEK24" i="7" s="1"/>
  <c r="TEM24" i="7" s="1"/>
  <c r="TEO24" i="7" s="1"/>
  <c r="TEQ24" i="7" s="1"/>
  <c r="TES24" i="7" s="1"/>
  <c r="TEU24" i="7" s="1"/>
  <c r="TEW24" i="7" s="1"/>
  <c r="TEY24" i="7" s="1"/>
  <c r="TFA24" i="7" s="1"/>
  <c r="TFC24" i="7" s="1"/>
  <c r="TFE24" i="7" s="1"/>
  <c r="TFG24" i="7" s="1"/>
  <c r="TFI24" i="7" s="1"/>
  <c r="TFK24" i="7" s="1"/>
  <c r="TFM24" i="7" s="1"/>
  <c r="TFO24" i="7" s="1"/>
  <c r="TFQ24" i="7" s="1"/>
  <c r="TFS24" i="7" s="1"/>
  <c r="TFU24" i="7" s="1"/>
  <c r="TFW24" i="7" s="1"/>
  <c r="TFY24" i="7" s="1"/>
  <c r="TGA24" i="7" s="1"/>
  <c r="TGC24" i="7" s="1"/>
  <c r="TGE24" i="7" s="1"/>
  <c r="TGG24" i="7" s="1"/>
  <c r="TGI24" i="7" s="1"/>
  <c r="TGK24" i="7" s="1"/>
  <c r="TGM24" i="7" s="1"/>
  <c r="TGO24" i="7" s="1"/>
  <c r="TGQ24" i="7" s="1"/>
  <c r="TGS24" i="7" s="1"/>
  <c r="TGU24" i="7" s="1"/>
  <c r="TGW24" i="7" s="1"/>
  <c r="TGY24" i="7" s="1"/>
  <c r="THA24" i="7" s="1"/>
  <c r="THC24" i="7" s="1"/>
  <c r="THE24" i="7" s="1"/>
  <c r="THG24" i="7" s="1"/>
  <c r="THI24" i="7" s="1"/>
  <c r="THK24" i="7" s="1"/>
  <c r="THM24" i="7" s="1"/>
  <c r="THO24" i="7" s="1"/>
  <c r="THQ24" i="7" s="1"/>
  <c r="THS24" i="7" s="1"/>
  <c r="THU24" i="7" s="1"/>
  <c r="THW24" i="7" s="1"/>
  <c r="THY24" i="7" s="1"/>
  <c r="TIA24" i="7" s="1"/>
  <c r="TIC24" i="7" s="1"/>
  <c r="TIE24" i="7" s="1"/>
  <c r="TIG24" i="7" s="1"/>
  <c r="TII24" i="7" s="1"/>
  <c r="TIK24" i="7" s="1"/>
  <c r="TIM24" i="7" s="1"/>
  <c r="TIO24" i="7" s="1"/>
  <c r="TIQ24" i="7" s="1"/>
  <c r="TIS24" i="7" s="1"/>
  <c r="TIU24" i="7" s="1"/>
  <c r="TIW24" i="7" s="1"/>
  <c r="TIY24" i="7" s="1"/>
  <c r="TJA24" i="7" s="1"/>
  <c r="TJC24" i="7" s="1"/>
  <c r="TJE24" i="7" s="1"/>
  <c r="TJG24" i="7" s="1"/>
  <c r="TJI24" i="7" s="1"/>
  <c r="TJK24" i="7" s="1"/>
  <c r="TJM24" i="7" s="1"/>
  <c r="TJO24" i="7" s="1"/>
  <c r="TJQ24" i="7" s="1"/>
  <c r="TJS24" i="7" s="1"/>
  <c r="TJU24" i="7" s="1"/>
  <c r="TJW24" i="7" s="1"/>
  <c r="TJY24" i="7" s="1"/>
  <c r="TKA24" i="7" s="1"/>
  <c r="TKC24" i="7" s="1"/>
  <c r="TKE24" i="7" s="1"/>
  <c r="TKG24" i="7" s="1"/>
  <c r="TKI24" i="7" s="1"/>
  <c r="TKK24" i="7" s="1"/>
  <c r="TKM24" i="7" s="1"/>
  <c r="TKO24" i="7" s="1"/>
  <c r="TKQ24" i="7" s="1"/>
  <c r="TKS24" i="7" s="1"/>
  <c r="TKU24" i="7" s="1"/>
  <c r="TKW24" i="7" s="1"/>
  <c r="TKY24" i="7" s="1"/>
  <c r="TLA24" i="7" s="1"/>
  <c r="TLC24" i="7" s="1"/>
  <c r="TLE24" i="7" s="1"/>
  <c r="TLG24" i="7" s="1"/>
  <c r="TLI24" i="7" s="1"/>
  <c r="TLK24" i="7" s="1"/>
  <c r="TLM24" i="7" s="1"/>
  <c r="TLO24" i="7" s="1"/>
  <c r="TLQ24" i="7" s="1"/>
  <c r="TLS24" i="7" s="1"/>
  <c r="TLU24" i="7" s="1"/>
  <c r="TLW24" i="7" s="1"/>
  <c r="TLY24" i="7" s="1"/>
  <c r="TMA24" i="7" s="1"/>
  <c r="TMC24" i="7" s="1"/>
  <c r="TME24" i="7" s="1"/>
  <c r="TMG24" i="7" s="1"/>
  <c r="TMI24" i="7" s="1"/>
  <c r="TMK24" i="7" s="1"/>
  <c r="TMM24" i="7" s="1"/>
  <c r="TMO24" i="7" s="1"/>
  <c r="TMQ24" i="7" s="1"/>
  <c r="TMS24" i="7" s="1"/>
  <c r="TMU24" i="7" s="1"/>
  <c r="TMW24" i="7" s="1"/>
  <c r="TMY24" i="7" s="1"/>
  <c r="TNA24" i="7" s="1"/>
  <c r="TNC24" i="7" s="1"/>
  <c r="TNE24" i="7" s="1"/>
  <c r="TNG24" i="7" s="1"/>
  <c r="TNI24" i="7" s="1"/>
  <c r="TNK24" i="7" s="1"/>
  <c r="TNM24" i="7" s="1"/>
  <c r="TNO24" i="7" s="1"/>
  <c r="TNQ24" i="7" s="1"/>
  <c r="TNS24" i="7" s="1"/>
  <c r="TNU24" i="7" s="1"/>
  <c r="TNW24" i="7" s="1"/>
  <c r="TNY24" i="7" s="1"/>
  <c r="TOA24" i="7" s="1"/>
  <c r="TOC24" i="7" s="1"/>
  <c r="TOE24" i="7" s="1"/>
  <c r="TOG24" i="7" s="1"/>
  <c r="TOI24" i="7" s="1"/>
  <c r="TOK24" i="7" s="1"/>
  <c r="TOM24" i="7" s="1"/>
  <c r="TOO24" i="7" s="1"/>
  <c r="TOQ24" i="7" s="1"/>
  <c r="TOS24" i="7" s="1"/>
  <c r="TOU24" i="7" s="1"/>
  <c r="TOW24" i="7" s="1"/>
  <c r="TOY24" i="7" s="1"/>
  <c r="TPA24" i="7" s="1"/>
  <c r="TPC24" i="7" s="1"/>
  <c r="TPE24" i="7" s="1"/>
  <c r="TPG24" i="7" s="1"/>
  <c r="TPI24" i="7" s="1"/>
  <c r="TPK24" i="7" s="1"/>
  <c r="TPM24" i="7" s="1"/>
  <c r="TPO24" i="7" s="1"/>
  <c r="TPQ24" i="7" s="1"/>
  <c r="TPS24" i="7" s="1"/>
  <c r="TPU24" i="7" s="1"/>
  <c r="TPW24" i="7" s="1"/>
  <c r="TPY24" i="7" s="1"/>
  <c r="TQA24" i="7" s="1"/>
  <c r="TQC24" i="7" s="1"/>
  <c r="TQE24" i="7" s="1"/>
  <c r="TQG24" i="7" s="1"/>
  <c r="TQI24" i="7" s="1"/>
  <c r="TQK24" i="7" s="1"/>
  <c r="TQM24" i="7" s="1"/>
  <c r="TQO24" i="7" s="1"/>
  <c r="TQQ24" i="7" s="1"/>
  <c r="TQS24" i="7" s="1"/>
  <c r="TQU24" i="7" s="1"/>
  <c r="TQW24" i="7" s="1"/>
  <c r="TQY24" i="7" s="1"/>
  <c r="TRA24" i="7" s="1"/>
  <c r="TRC24" i="7" s="1"/>
  <c r="TRE24" i="7" s="1"/>
  <c r="TRG24" i="7" s="1"/>
  <c r="TRI24" i="7" s="1"/>
  <c r="TRK24" i="7" s="1"/>
  <c r="TRM24" i="7" s="1"/>
  <c r="TRO24" i="7" s="1"/>
  <c r="TRQ24" i="7" s="1"/>
  <c r="TRS24" i="7" s="1"/>
  <c r="TRU24" i="7" s="1"/>
  <c r="TRW24" i="7" s="1"/>
  <c r="TRY24" i="7" s="1"/>
  <c r="TSA24" i="7" s="1"/>
  <c r="TSC24" i="7" s="1"/>
  <c r="TSE24" i="7" s="1"/>
  <c r="TSG24" i="7" s="1"/>
  <c r="TSI24" i="7" s="1"/>
  <c r="TSK24" i="7" s="1"/>
  <c r="TSM24" i="7" s="1"/>
  <c r="TSO24" i="7" s="1"/>
  <c r="TSQ24" i="7" s="1"/>
  <c r="TSS24" i="7" s="1"/>
  <c r="TSU24" i="7" s="1"/>
  <c r="TSW24" i="7" s="1"/>
  <c r="TSY24" i="7" s="1"/>
  <c r="TTA24" i="7" s="1"/>
  <c r="TTC24" i="7" s="1"/>
  <c r="TTE24" i="7" s="1"/>
  <c r="TTG24" i="7" s="1"/>
  <c r="TTI24" i="7" s="1"/>
  <c r="TTK24" i="7" s="1"/>
  <c r="TTM24" i="7" s="1"/>
  <c r="TTO24" i="7" s="1"/>
  <c r="TTQ24" i="7" s="1"/>
  <c r="TTS24" i="7" s="1"/>
  <c r="TTU24" i="7" s="1"/>
  <c r="TTW24" i="7" s="1"/>
  <c r="TTY24" i="7" s="1"/>
  <c r="TUA24" i="7" s="1"/>
  <c r="TUC24" i="7" s="1"/>
  <c r="TUE24" i="7" s="1"/>
  <c r="TUG24" i="7" s="1"/>
  <c r="TUI24" i="7" s="1"/>
  <c r="TUK24" i="7" s="1"/>
  <c r="TUM24" i="7" s="1"/>
  <c r="TUO24" i="7" s="1"/>
  <c r="TUQ24" i="7" s="1"/>
  <c r="TUS24" i="7" s="1"/>
  <c r="TUU24" i="7" s="1"/>
  <c r="TUW24" i="7" s="1"/>
  <c r="TUY24" i="7" s="1"/>
  <c r="TVA24" i="7" s="1"/>
  <c r="TVC24" i="7" s="1"/>
  <c r="TVE24" i="7" s="1"/>
  <c r="TVG24" i="7" s="1"/>
  <c r="TVI24" i="7" s="1"/>
  <c r="TVK24" i="7" s="1"/>
  <c r="TVM24" i="7" s="1"/>
  <c r="TVO24" i="7" s="1"/>
  <c r="TVQ24" i="7" s="1"/>
  <c r="TVS24" i="7" s="1"/>
  <c r="TVU24" i="7" s="1"/>
  <c r="TVW24" i="7" s="1"/>
  <c r="TVY24" i="7" s="1"/>
  <c r="TWA24" i="7" s="1"/>
  <c r="TWC24" i="7" s="1"/>
  <c r="TWE24" i="7" s="1"/>
  <c r="TWG24" i="7" s="1"/>
  <c r="TWI24" i="7" s="1"/>
  <c r="TWK24" i="7" s="1"/>
  <c r="TWM24" i="7" s="1"/>
  <c r="TWO24" i="7" s="1"/>
  <c r="TWQ24" i="7" s="1"/>
  <c r="TWS24" i="7" s="1"/>
  <c r="TWU24" i="7" s="1"/>
  <c r="TWW24" i="7" s="1"/>
  <c r="TWY24" i="7" s="1"/>
  <c r="TXA24" i="7" s="1"/>
  <c r="TXC24" i="7" s="1"/>
  <c r="TXE24" i="7" s="1"/>
  <c r="TXG24" i="7" s="1"/>
  <c r="TXI24" i="7" s="1"/>
  <c r="TXK24" i="7" s="1"/>
  <c r="TXM24" i="7" s="1"/>
  <c r="TXO24" i="7" s="1"/>
  <c r="TXQ24" i="7" s="1"/>
  <c r="TXS24" i="7" s="1"/>
  <c r="TXU24" i="7" s="1"/>
  <c r="TXW24" i="7" s="1"/>
  <c r="TXY24" i="7" s="1"/>
  <c r="TYA24" i="7" s="1"/>
  <c r="TYC24" i="7" s="1"/>
  <c r="TYE24" i="7" s="1"/>
  <c r="TYG24" i="7" s="1"/>
  <c r="TYI24" i="7" s="1"/>
  <c r="TYK24" i="7" s="1"/>
  <c r="TYM24" i="7" s="1"/>
  <c r="TYO24" i="7" s="1"/>
  <c r="TYQ24" i="7" s="1"/>
  <c r="TYS24" i="7" s="1"/>
  <c r="TYU24" i="7" s="1"/>
  <c r="TYW24" i="7" s="1"/>
  <c r="TYY24" i="7" s="1"/>
  <c r="TZA24" i="7" s="1"/>
  <c r="TZC24" i="7" s="1"/>
  <c r="TZE24" i="7" s="1"/>
  <c r="TZG24" i="7" s="1"/>
  <c r="TZI24" i="7" s="1"/>
  <c r="TZK24" i="7" s="1"/>
  <c r="TZM24" i="7" s="1"/>
  <c r="TZO24" i="7" s="1"/>
  <c r="TZQ24" i="7" s="1"/>
  <c r="TZS24" i="7" s="1"/>
  <c r="TZU24" i="7" s="1"/>
  <c r="TZW24" i="7" s="1"/>
  <c r="TZY24" i="7" s="1"/>
  <c r="UAA24" i="7" s="1"/>
  <c r="UAC24" i="7" s="1"/>
  <c r="UAE24" i="7" s="1"/>
  <c r="UAG24" i="7" s="1"/>
  <c r="UAI24" i="7" s="1"/>
  <c r="UAK24" i="7" s="1"/>
  <c r="UAM24" i="7" s="1"/>
  <c r="UAO24" i="7" s="1"/>
  <c r="UAQ24" i="7" s="1"/>
  <c r="UAS24" i="7" s="1"/>
  <c r="UAU24" i="7" s="1"/>
  <c r="UAW24" i="7" s="1"/>
  <c r="UAY24" i="7" s="1"/>
  <c r="UBA24" i="7" s="1"/>
  <c r="UBC24" i="7" s="1"/>
  <c r="UBE24" i="7" s="1"/>
  <c r="UBG24" i="7" s="1"/>
  <c r="UBI24" i="7" s="1"/>
  <c r="UBK24" i="7" s="1"/>
  <c r="UBM24" i="7" s="1"/>
  <c r="UBO24" i="7" s="1"/>
  <c r="UBQ24" i="7" s="1"/>
  <c r="UBS24" i="7" s="1"/>
  <c r="UBU24" i="7" s="1"/>
  <c r="UBW24" i="7" s="1"/>
  <c r="UBY24" i="7" s="1"/>
  <c r="UCA24" i="7" s="1"/>
  <c r="UCC24" i="7" s="1"/>
  <c r="UCE24" i="7" s="1"/>
  <c r="UCG24" i="7" s="1"/>
  <c r="UCI24" i="7" s="1"/>
  <c r="UCK24" i="7" s="1"/>
  <c r="UCM24" i="7" s="1"/>
  <c r="UCO24" i="7" s="1"/>
  <c r="UCQ24" i="7" s="1"/>
  <c r="UCS24" i="7" s="1"/>
  <c r="UCU24" i="7" s="1"/>
  <c r="UCW24" i="7" s="1"/>
  <c r="UCY24" i="7" s="1"/>
  <c r="UDA24" i="7" s="1"/>
  <c r="UDC24" i="7" s="1"/>
  <c r="UDE24" i="7" s="1"/>
  <c r="UDG24" i="7" s="1"/>
  <c r="UDI24" i="7" s="1"/>
  <c r="UDK24" i="7" s="1"/>
  <c r="UDM24" i="7" s="1"/>
  <c r="UDO24" i="7" s="1"/>
  <c r="UDQ24" i="7" s="1"/>
  <c r="UDS24" i="7" s="1"/>
  <c r="UDU24" i="7" s="1"/>
  <c r="UDW24" i="7" s="1"/>
  <c r="UDY24" i="7" s="1"/>
  <c r="UEA24" i="7" s="1"/>
  <c r="UEC24" i="7" s="1"/>
  <c r="UEE24" i="7" s="1"/>
  <c r="UEG24" i="7" s="1"/>
  <c r="UEI24" i="7" s="1"/>
  <c r="UEK24" i="7" s="1"/>
  <c r="UEM24" i="7" s="1"/>
  <c r="UEO24" i="7" s="1"/>
  <c r="UEQ24" i="7" s="1"/>
  <c r="UES24" i="7" s="1"/>
  <c r="UEU24" i="7" s="1"/>
  <c r="UEW24" i="7" s="1"/>
  <c r="UEY24" i="7" s="1"/>
  <c r="UFA24" i="7" s="1"/>
  <c r="UFC24" i="7" s="1"/>
  <c r="UFE24" i="7" s="1"/>
  <c r="UFG24" i="7" s="1"/>
  <c r="UFI24" i="7" s="1"/>
  <c r="UFK24" i="7" s="1"/>
  <c r="UFM24" i="7" s="1"/>
  <c r="UFO24" i="7" s="1"/>
  <c r="UFQ24" i="7" s="1"/>
  <c r="UFS24" i="7" s="1"/>
  <c r="UFU24" i="7" s="1"/>
  <c r="UFW24" i="7" s="1"/>
  <c r="UFY24" i="7" s="1"/>
  <c r="UGA24" i="7" s="1"/>
  <c r="UGC24" i="7" s="1"/>
  <c r="UGE24" i="7" s="1"/>
  <c r="UGG24" i="7" s="1"/>
  <c r="UGI24" i="7" s="1"/>
  <c r="UGK24" i="7" s="1"/>
  <c r="UGM24" i="7" s="1"/>
  <c r="UGO24" i="7" s="1"/>
  <c r="UGQ24" i="7" s="1"/>
  <c r="UGS24" i="7" s="1"/>
  <c r="UGU24" i="7" s="1"/>
  <c r="UGW24" i="7" s="1"/>
  <c r="UGY24" i="7" s="1"/>
  <c r="UHA24" i="7" s="1"/>
  <c r="UHC24" i="7" s="1"/>
  <c r="UHE24" i="7" s="1"/>
  <c r="UHG24" i="7" s="1"/>
  <c r="UHI24" i="7" s="1"/>
  <c r="UHK24" i="7" s="1"/>
  <c r="UHM24" i="7" s="1"/>
  <c r="UHO24" i="7" s="1"/>
  <c r="UHQ24" i="7" s="1"/>
  <c r="UHS24" i="7" s="1"/>
  <c r="UHU24" i="7" s="1"/>
  <c r="UHW24" i="7" s="1"/>
  <c r="UHY24" i="7" s="1"/>
  <c r="UIA24" i="7" s="1"/>
  <c r="UIC24" i="7" s="1"/>
  <c r="UIE24" i="7" s="1"/>
  <c r="UIG24" i="7" s="1"/>
  <c r="UII24" i="7" s="1"/>
  <c r="UIK24" i="7" s="1"/>
  <c r="UIM24" i="7" s="1"/>
  <c r="UIO24" i="7" s="1"/>
  <c r="UIQ24" i="7" s="1"/>
  <c r="UIS24" i="7" s="1"/>
  <c r="UIU24" i="7" s="1"/>
  <c r="UIW24" i="7" s="1"/>
  <c r="UIY24" i="7" s="1"/>
  <c r="UJA24" i="7" s="1"/>
  <c r="UJC24" i="7" s="1"/>
  <c r="UJE24" i="7" s="1"/>
  <c r="UJG24" i="7" s="1"/>
  <c r="UJI24" i="7" s="1"/>
  <c r="UJK24" i="7" s="1"/>
  <c r="UJM24" i="7" s="1"/>
  <c r="UJO24" i="7" s="1"/>
  <c r="UJQ24" i="7" s="1"/>
  <c r="UJS24" i="7" s="1"/>
  <c r="UJU24" i="7" s="1"/>
  <c r="UJW24" i="7" s="1"/>
  <c r="UJY24" i="7" s="1"/>
  <c r="UKA24" i="7" s="1"/>
  <c r="UKC24" i="7" s="1"/>
  <c r="UKE24" i="7" s="1"/>
  <c r="UKG24" i="7" s="1"/>
  <c r="UKI24" i="7" s="1"/>
  <c r="UKK24" i="7" s="1"/>
  <c r="UKM24" i="7" s="1"/>
  <c r="UKO24" i="7" s="1"/>
  <c r="UKQ24" i="7" s="1"/>
  <c r="UKS24" i="7" s="1"/>
  <c r="UKU24" i="7" s="1"/>
  <c r="UKW24" i="7" s="1"/>
  <c r="UKY24" i="7" s="1"/>
  <c r="ULA24" i="7" s="1"/>
  <c r="ULC24" i="7" s="1"/>
  <c r="ULE24" i="7" s="1"/>
  <c r="ULG24" i="7" s="1"/>
  <c r="ULI24" i="7" s="1"/>
  <c r="ULK24" i="7" s="1"/>
  <c r="ULM24" i="7" s="1"/>
  <c r="ULO24" i="7" s="1"/>
  <c r="ULQ24" i="7" s="1"/>
  <c r="ULS24" i="7" s="1"/>
  <c r="ULU24" i="7" s="1"/>
  <c r="ULW24" i="7" s="1"/>
  <c r="ULY24" i="7" s="1"/>
  <c r="UMA24" i="7" s="1"/>
  <c r="UMC24" i="7" s="1"/>
  <c r="UME24" i="7" s="1"/>
  <c r="UMG24" i="7" s="1"/>
  <c r="UMI24" i="7" s="1"/>
  <c r="UMK24" i="7" s="1"/>
  <c r="UMM24" i="7" s="1"/>
  <c r="UMO24" i="7" s="1"/>
  <c r="UMQ24" i="7" s="1"/>
  <c r="UMS24" i="7" s="1"/>
  <c r="UMU24" i="7" s="1"/>
  <c r="UMW24" i="7" s="1"/>
  <c r="UMY24" i="7" s="1"/>
  <c r="UNA24" i="7" s="1"/>
  <c r="UNC24" i="7" s="1"/>
  <c r="UNE24" i="7" s="1"/>
  <c r="UNG24" i="7" s="1"/>
  <c r="UNI24" i="7" s="1"/>
  <c r="UNK24" i="7" s="1"/>
  <c r="UNM24" i="7" s="1"/>
  <c r="UNO24" i="7" s="1"/>
  <c r="UNQ24" i="7" s="1"/>
  <c r="UNS24" i="7" s="1"/>
  <c r="UNU24" i="7" s="1"/>
  <c r="UNW24" i="7" s="1"/>
  <c r="UNY24" i="7" s="1"/>
  <c r="UOA24" i="7" s="1"/>
  <c r="UOC24" i="7" s="1"/>
  <c r="UOE24" i="7" s="1"/>
  <c r="UOG24" i="7" s="1"/>
  <c r="UOI24" i="7" s="1"/>
  <c r="UOK24" i="7" s="1"/>
  <c r="UOM24" i="7" s="1"/>
  <c r="UOO24" i="7" s="1"/>
  <c r="UOQ24" i="7" s="1"/>
  <c r="UOS24" i="7" s="1"/>
  <c r="UOU24" i="7" s="1"/>
  <c r="UOW24" i="7" s="1"/>
  <c r="UOY24" i="7" s="1"/>
  <c r="UPA24" i="7" s="1"/>
  <c r="UPC24" i="7" s="1"/>
  <c r="UPE24" i="7" s="1"/>
  <c r="UPG24" i="7" s="1"/>
  <c r="UPI24" i="7" s="1"/>
  <c r="UPK24" i="7" s="1"/>
  <c r="UPM24" i="7" s="1"/>
  <c r="UPO24" i="7" s="1"/>
  <c r="UPQ24" i="7" s="1"/>
  <c r="UPS24" i="7" s="1"/>
  <c r="UPU24" i="7" s="1"/>
  <c r="UPW24" i="7" s="1"/>
  <c r="UPY24" i="7" s="1"/>
  <c r="UQA24" i="7" s="1"/>
  <c r="UQC24" i="7" s="1"/>
  <c r="UQE24" i="7" s="1"/>
  <c r="UQG24" i="7" s="1"/>
  <c r="UQI24" i="7" s="1"/>
  <c r="UQK24" i="7" s="1"/>
  <c r="UQM24" i="7" s="1"/>
  <c r="UQO24" i="7" s="1"/>
  <c r="UQQ24" i="7" s="1"/>
  <c r="UQS24" i="7" s="1"/>
  <c r="UQU24" i="7" s="1"/>
  <c r="UQW24" i="7" s="1"/>
  <c r="UQY24" i="7" s="1"/>
  <c r="URA24" i="7" s="1"/>
  <c r="URC24" i="7" s="1"/>
  <c r="URE24" i="7" s="1"/>
  <c r="URG24" i="7" s="1"/>
  <c r="URI24" i="7" s="1"/>
  <c r="URK24" i="7" s="1"/>
  <c r="URM24" i="7" s="1"/>
  <c r="URO24" i="7" s="1"/>
  <c r="URQ24" i="7" s="1"/>
  <c r="URS24" i="7" s="1"/>
  <c r="URU24" i="7" s="1"/>
  <c r="URW24" i="7" s="1"/>
  <c r="URY24" i="7" s="1"/>
  <c r="USA24" i="7" s="1"/>
  <c r="USC24" i="7" s="1"/>
  <c r="USE24" i="7" s="1"/>
  <c r="USG24" i="7" s="1"/>
  <c r="USI24" i="7" s="1"/>
  <c r="USK24" i="7" s="1"/>
  <c r="USM24" i="7" s="1"/>
  <c r="USO24" i="7" s="1"/>
  <c r="USQ24" i="7" s="1"/>
  <c r="USS24" i="7" s="1"/>
  <c r="USU24" i="7" s="1"/>
  <c r="USW24" i="7" s="1"/>
  <c r="USY24" i="7" s="1"/>
  <c r="UTA24" i="7" s="1"/>
  <c r="UTC24" i="7" s="1"/>
  <c r="UTE24" i="7" s="1"/>
  <c r="UTG24" i="7" s="1"/>
  <c r="UTI24" i="7" s="1"/>
  <c r="UTK24" i="7" s="1"/>
  <c r="UTM24" i="7" s="1"/>
  <c r="UTO24" i="7" s="1"/>
  <c r="UTQ24" i="7" s="1"/>
  <c r="UTS24" i="7" s="1"/>
  <c r="UTU24" i="7" s="1"/>
  <c r="UTW24" i="7" s="1"/>
  <c r="UTY24" i="7" s="1"/>
  <c r="UUA24" i="7" s="1"/>
  <c r="UUC24" i="7" s="1"/>
  <c r="UUE24" i="7" s="1"/>
  <c r="UUG24" i="7" s="1"/>
  <c r="UUI24" i="7" s="1"/>
  <c r="UUK24" i="7" s="1"/>
  <c r="UUM24" i="7" s="1"/>
  <c r="UUO24" i="7" s="1"/>
  <c r="UUQ24" i="7" s="1"/>
  <c r="UUS24" i="7" s="1"/>
  <c r="UUU24" i="7" s="1"/>
  <c r="UUW24" i="7" s="1"/>
  <c r="UUY24" i="7" s="1"/>
  <c r="UVA24" i="7" s="1"/>
  <c r="UVC24" i="7" s="1"/>
  <c r="UVE24" i="7" s="1"/>
  <c r="UVG24" i="7" s="1"/>
  <c r="UVI24" i="7" s="1"/>
  <c r="UVK24" i="7" s="1"/>
  <c r="UVM24" i="7" s="1"/>
  <c r="UVO24" i="7" s="1"/>
  <c r="UVQ24" i="7" s="1"/>
  <c r="UVS24" i="7" s="1"/>
  <c r="UVU24" i="7" s="1"/>
  <c r="UVW24" i="7" s="1"/>
  <c r="UVY24" i="7" s="1"/>
  <c r="UWA24" i="7" s="1"/>
  <c r="UWC24" i="7" s="1"/>
  <c r="UWE24" i="7" s="1"/>
  <c r="UWG24" i="7" s="1"/>
  <c r="UWI24" i="7" s="1"/>
  <c r="UWK24" i="7" s="1"/>
  <c r="UWM24" i="7" s="1"/>
  <c r="UWO24" i="7" s="1"/>
  <c r="UWQ24" i="7" s="1"/>
  <c r="UWS24" i="7" s="1"/>
  <c r="UWU24" i="7" s="1"/>
  <c r="UWW24" i="7" s="1"/>
  <c r="UWY24" i="7" s="1"/>
  <c r="UXA24" i="7" s="1"/>
  <c r="UXC24" i="7" s="1"/>
  <c r="UXE24" i="7" s="1"/>
  <c r="UXG24" i="7" s="1"/>
  <c r="UXI24" i="7" s="1"/>
  <c r="UXK24" i="7" s="1"/>
  <c r="UXM24" i="7" s="1"/>
  <c r="UXO24" i="7" s="1"/>
  <c r="UXQ24" i="7" s="1"/>
  <c r="UXS24" i="7" s="1"/>
  <c r="UXU24" i="7" s="1"/>
  <c r="UXW24" i="7" s="1"/>
  <c r="UXY24" i="7" s="1"/>
  <c r="UYA24" i="7" s="1"/>
  <c r="UYC24" i="7" s="1"/>
  <c r="UYE24" i="7" s="1"/>
  <c r="UYG24" i="7" s="1"/>
  <c r="UYI24" i="7" s="1"/>
  <c r="UYK24" i="7" s="1"/>
  <c r="UYM24" i="7" s="1"/>
  <c r="UYO24" i="7" s="1"/>
  <c r="UYQ24" i="7" s="1"/>
  <c r="UYS24" i="7" s="1"/>
  <c r="UYU24" i="7" s="1"/>
  <c r="UYW24" i="7" s="1"/>
  <c r="UYY24" i="7" s="1"/>
  <c r="UZA24" i="7" s="1"/>
  <c r="UZC24" i="7" s="1"/>
  <c r="UZE24" i="7" s="1"/>
  <c r="UZG24" i="7" s="1"/>
  <c r="UZI24" i="7" s="1"/>
  <c r="UZK24" i="7" s="1"/>
  <c r="UZM24" i="7" s="1"/>
  <c r="UZO24" i="7" s="1"/>
  <c r="UZQ24" i="7" s="1"/>
  <c r="UZS24" i="7" s="1"/>
  <c r="UZU24" i="7" s="1"/>
  <c r="UZW24" i="7" s="1"/>
  <c r="UZY24" i="7" s="1"/>
  <c r="VAA24" i="7" s="1"/>
  <c r="VAC24" i="7" s="1"/>
  <c r="VAE24" i="7" s="1"/>
  <c r="VAG24" i="7" s="1"/>
  <c r="VAI24" i="7" s="1"/>
  <c r="VAK24" i="7" s="1"/>
  <c r="VAM24" i="7" s="1"/>
  <c r="VAO24" i="7" s="1"/>
  <c r="VAQ24" i="7" s="1"/>
  <c r="VAS24" i="7" s="1"/>
  <c r="VAU24" i="7" s="1"/>
  <c r="VAW24" i="7" s="1"/>
  <c r="VAY24" i="7" s="1"/>
  <c r="VBA24" i="7" s="1"/>
  <c r="VBC24" i="7" s="1"/>
  <c r="VBE24" i="7" s="1"/>
  <c r="VBG24" i="7" s="1"/>
  <c r="VBI24" i="7" s="1"/>
  <c r="VBK24" i="7" s="1"/>
  <c r="VBM24" i="7" s="1"/>
  <c r="VBO24" i="7" s="1"/>
  <c r="VBQ24" i="7" s="1"/>
  <c r="VBS24" i="7" s="1"/>
  <c r="VBU24" i="7" s="1"/>
  <c r="VBW24" i="7" s="1"/>
  <c r="VBY24" i="7" s="1"/>
  <c r="VCA24" i="7" s="1"/>
  <c r="VCC24" i="7" s="1"/>
  <c r="VCE24" i="7" s="1"/>
  <c r="VCG24" i="7" s="1"/>
  <c r="VCI24" i="7" s="1"/>
  <c r="VCK24" i="7" s="1"/>
  <c r="VCM24" i="7" s="1"/>
  <c r="VCO24" i="7" s="1"/>
  <c r="VCQ24" i="7" s="1"/>
  <c r="VCS24" i="7" s="1"/>
  <c r="VCU24" i="7" s="1"/>
  <c r="VCW24" i="7" s="1"/>
  <c r="VCY24" i="7" s="1"/>
  <c r="VDA24" i="7" s="1"/>
  <c r="VDC24" i="7" s="1"/>
  <c r="VDE24" i="7" s="1"/>
  <c r="VDG24" i="7" s="1"/>
  <c r="VDI24" i="7" s="1"/>
  <c r="VDK24" i="7" s="1"/>
  <c r="VDM24" i="7" s="1"/>
  <c r="VDO24" i="7" s="1"/>
  <c r="VDQ24" i="7" s="1"/>
  <c r="VDS24" i="7" s="1"/>
  <c r="VDU24" i="7" s="1"/>
  <c r="VDW24" i="7" s="1"/>
  <c r="VDY24" i="7" s="1"/>
  <c r="VEA24" i="7" s="1"/>
  <c r="VEC24" i="7" s="1"/>
  <c r="VEE24" i="7" s="1"/>
  <c r="VEG24" i="7" s="1"/>
  <c r="VEI24" i="7" s="1"/>
  <c r="VEK24" i="7" s="1"/>
  <c r="VEM24" i="7" s="1"/>
  <c r="VEO24" i="7" s="1"/>
  <c r="VEQ24" i="7" s="1"/>
  <c r="VES24" i="7" s="1"/>
  <c r="VEU24" i="7" s="1"/>
  <c r="VEW24" i="7" s="1"/>
  <c r="VEY24" i="7" s="1"/>
  <c r="VFA24" i="7" s="1"/>
  <c r="VFC24" i="7" s="1"/>
  <c r="VFE24" i="7" s="1"/>
  <c r="VFG24" i="7" s="1"/>
  <c r="VFI24" i="7" s="1"/>
  <c r="VFK24" i="7" s="1"/>
  <c r="VFM24" i="7" s="1"/>
  <c r="VFO24" i="7" s="1"/>
  <c r="VFQ24" i="7" s="1"/>
  <c r="VFS24" i="7" s="1"/>
  <c r="VFU24" i="7" s="1"/>
  <c r="VFW24" i="7" s="1"/>
  <c r="VFY24" i="7" s="1"/>
  <c r="VGA24" i="7" s="1"/>
  <c r="VGC24" i="7" s="1"/>
  <c r="VGE24" i="7" s="1"/>
  <c r="VGG24" i="7" s="1"/>
  <c r="VGI24" i="7" s="1"/>
  <c r="VGK24" i="7" s="1"/>
  <c r="VGM24" i="7" s="1"/>
  <c r="VGO24" i="7" s="1"/>
  <c r="VGQ24" i="7" s="1"/>
  <c r="VGS24" i="7" s="1"/>
  <c r="VGU24" i="7" s="1"/>
  <c r="VGW24" i="7" s="1"/>
  <c r="VGY24" i="7" s="1"/>
  <c r="VHA24" i="7" s="1"/>
  <c r="VHC24" i="7" s="1"/>
  <c r="VHE24" i="7" s="1"/>
  <c r="VHG24" i="7" s="1"/>
  <c r="VHI24" i="7" s="1"/>
  <c r="VHK24" i="7" s="1"/>
  <c r="VHM24" i="7" s="1"/>
  <c r="VHO24" i="7" s="1"/>
  <c r="VHQ24" i="7" s="1"/>
  <c r="VHS24" i="7" s="1"/>
  <c r="VHU24" i="7" s="1"/>
  <c r="VHW24" i="7" s="1"/>
  <c r="VHY24" i="7" s="1"/>
  <c r="VIA24" i="7" s="1"/>
  <c r="VIC24" i="7" s="1"/>
  <c r="VIE24" i="7" s="1"/>
  <c r="VIG24" i="7" s="1"/>
  <c r="VII24" i="7" s="1"/>
  <c r="VIK24" i="7" s="1"/>
  <c r="VIM24" i="7" s="1"/>
  <c r="VIO24" i="7" s="1"/>
  <c r="VIQ24" i="7" s="1"/>
  <c r="VIS24" i="7" s="1"/>
  <c r="VIU24" i="7" s="1"/>
  <c r="VIW24" i="7" s="1"/>
  <c r="VIY24" i="7" s="1"/>
  <c r="VJA24" i="7" s="1"/>
  <c r="VJC24" i="7" s="1"/>
  <c r="VJE24" i="7" s="1"/>
  <c r="VJG24" i="7" s="1"/>
  <c r="VJI24" i="7" s="1"/>
  <c r="VJK24" i="7" s="1"/>
  <c r="VJM24" i="7" s="1"/>
  <c r="VJO24" i="7" s="1"/>
  <c r="VJQ24" i="7" s="1"/>
  <c r="VJS24" i="7" s="1"/>
  <c r="VJU24" i="7" s="1"/>
  <c r="VJW24" i="7" s="1"/>
  <c r="VJY24" i="7" s="1"/>
  <c r="VKA24" i="7" s="1"/>
  <c r="VKC24" i="7" s="1"/>
  <c r="VKE24" i="7" s="1"/>
  <c r="VKG24" i="7" s="1"/>
  <c r="VKI24" i="7" s="1"/>
  <c r="VKK24" i="7" s="1"/>
  <c r="VKM24" i="7" s="1"/>
  <c r="VKO24" i="7" s="1"/>
  <c r="VKQ24" i="7" s="1"/>
  <c r="VKS24" i="7" s="1"/>
  <c r="VKU24" i="7" s="1"/>
  <c r="VKW24" i="7" s="1"/>
  <c r="VKY24" i="7" s="1"/>
  <c r="VLA24" i="7" s="1"/>
  <c r="VLC24" i="7" s="1"/>
  <c r="VLE24" i="7" s="1"/>
  <c r="VLG24" i="7" s="1"/>
  <c r="VLI24" i="7" s="1"/>
  <c r="VLK24" i="7" s="1"/>
  <c r="VLM24" i="7" s="1"/>
  <c r="VLO24" i="7" s="1"/>
  <c r="VLQ24" i="7" s="1"/>
  <c r="VLS24" i="7" s="1"/>
  <c r="VLU24" i="7" s="1"/>
  <c r="VLW24" i="7" s="1"/>
  <c r="VLY24" i="7" s="1"/>
  <c r="VMA24" i="7" s="1"/>
  <c r="VMC24" i="7" s="1"/>
  <c r="VME24" i="7" s="1"/>
  <c r="VMG24" i="7" s="1"/>
  <c r="VMI24" i="7" s="1"/>
  <c r="VMK24" i="7" s="1"/>
  <c r="VMM24" i="7" s="1"/>
  <c r="VMO24" i="7" s="1"/>
  <c r="VMQ24" i="7" s="1"/>
  <c r="VMS24" i="7" s="1"/>
  <c r="VMU24" i="7" s="1"/>
  <c r="VMW24" i="7" s="1"/>
  <c r="VMY24" i="7" s="1"/>
  <c r="VNA24" i="7" s="1"/>
  <c r="VNC24" i="7" s="1"/>
  <c r="VNE24" i="7" s="1"/>
  <c r="VNG24" i="7" s="1"/>
  <c r="VNI24" i="7" s="1"/>
  <c r="VNK24" i="7" s="1"/>
  <c r="VNM24" i="7" s="1"/>
  <c r="VNO24" i="7" s="1"/>
  <c r="VNQ24" i="7" s="1"/>
  <c r="VNS24" i="7" s="1"/>
  <c r="VNU24" i="7" s="1"/>
  <c r="VNW24" i="7" s="1"/>
  <c r="VNY24" i="7" s="1"/>
  <c r="VOA24" i="7" s="1"/>
  <c r="VOC24" i="7" s="1"/>
  <c r="VOE24" i="7" s="1"/>
  <c r="VOG24" i="7" s="1"/>
  <c r="VOI24" i="7" s="1"/>
  <c r="VOK24" i="7" s="1"/>
  <c r="VOM24" i="7" s="1"/>
  <c r="VOO24" i="7" s="1"/>
  <c r="VOQ24" i="7" s="1"/>
  <c r="VOS24" i="7" s="1"/>
  <c r="VOU24" i="7" s="1"/>
  <c r="VOW24" i="7" s="1"/>
  <c r="VOY24" i="7" s="1"/>
  <c r="VPA24" i="7" s="1"/>
  <c r="VPC24" i="7" s="1"/>
  <c r="VPE24" i="7" s="1"/>
  <c r="VPG24" i="7" s="1"/>
  <c r="VPI24" i="7" s="1"/>
  <c r="VPK24" i="7" s="1"/>
  <c r="VPM24" i="7" s="1"/>
  <c r="VPO24" i="7" s="1"/>
  <c r="VPQ24" i="7" s="1"/>
  <c r="VPS24" i="7" s="1"/>
  <c r="VPU24" i="7" s="1"/>
  <c r="VPW24" i="7" s="1"/>
  <c r="VPY24" i="7" s="1"/>
  <c r="VQA24" i="7" s="1"/>
  <c r="VQC24" i="7" s="1"/>
  <c r="VQE24" i="7" s="1"/>
  <c r="VQG24" i="7" s="1"/>
  <c r="VQI24" i="7" s="1"/>
  <c r="VQK24" i="7" s="1"/>
  <c r="VQM24" i="7" s="1"/>
  <c r="VQO24" i="7" s="1"/>
  <c r="VQQ24" i="7" s="1"/>
  <c r="VQS24" i="7" s="1"/>
  <c r="VQU24" i="7" s="1"/>
  <c r="VQW24" i="7" s="1"/>
  <c r="VQY24" i="7" s="1"/>
  <c r="VRA24" i="7" s="1"/>
  <c r="VRC24" i="7" s="1"/>
  <c r="VRE24" i="7" s="1"/>
  <c r="VRG24" i="7" s="1"/>
  <c r="VRI24" i="7" s="1"/>
  <c r="VRK24" i="7" s="1"/>
  <c r="VRM24" i="7" s="1"/>
  <c r="VRO24" i="7" s="1"/>
  <c r="VRQ24" i="7" s="1"/>
  <c r="VRS24" i="7" s="1"/>
  <c r="VRU24" i="7" s="1"/>
  <c r="VRW24" i="7" s="1"/>
  <c r="VRY24" i="7" s="1"/>
  <c r="VSA24" i="7" s="1"/>
  <c r="VSC24" i="7" s="1"/>
  <c r="VSE24" i="7" s="1"/>
  <c r="VSG24" i="7" s="1"/>
  <c r="VSI24" i="7" s="1"/>
  <c r="VSK24" i="7" s="1"/>
  <c r="VSM24" i="7" s="1"/>
  <c r="VSO24" i="7" s="1"/>
  <c r="VSQ24" i="7" s="1"/>
  <c r="VSS24" i="7" s="1"/>
  <c r="VSU24" i="7" s="1"/>
  <c r="VSW24" i="7" s="1"/>
  <c r="VSY24" i="7" s="1"/>
  <c r="VTA24" i="7" s="1"/>
  <c r="VTC24" i="7" s="1"/>
  <c r="VTE24" i="7" s="1"/>
  <c r="VTG24" i="7" s="1"/>
  <c r="VTI24" i="7" s="1"/>
  <c r="VTK24" i="7" s="1"/>
  <c r="VTM24" i="7" s="1"/>
  <c r="VTO24" i="7" s="1"/>
  <c r="VTQ24" i="7" s="1"/>
  <c r="VTS24" i="7" s="1"/>
  <c r="VTU24" i="7" s="1"/>
  <c r="VTW24" i="7" s="1"/>
  <c r="VTY24" i="7" s="1"/>
  <c r="VUA24" i="7" s="1"/>
  <c r="VUC24" i="7" s="1"/>
  <c r="VUE24" i="7" s="1"/>
  <c r="VUG24" i="7" s="1"/>
  <c r="VUI24" i="7" s="1"/>
  <c r="VUK24" i="7" s="1"/>
  <c r="VUM24" i="7" s="1"/>
  <c r="VUO24" i="7" s="1"/>
  <c r="VUQ24" i="7" s="1"/>
  <c r="VUS24" i="7" s="1"/>
  <c r="VUU24" i="7" s="1"/>
  <c r="VUW24" i="7" s="1"/>
  <c r="VUY24" i="7" s="1"/>
  <c r="VVA24" i="7" s="1"/>
  <c r="VVC24" i="7" s="1"/>
  <c r="VVE24" i="7" s="1"/>
  <c r="VVG24" i="7" s="1"/>
  <c r="VVI24" i="7" s="1"/>
  <c r="VVK24" i="7" s="1"/>
  <c r="VVM24" i="7" s="1"/>
  <c r="VVO24" i="7" s="1"/>
  <c r="VVQ24" i="7" s="1"/>
  <c r="VVS24" i="7" s="1"/>
  <c r="VVU24" i="7" s="1"/>
  <c r="VVW24" i="7" s="1"/>
  <c r="VVY24" i="7" s="1"/>
  <c r="VWA24" i="7" s="1"/>
  <c r="VWC24" i="7" s="1"/>
  <c r="VWE24" i="7" s="1"/>
  <c r="VWG24" i="7" s="1"/>
  <c r="VWI24" i="7" s="1"/>
  <c r="VWK24" i="7" s="1"/>
  <c r="VWM24" i="7" s="1"/>
  <c r="VWO24" i="7" s="1"/>
  <c r="VWQ24" i="7" s="1"/>
  <c r="VWS24" i="7" s="1"/>
  <c r="VWU24" i="7" s="1"/>
  <c r="VWW24" i="7" s="1"/>
  <c r="VWY24" i="7" s="1"/>
  <c r="VXA24" i="7" s="1"/>
  <c r="VXC24" i="7" s="1"/>
  <c r="VXE24" i="7" s="1"/>
  <c r="VXG24" i="7" s="1"/>
  <c r="VXI24" i="7" s="1"/>
  <c r="VXK24" i="7" s="1"/>
  <c r="VXM24" i="7" s="1"/>
  <c r="VXO24" i="7" s="1"/>
  <c r="VXQ24" i="7" s="1"/>
  <c r="VXS24" i="7" s="1"/>
  <c r="VXU24" i="7" s="1"/>
  <c r="VXW24" i="7" s="1"/>
  <c r="VXY24" i="7" s="1"/>
  <c r="VYA24" i="7" s="1"/>
  <c r="VYC24" i="7" s="1"/>
  <c r="VYE24" i="7" s="1"/>
  <c r="VYG24" i="7" s="1"/>
  <c r="VYI24" i="7" s="1"/>
  <c r="VYK24" i="7" s="1"/>
  <c r="VYM24" i="7" s="1"/>
  <c r="VYO24" i="7" s="1"/>
  <c r="VYQ24" i="7" s="1"/>
  <c r="VYS24" i="7" s="1"/>
  <c r="VYU24" i="7" s="1"/>
  <c r="VYW24" i="7" s="1"/>
  <c r="VYY24" i="7" s="1"/>
  <c r="VZA24" i="7" s="1"/>
  <c r="VZC24" i="7" s="1"/>
  <c r="VZE24" i="7" s="1"/>
  <c r="VZG24" i="7" s="1"/>
  <c r="VZI24" i="7" s="1"/>
  <c r="VZK24" i="7" s="1"/>
  <c r="VZM24" i="7" s="1"/>
  <c r="VZO24" i="7" s="1"/>
  <c r="VZQ24" i="7" s="1"/>
  <c r="VZS24" i="7" s="1"/>
  <c r="VZU24" i="7" s="1"/>
  <c r="VZW24" i="7" s="1"/>
  <c r="VZY24" i="7" s="1"/>
  <c r="WAA24" i="7" s="1"/>
  <c r="WAC24" i="7" s="1"/>
  <c r="WAE24" i="7" s="1"/>
  <c r="WAG24" i="7" s="1"/>
  <c r="WAI24" i="7" s="1"/>
  <c r="WAK24" i="7" s="1"/>
  <c r="WAM24" i="7" s="1"/>
  <c r="WAO24" i="7" s="1"/>
  <c r="WAQ24" i="7" s="1"/>
  <c r="WAS24" i="7" s="1"/>
  <c r="WAU24" i="7" s="1"/>
  <c r="WAW24" i="7" s="1"/>
  <c r="WAY24" i="7" s="1"/>
  <c r="WBA24" i="7" s="1"/>
  <c r="WBC24" i="7" s="1"/>
  <c r="WBE24" i="7" s="1"/>
  <c r="WBG24" i="7" s="1"/>
  <c r="WBI24" i="7" s="1"/>
  <c r="WBK24" i="7" s="1"/>
  <c r="WBM24" i="7" s="1"/>
  <c r="WBO24" i="7" s="1"/>
  <c r="WBQ24" i="7" s="1"/>
  <c r="WBS24" i="7" s="1"/>
  <c r="WBU24" i="7" s="1"/>
  <c r="WBW24" i="7" s="1"/>
  <c r="WBY24" i="7" s="1"/>
  <c r="WCA24" i="7" s="1"/>
  <c r="WCC24" i="7" s="1"/>
  <c r="WCE24" i="7" s="1"/>
  <c r="WCG24" i="7" s="1"/>
  <c r="WCI24" i="7" s="1"/>
  <c r="WCK24" i="7" s="1"/>
  <c r="WCM24" i="7" s="1"/>
  <c r="WCO24" i="7" s="1"/>
  <c r="WCQ24" i="7" s="1"/>
  <c r="WCS24" i="7" s="1"/>
  <c r="WCU24" i="7" s="1"/>
  <c r="WCW24" i="7" s="1"/>
  <c r="WCY24" i="7" s="1"/>
  <c r="WDA24" i="7" s="1"/>
  <c r="WDC24" i="7" s="1"/>
  <c r="WDE24" i="7" s="1"/>
  <c r="WDG24" i="7" s="1"/>
  <c r="WDI24" i="7" s="1"/>
  <c r="WDK24" i="7" s="1"/>
  <c r="WDM24" i="7" s="1"/>
  <c r="WDO24" i="7" s="1"/>
  <c r="WDQ24" i="7" s="1"/>
  <c r="WDS24" i="7" s="1"/>
  <c r="WDU24" i="7" s="1"/>
  <c r="WDW24" i="7" s="1"/>
  <c r="WDY24" i="7" s="1"/>
  <c r="WEA24" i="7" s="1"/>
  <c r="WEC24" i="7" s="1"/>
  <c r="WEE24" i="7" s="1"/>
  <c r="WEG24" i="7" s="1"/>
  <c r="WEI24" i="7" s="1"/>
  <c r="WEK24" i="7" s="1"/>
  <c r="WEM24" i="7" s="1"/>
  <c r="WEO24" i="7" s="1"/>
  <c r="WEQ24" i="7" s="1"/>
  <c r="WES24" i="7" s="1"/>
  <c r="WEU24" i="7" s="1"/>
  <c r="WEW24" i="7" s="1"/>
  <c r="WEY24" i="7" s="1"/>
  <c r="WFA24" i="7" s="1"/>
  <c r="WFC24" i="7" s="1"/>
  <c r="WFE24" i="7" s="1"/>
  <c r="WFG24" i="7" s="1"/>
  <c r="WFI24" i="7" s="1"/>
  <c r="WFK24" i="7" s="1"/>
  <c r="WFM24" i="7" s="1"/>
  <c r="WFO24" i="7" s="1"/>
  <c r="WFQ24" i="7" s="1"/>
  <c r="WFS24" i="7" s="1"/>
  <c r="WFU24" i="7" s="1"/>
  <c r="WFW24" i="7" s="1"/>
  <c r="WFY24" i="7" s="1"/>
  <c r="WGA24" i="7" s="1"/>
  <c r="WGC24" i="7" s="1"/>
  <c r="WGE24" i="7" s="1"/>
  <c r="WGG24" i="7" s="1"/>
  <c r="WGI24" i="7" s="1"/>
  <c r="WGK24" i="7" s="1"/>
  <c r="WGM24" i="7" s="1"/>
  <c r="WGO24" i="7" s="1"/>
  <c r="WGQ24" i="7" s="1"/>
  <c r="WGS24" i="7" s="1"/>
  <c r="WGU24" i="7" s="1"/>
  <c r="WGW24" i="7" s="1"/>
  <c r="WGY24" i="7" s="1"/>
  <c r="WHA24" i="7" s="1"/>
  <c r="WHC24" i="7" s="1"/>
  <c r="WHE24" i="7" s="1"/>
  <c r="WHG24" i="7" s="1"/>
  <c r="WHI24" i="7" s="1"/>
  <c r="WHK24" i="7" s="1"/>
  <c r="WHM24" i="7" s="1"/>
  <c r="WHO24" i="7" s="1"/>
  <c r="WHQ24" i="7" s="1"/>
  <c r="WHS24" i="7" s="1"/>
  <c r="WHU24" i="7" s="1"/>
  <c r="WHW24" i="7" s="1"/>
  <c r="WHY24" i="7" s="1"/>
  <c r="WIA24" i="7" s="1"/>
  <c r="WIC24" i="7" s="1"/>
  <c r="WIE24" i="7" s="1"/>
  <c r="WIG24" i="7" s="1"/>
  <c r="WII24" i="7" s="1"/>
  <c r="WIK24" i="7" s="1"/>
  <c r="WIM24" i="7" s="1"/>
  <c r="WIO24" i="7" s="1"/>
  <c r="WIQ24" i="7" s="1"/>
  <c r="WIS24" i="7" s="1"/>
  <c r="WIU24" i="7" s="1"/>
  <c r="WIW24" i="7" s="1"/>
  <c r="WIY24" i="7" s="1"/>
  <c r="WJA24" i="7" s="1"/>
  <c r="WJC24" i="7" s="1"/>
  <c r="WJE24" i="7" s="1"/>
  <c r="WJG24" i="7" s="1"/>
  <c r="WJI24" i="7" s="1"/>
  <c r="WJK24" i="7" s="1"/>
  <c r="WJM24" i="7" s="1"/>
  <c r="WJO24" i="7" s="1"/>
  <c r="WJQ24" i="7" s="1"/>
  <c r="WJS24" i="7" s="1"/>
  <c r="WJU24" i="7" s="1"/>
  <c r="WJW24" i="7" s="1"/>
  <c r="WJY24" i="7" s="1"/>
  <c r="WKA24" i="7" s="1"/>
  <c r="WKC24" i="7" s="1"/>
  <c r="WKE24" i="7" s="1"/>
  <c r="WKG24" i="7" s="1"/>
  <c r="WKI24" i="7" s="1"/>
  <c r="WKK24" i="7" s="1"/>
  <c r="WKM24" i="7" s="1"/>
  <c r="WKO24" i="7" s="1"/>
  <c r="WKQ24" i="7" s="1"/>
  <c r="WKS24" i="7" s="1"/>
  <c r="WKU24" i="7" s="1"/>
  <c r="WKW24" i="7" s="1"/>
  <c r="WKY24" i="7" s="1"/>
  <c r="WLA24" i="7" s="1"/>
  <c r="WLC24" i="7" s="1"/>
  <c r="WLE24" i="7" s="1"/>
  <c r="WLG24" i="7" s="1"/>
  <c r="WLI24" i="7" s="1"/>
  <c r="WLK24" i="7" s="1"/>
  <c r="WLM24" i="7" s="1"/>
  <c r="WLO24" i="7" s="1"/>
  <c r="WLQ24" i="7" s="1"/>
  <c r="WLS24" i="7" s="1"/>
  <c r="WLU24" i="7" s="1"/>
  <c r="WLW24" i="7" s="1"/>
  <c r="WLY24" i="7" s="1"/>
  <c r="WMA24" i="7" s="1"/>
  <c r="WMC24" i="7" s="1"/>
  <c r="WME24" i="7" s="1"/>
  <c r="WMG24" i="7" s="1"/>
  <c r="WMI24" i="7" s="1"/>
  <c r="WMK24" i="7" s="1"/>
  <c r="WMM24" i="7" s="1"/>
  <c r="WMO24" i="7" s="1"/>
  <c r="WMQ24" i="7" s="1"/>
  <c r="WMS24" i="7" s="1"/>
  <c r="WMU24" i="7" s="1"/>
  <c r="WMW24" i="7" s="1"/>
  <c r="WMY24" i="7" s="1"/>
  <c r="WNA24" i="7" s="1"/>
  <c r="WNC24" i="7" s="1"/>
  <c r="WNE24" i="7" s="1"/>
  <c r="WNG24" i="7" s="1"/>
  <c r="WNI24" i="7" s="1"/>
  <c r="WNK24" i="7" s="1"/>
  <c r="WNM24" i="7" s="1"/>
  <c r="WNO24" i="7" s="1"/>
  <c r="WNQ24" i="7" s="1"/>
  <c r="WNS24" i="7" s="1"/>
  <c r="WNU24" i="7" s="1"/>
  <c r="WNW24" i="7" s="1"/>
  <c r="WNY24" i="7" s="1"/>
  <c r="WOA24" i="7" s="1"/>
  <c r="WOC24" i="7" s="1"/>
  <c r="WOE24" i="7" s="1"/>
  <c r="WOG24" i="7" s="1"/>
  <c r="WOI24" i="7" s="1"/>
  <c r="WOK24" i="7" s="1"/>
  <c r="WOM24" i="7" s="1"/>
  <c r="WOO24" i="7" s="1"/>
  <c r="WOQ24" i="7" s="1"/>
  <c r="WOS24" i="7" s="1"/>
  <c r="WOU24" i="7" s="1"/>
  <c r="WOW24" i="7" s="1"/>
  <c r="WOY24" i="7" s="1"/>
  <c r="WPA24" i="7" s="1"/>
  <c r="WPC24" i="7" s="1"/>
  <c r="WPE24" i="7" s="1"/>
  <c r="WPG24" i="7" s="1"/>
  <c r="WPI24" i="7" s="1"/>
  <c r="WPK24" i="7" s="1"/>
  <c r="WPM24" i="7" s="1"/>
  <c r="WPO24" i="7" s="1"/>
  <c r="WPQ24" i="7" s="1"/>
  <c r="WPS24" i="7" s="1"/>
  <c r="WPU24" i="7" s="1"/>
  <c r="WPW24" i="7" s="1"/>
  <c r="WPY24" i="7" s="1"/>
  <c r="WQA24" i="7" s="1"/>
  <c r="WQC24" i="7" s="1"/>
  <c r="WQE24" i="7" s="1"/>
  <c r="WQG24" i="7" s="1"/>
  <c r="WQI24" i="7" s="1"/>
  <c r="WQK24" i="7" s="1"/>
  <c r="WQM24" i="7" s="1"/>
  <c r="WQO24" i="7" s="1"/>
  <c r="WQQ24" i="7" s="1"/>
  <c r="WQS24" i="7" s="1"/>
  <c r="WQU24" i="7" s="1"/>
  <c r="WQW24" i="7" s="1"/>
  <c r="WQY24" i="7" s="1"/>
  <c r="WRA24" i="7" s="1"/>
  <c r="WRC24" i="7" s="1"/>
  <c r="WRE24" i="7" s="1"/>
  <c r="WRG24" i="7" s="1"/>
  <c r="WRI24" i="7" s="1"/>
  <c r="WRK24" i="7" s="1"/>
  <c r="WRM24" i="7" s="1"/>
  <c r="WRO24" i="7" s="1"/>
  <c r="WRQ24" i="7" s="1"/>
  <c r="WRS24" i="7" s="1"/>
  <c r="WRU24" i="7" s="1"/>
  <c r="WRW24" i="7" s="1"/>
  <c r="WRY24" i="7" s="1"/>
  <c r="WSA24" i="7" s="1"/>
  <c r="WSC24" i="7" s="1"/>
  <c r="WSE24" i="7" s="1"/>
  <c r="WSG24" i="7" s="1"/>
  <c r="WSI24" i="7" s="1"/>
  <c r="WSK24" i="7" s="1"/>
  <c r="WSM24" i="7" s="1"/>
  <c r="WSO24" i="7" s="1"/>
  <c r="WSQ24" i="7" s="1"/>
  <c r="WSS24" i="7" s="1"/>
  <c r="WSU24" i="7" s="1"/>
  <c r="WSW24" i="7" s="1"/>
  <c r="WSY24" i="7" s="1"/>
  <c r="WTA24" i="7" s="1"/>
  <c r="WTC24" i="7" s="1"/>
  <c r="WTE24" i="7" s="1"/>
  <c r="WTG24" i="7" s="1"/>
  <c r="WTI24" i="7" s="1"/>
  <c r="WTK24" i="7" s="1"/>
  <c r="WTM24" i="7" s="1"/>
  <c r="WTO24" i="7" s="1"/>
  <c r="WTQ24" i="7" s="1"/>
  <c r="WTS24" i="7" s="1"/>
  <c r="WTU24" i="7" s="1"/>
  <c r="WTW24" i="7" s="1"/>
  <c r="WTY24" i="7" s="1"/>
  <c r="WUA24" i="7" s="1"/>
  <c r="WUC24" i="7" s="1"/>
  <c r="WUE24" i="7" s="1"/>
  <c r="WUG24" i="7" s="1"/>
  <c r="WUI24" i="7" s="1"/>
  <c r="WUK24" i="7" s="1"/>
  <c r="WUM24" i="7" s="1"/>
  <c r="WUO24" i="7" s="1"/>
  <c r="WUQ24" i="7" s="1"/>
  <c r="WUS24" i="7" s="1"/>
  <c r="WUU24" i="7" s="1"/>
  <c r="WUW24" i="7" s="1"/>
  <c r="WUY24" i="7" s="1"/>
  <c r="WVA24" i="7" s="1"/>
  <c r="WVC24" i="7" s="1"/>
  <c r="WVE24" i="7" s="1"/>
  <c r="WVG24" i="7" s="1"/>
  <c r="WVI24" i="7" s="1"/>
  <c r="WVK24" i="7" s="1"/>
  <c r="WVM24" i="7" s="1"/>
  <c r="WVO24" i="7" s="1"/>
  <c r="WVQ24" i="7" s="1"/>
  <c r="WVS24" i="7" s="1"/>
  <c r="WVU24" i="7" s="1"/>
  <c r="WVW24" i="7" s="1"/>
  <c r="WVY24" i="7" s="1"/>
  <c r="WWA24" i="7" s="1"/>
  <c r="WWC24" i="7" s="1"/>
  <c r="WWE24" i="7" s="1"/>
  <c r="WWG24" i="7" s="1"/>
  <c r="WWI24" i="7" s="1"/>
  <c r="WWK24" i="7" s="1"/>
  <c r="WWM24" i="7" s="1"/>
  <c r="WWO24" i="7" s="1"/>
  <c r="WWQ24" i="7" s="1"/>
  <c r="WWS24" i="7" s="1"/>
  <c r="WWU24" i="7" s="1"/>
  <c r="WWW24" i="7" s="1"/>
  <c r="WWY24" i="7" s="1"/>
  <c r="WXA24" i="7" s="1"/>
  <c r="WXC24" i="7" s="1"/>
  <c r="WXE24" i="7" s="1"/>
  <c r="WXG24" i="7" s="1"/>
  <c r="WXI24" i="7" s="1"/>
  <c r="WXK24" i="7" s="1"/>
  <c r="WXM24" i="7" s="1"/>
  <c r="WXO24" i="7" s="1"/>
  <c r="WXQ24" i="7" s="1"/>
  <c r="WXS24" i="7" s="1"/>
  <c r="WXU24" i="7" s="1"/>
  <c r="WXW24" i="7" s="1"/>
  <c r="WXY24" i="7" s="1"/>
  <c r="WYA24" i="7" s="1"/>
  <c r="WYC24" i="7" s="1"/>
  <c r="WYE24" i="7" s="1"/>
  <c r="WYG24" i="7" s="1"/>
  <c r="WYI24" i="7" s="1"/>
  <c r="WYK24" i="7" s="1"/>
  <c r="WYM24" i="7" s="1"/>
  <c r="WYO24" i="7" s="1"/>
  <c r="WYQ24" i="7" s="1"/>
  <c r="WYS24" i="7" s="1"/>
  <c r="WYU24" i="7" s="1"/>
  <c r="WYW24" i="7" s="1"/>
  <c r="WYY24" i="7" s="1"/>
  <c r="WZA24" i="7" s="1"/>
  <c r="WZC24" i="7" s="1"/>
  <c r="WZE24" i="7" s="1"/>
  <c r="WZG24" i="7" s="1"/>
  <c r="WZI24" i="7" s="1"/>
  <c r="WZK24" i="7" s="1"/>
  <c r="WZM24" i="7" s="1"/>
  <c r="WZO24" i="7" s="1"/>
  <c r="WZQ24" i="7" s="1"/>
  <c r="WZS24" i="7" s="1"/>
  <c r="WZU24" i="7" s="1"/>
  <c r="WZW24" i="7" s="1"/>
  <c r="WZY24" i="7" s="1"/>
  <c r="XAA24" i="7" s="1"/>
  <c r="XAC24" i="7" s="1"/>
  <c r="XAE24" i="7" s="1"/>
  <c r="XAG24" i="7" s="1"/>
  <c r="XAI24" i="7" s="1"/>
  <c r="XAK24" i="7" s="1"/>
  <c r="XAM24" i="7" s="1"/>
  <c r="XAO24" i="7" s="1"/>
  <c r="XAQ24" i="7" s="1"/>
  <c r="XAS24" i="7" s="1"/>
  <c r="XAU24" i="7" s="1"/>
  <c r="XAW24" i="7" s="1"/>
  <c r="XAY24" i="7" s="1"/>
  <c r="XBA24" i="7" s="1"/>
  <c r="XBC24" i="7" s="1"/>
  <c r="XBE24" i="7" s="1"/>
  <c r="XBG24" i="7" s="1"/>
  <c r="XBI24" i="7" s="1"/>
  <c r="XBK24" i="7" s="1"/>
  <c r="XBM24" i="7" s="1"/>
  <c r="XBO24" i="7" s="1"/>
  <c r="XBQ24" i="7" s="1"/>
  <c r="XBS24" i="7" s="1"/>
  <c r="XBU24" i="7" s="1"/>
  <c r="XBW24" i="7" s="1"/>
  <c r="XBY24" i="7" s="1"/>
  <c r="XCA24" i="7" s="1"/>
  <c r="XCC24" i="7" s="1"/>
  <c r="XCE24" i="7" s="1"/>
  <c r="XCG24" i="7" s="1"/>
  <c r="XCI24" i="7" s="1"/>
  <c r="XCK24" i="7" s="1"/>
  <c r="XCM24" i="7" s="1"/>
  <c r="XCO24" i="7" s="1"/>
  <c r="XCQ24" i="7" s="1"/>
  <c r="XCS24" i="7" s="1"/>
  <c r="XCU24" i="7" s="1"/>
  <c r="XCW24" i="7" s="1"/>
  <c r="XCY24" i="7" s="1"/>
  <c r="XDA24" i="7" s="1"/>
  <c r="XDC24" i="7" s="1"/>
  <c r="XDE24" i="7" s="1"/>
  <c r="XDG24" i="7" s="1"/>
  <c r="XDI24" i="7" s="1"/>
  <c r="XDK24" i="7" s="1"/>
  <c r="XDM24" i="7" s="1"/>
  <c r="XDO24" i="7" s="1"/>
  <c r="XDQ24" i="7" s="1"/>
  <c r="XDS24" i="7" s="1"/>
  <c r="XDU24" i="7" s="1"/>
  <c r="XDW24" i="7" s="1"/>
  <c r="XDY24" i="7" s="1"/>
  <c r="XEA24" i="7" s="1"/>
  <c r="XEC24" i="7" s="1"/>
  <c r="XEE24" i="7" s="1"/>
  <c r="XEG24" i="7" s="1"/>
  <c r="XEI24" i="7" s="1"/>
  <c r="XEK24" i="7" s="1"/>
  <c r="XEM24" i="7" s="1"/>
  <c r="XEO24" i="7" s="1"/>
  <c r="XEQ24" i="7" s="1"/>
  <c r="XES24" i="7" s="1"/>
  <c r="XEU24" i="7" s="1"/>
  <c r="XEW24" i="7" s="1"/>
  <c r="XEY24" i="7" s="1"/>
  <c r="XFA24" i="7" s="1"/>
  <c r="XFC24" i="7" s="1"/>
  <c r="AC898" i="3" l="1"/>
  <c r="O734" i="3"/>
  <c r="O740" i="3"/>
  <c r="O738" i="3"/>
  <c r="O736" i="3" l="1"/>
  <c r="S30" i="4"/>
  <c r="E69" i="4" l="1"/>
  <c r="E7" i="4"/>
  <c r="A41" i="7"/>
  <c r="A40" i="7"/>
  <c r="E36" i="4"/>
  <c r="S36" i="4"/>
  <c r="AO636" i="3"/>
  <c r="AF636" i="3" s="1"/>
  <c r="E41" i="7" s="1"/>
  <c r="AM563" i="3"/>
  <c r="S86" i="4"/>
  <c r="E86" i="4"/>
  <c r="C49" i="4"/>
  <c r="AA958" i="3"/>
  <c r="I958" i="3"/>
  <c r="AA927" i="3"/>
  <c r="AC895" i="3"/>
  <c r="E45" i="4" l="1"/>
  <c r="S80" i="4"/>
  <c r="S65" i="4"/>
  <c r="E92" i="4"/>
  <c r="E91" i="4"/>
  <c r="E90" i="4"/>
  <c r="E89" i="4"/>
  <c r="E88" i="4"/>
  <c r="E83" i="4"/>
  <c r="E80" i="4"/>
  <c r="E79" i="4"/>
  <c r="E67" i="4"/>
  <c r="E66" i="4"/>
  <c r="C65" i="4"/>
  <c r="E65" i="4" s="1"/>
  <c r="E58" i="4"/>
  <c r="E56" i="4"/>
  <c r="E50" i="4"/>
  <c r="E49" i="4"/>
  <c r="E48" i="4"/>
  <c r="E46" i="4"/>
  <c r="E41" i="4"/>
  <c r="E40" i="4"/>
  <c r="S35" i="4"/>
  <c r="S32" i="4"/>
  <c r="E35" i="4"/>
  <c r="C33" i="4"/>
  <c r="E33" i="4" s="1"/>
  <c r="E32" i="4"/>
  <c r="C31" i="4"/>
  <c r="E31" i="4" s="1"/>
  <c r="C29" i="4"/>
  <c r="E29" i="4" l="1"/>
  <c r="S33" i="4"/>
  <c r="S31" i="4"/>
  <c r="AG457" i="3" l="1"/>
  <c r="AG452" i="3"/>
  <c r="W879" i="3" l="1"/>
  <c r="E43" i="4" l="1"/>
  <c r="E75" i="4"/>
  <c r="AI41" i="7" l="1"/>
  <c r="AK41" i="7"/>
  <c r="AM41" i="7"/>
  <c r="AO41" i="7"/>
  <c r="AQ41" i="7"/>
  <c r="AS41" i="7"/>
  <c r="AU41" i="7"/>
  <c r="AW41" i="7"/>
  <c r="AY41" i="7"/>
  <c r="BA41" i="7"/>
  <c r="BC41" i="7"/>
  <c r="BE41" i="7"/>
  <c r="BG41" i="7"/>
  <c r="BI41" i="7"/>
  <c r="BK41" i="7"/>
  <c r="AI42" i="7"/>
  <c r="AK42" i="7"/>
  <c r="AM42" i="7"/>
  <c r="AO42" i="7"/>
  <c r="AQ42" i="7"/>
  <c r="AS42" i="7"/>
  <c r="AU42" i="7"/>
  <c r="AW42" i="7"/>
  <c r="AY42" i="7"/>
  <c r="BA42" i="7"/>
  <c r="BC42" i="7"/>
  <c r="BE42" i="7"/>
  <c r="BG42" i="7"/>
  <c r="BI42" i="7"/>
  <c r="BK42" i="7"/>
  <c r="AA928" i="3" l="1"/>
  <c r="S90" i="4" l="1"/>
  <c r="S92" i="4"/>
  <c r="S40" i="4"/>
  <c r="S41" i="4"/>
  <c r="S66" i="4"/>
  <c r="S67" i="4"/>
  <c r="S79" i="4"/>
  <c r="S89" i="4"/>
  <c r="S91" i="4"/>
  <c r="Q635" i="3"/>
  <c r="T635" i="3"/>
  <c r="AF635" i="3" s="1"/>
  <c r="E40" i="7" s="1"/>
  <c r="O735" i="3"/>
  <c r="O739" i="3"/>
  <c r="S43" i="4" l="1"/>
  <c r="S99" i="4"/>
  <c r="O732" i="3" l="1"/>
  <c r="O731" i="3"/>
  <c r="O730" i="3"/>
  <c r="O728" i="3"/>
  <c r="O727" i="3"/>
  <c r="O726"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Y211" i="24"/>
  <c r="U211" i="24"/>
  <c r="O198" i="24"/>
  <c r="O75" i="24"/>
  <c r="B64" i="24"/>
  <c r="B63" i="24"/>
  <c r="B62"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100" i="3" l="1"/>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AI16" i="7" s="1"/>
  <c r="AK16" i="7" s="1"/>
  <c r="AM16" i="7" s="1"/>
  <c r="AO16" i="7" s="1"/>
  <c r="AQ16" i="7" s="1"/>
  <c r="AS16" i="7" s="1"/>
  <c r="AU16" i="7" s="1"/>
  <c r="AW16" i="7" s="1"/>
  <c r="AY16" i="7" s="1"/>
  <c r="BA16" i="7" s="1"/>
  <c r="BC16" i="7" s="1"/>
  <c r="BE16" i="7" s="1"/>
  <c r="BG16" i="7" s="1"/>
  <c r="BI16" i="7" s="1"/>
  <c r="BK16" i="7" s="1"/>
  <c r="E17" i="7"/>
  <c r="G17" i="7" s="1"/>
  <c r="I17" i="7" s="1"/>
  <c r="K17" i="7" s="1"/>
  <c r="M17" i="7" s="1"/>
  <c r="O17" i="7" s="1"/>
  <c r="Q17" i="7" s="1"/>
  <c r="S17" i="7" s="1"/>
  <c r="U17" i="7" s="1"/>
  <c r="W17" i="7" s="1"/>
  <c r="Y17" i="7" s="1"/>
  <c r="AA17" i="7" s="1"/>
  <c r="AC17" i="7" s="1"/>
  <c r="AE17" i="7" s="1"/>
  <c r="AG17" i="7" s="1"/>
  <c r="AI17" i="7" s="1"/>
  <c r="AK17" i="7" s="1"/>
  <c r="AM17" i="7" s="1"/>
  <c r="AO17" i="7" s="1"/>
  <c r="AQ17" i="7" s="1"/>
  <c r="AS17" i="7" s="1"/>
  <c r="AU17" i="7" s="1"/>
  <c r="AW17" i="7" s="1"/>
  <c r="AY17" i="7" s="1"/>
  <c r="BA17" i="7" s="1"/>
  <c r="BC17" i="7" s="1"/>
  <c r="BE17" i="7" s="1"/>
  <c r="BG17" i="7" s="1"/>
  <c r="BI17" i="7" s="1"/>
  <c r="BK17" i="7" s="1"/>
  <c r="E18" i="7"/>
  <c r="G18" i="7" s="1"/>
  <c r="I18" i="7" s="1"/>
  <c r="K18" i="7" s="1"/>
  <c r="M18" i="7" s="1"/>
  <c r="O18" i="7" s="1"/>
  <c r="Q18" i="7" s="1"/>
  <c r="S18" i="7" s="1"/>
  <c r="U18" i="7" s="1"/>
  <c r="W18" i="7" s="1"/>
  <c r="Y18" i="7" s="1"/>
  <c r="AA18" i="7" s="1"/>
  <c r="AC18" i="7" s="1"/>
  <c r="AE18" i="7" s="1"/>
  <c r="AG18" i="7" s="1"/>
  <c r="AI18" i="7" s="1"/>
  <c r="AK18" i="7" s="1"/>
  <c r="AM18" i="7" s="1"/>
  <c r="AO18" i="7" s="1"/>
  <c r="AQ18" i="7" s="1"/>
  <c r="AS18" i="7" s="1"/>
  <c r="AU18" i="7" s="1"/>
  <c r="AW18" i="7" s="1"/>
  <c r="AY18" i="7" s="1"/>
  <c r="BA18" i="7" s="1"/>
  <c r="BC18" i="7" s="1"/>
  <c r="BE18" i="7" s="1"/>
  <c r="BG18" i="7" s="1"/>
  <c r="BI18" i="7" s="1"/>
  <c r="BK18" i="7" s="1"/>
  <c r="E19" i="7"/>
  <c r="E21" i="7"/>
  <c r="G21" i="7" s="1"/>
  <c r="I21" i="7" s="1"/>
  <c r="K21" i="7" s="1"/>
  <c r="M21" i="7" s="1"/>
  <c r="O21" i="7" s="1"/>
  <c r="Q21" i="7" s="1"/>
  <c r="S21" i="7" s="1"/>
  <c r="U21" i="7" s="1"/>
  <c r="W21" i="7" s="1"/>
  <c r="Y21" i="7" s="1"/>
  <c r="AA21" i="7" s="1"/>
  <c r="AC21" i="7" s="1"/>
  <c r="AE21" i="7" s="1"/>
  <c r="AG21" i="7" s="1"/>
  <c r="AI21" i="7" s="1"/>
  <c r="AK21" i="7" s="1"/>
  <c r="AM21" i="7" s="1"/>
  <c r="AO21" i="7" s="1"/>
  <c r="AQ21" i="7" s="1"/>
  <c r="AS21" i="7" s="1"/>
  <c r="AU21" i="7" s="1"/>
  <c r="AW21" i="7" s="1"/>
  <c r="AY21" i="7" s="1"/>
  <c r="BA21" i="7" s="1"/>
  <c r="BC21" i="7" s="1"/>
  <c r="BE21" i="7" s="1"/>
  <c r="BG21" i="7" s="1"/>
  <c r="BI21" i="7" s="1"/>
  <c r="BK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O27" i="21" s="1"/>
  <c r="M28" i="21"/>
  <c r="M29" i="21"/>
  <c r="M30" i="21"/>
  <c r="M31" i="21"/>
  <c r="O31" i="21" s="1"/>
  <c r="M32" i="21"/>
  <c r="M33" i="21"/>
  <c r="M34" i="2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AI54" i="7" s="1"/>
  <c r="AK54" i="7" s="1"/>
  <c r="AM54" i="7" s="1"/>
  <c r="AO54" i="7" s="1"/>
  <c r="AQ54" i="7" s="1"/>
  <c r="AS54" i="7" s="1"/>
  <c r="AU54" i="7" s="1"/>
  <c r="AW54" i="7" s="1"/>
  <c r="AY54" i="7" s="1"/>
  <c r="BA54" i="7" s="1"/>
  <c r="BC54" i="7" s="1"/>
  <c r="BE54" i="7" s="1"/>
  <c r="BG54" i="7" s="1"/>
  <c r="BI54" i="7" s="1"/>
  <c r="BK54" i="7" s="1"/>
  <c r="G55" i="7"/>
  <c r="I55" i="7" s="1"/>
  <c r="K55" i="7" s="1"/>
  <c r="M55" i="7" s="1"/>
  <c r="O55" i="7" s="1"/>
  <c r="Q55" i="7" s="1"/>
  <c r="S55" i="7" s="1"/>
  <c r="U55" i="7" s="1"/>
  <c r="W55" i="7" s="1"/>
  <c r="Y55" i="7" s="1"/>
  <c r="AA55" i="7" s="1"/>
  <c r="AC55" i="7" s="1"/>
  <c r="AE55" i="7" s="1"/>
  <c r="AG55" i="7" s="1"/>
  <c r="AI55" i="7" s="1"/>
  <c r="AK55" i="7" s="1"/>
  <c r="AM55" i="7" s="1"/>
  <c r="AO55" i="7" s="1"/>
  <c r="AQ55" i="7" s="1"/>
  <c r="AS55" i="7" s="1"/>
  <c r="AU55" i="7" s="1"/>
  <c r="AW55" i="7" s="1"/>
  <c r="AY55" i="7" s="1"/>
  <c r="BA55" i="7" s="1"/>
  <c r="BC55" i="7" s="1"/>
  <c r="BE55" i="7" s="1"/>
  <c r="BG55" i="7" s="1"/>
  <c r="BI55" i="7" s="1"/>
  <c r="BK55" i="7" s="1"/>
  <c r="G56" i="7"/>
  <c r="I56" i="7" s="1"/>
  <c r="K56" i="7" s="1"/>
  <c r="M56" i="7" s="1"/>
  <c r="O56" i="7" s="1"/>
  <c r="Q56" i="7" s="1"/>
  <c r="S56" i="7" s="1"/>
  <c r="U56" i="7" s="1"/>
  <c r="W56" i="7" s="1"/>
  <c r="Y56" i="7" s="1"/>
  <c r="AA56" i="7" s="1"/>
  <c r="AC56" i="7" s="1"/>
  <c r="AE56" i="7" s="1"/>
  <c r="AG56" i="7" s="1"/>
  <c r="AI56" i="7" s="1"/>
  <c r="AK56" i="7" s="1"/>
  <c r="AM56" i="7" s="1"/>
  <c r="AO56" i="7" s="1"/>
  <c r="AQ56" i="7" s="1"/>
  <c r="AS56" i="7" s="1"/>
  <c r="AU56" i="7" s="1"/>
  <c r="AW56" i="7" s="1"/>
  <c r="AY56" i="7" s="1"/>
  <c r="BA56" i="7" s="1"/>
  <c r="BC56" i="7" s="1"/>
  <c r="BE56" i="7" s="1"/>
  <c r="BG56" i="7" s="1"/>
  <c r="BI56" i="7" s="1"/>
  <c r="BK56" i="7" s="1"/>
  <c r="G57" i="7"/>
  <c r="I57" i="7" s="1"/>
  <c r="K57" i="7" s="1"/>
  <c r="M57" i="7" s="1"/>
  <c r="O57" i="7" s="1"/>
  <c r="Q57" i="7" s="1"/>
  <c r="S57" i="7" s="1"/>
  <c r="U57" i="7" s="1"/>
  <c r="W57" i="7" s="1"/>
  <c r="Y57" i="7" s="1"/>
  <c r="AA57" i="7" s="1"/>
  <c r="AC57" i="7" s="1"/>
  <c r="AE57" i="7" s="1"/>
  <c r="AG57" i="7" s="1"/>
  <c r="AI57" i="7" s="1"/>
  <c r="AK57" i="7" s="1"/>
  <c r="AM57" i="7" s="1"/>
  <c r="AO57" i="7" s="1"/>
  <c r="AQ57" i="7" s="1"/>
  <c r="AS57" i="7" s="1"/>
  <c r="AU57" i="7" s="1"/>
  <c r="AW57" i="7" s="1"/>
  <c r="AY57" i="7" s="1"/>
  <c r="BA57" i="7" s="1"/>
  <c r="BC57" i="7" s="1"/>
  <c r="BE57" i="7" s="1"/>
  <c r="BG57" i="7" s="1"/>
  <c r="BI57" i="7" s="1"/>
  <c r="BK57" i="7" s="1"/>
  <c r="G53" i="7"/>
  <c r="I53" i="7" s="1"/>
  <c r="K53" i="7" s="1"/>
  <c r="A61" i="15"/>
  <c r="BA487" i="3"/>
  <c r="BA478" i="3"/>
  <c r="B100" i="4"/>
  <c r="R100" i="4"/>
  <c r="AQ112" i="20"/>
  <c r="AQ113" i="20"/>
  <c r="AQ114" i="20"/>
  <c r="AQ115" i="20"/>
  <c r="AQ116" i="20"/>
  <c r="AQ117" i="20"/>
  <c r="AQ118"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5" i="3"/>
  <c r="AH735" i="3" s="1"/>
  <c r="AH733" i="3"/>
  <c r="X733" i="3"/>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H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X742" i="3"/>
  <c r="X743" i="3"/>
  <c r="X744" i="3"/>
  <c r="X745" i="3"/>
  <c r="X746" i="3"/>
  <c r="X747" i="3"/>
  <c r="X748" i="3"/>
  <c r="X749" i="3"/>
  <c r="M840" i="3"/>
  <c r="Q840" i="3"/>
  <c r="U840" i="3"/>
  <c r="Y840" i="3"/>
  <c r="AC840" i="3"/>
  <c r="AG840" i="3"/>
  <c r="Z911" i="3"/>
  <c r="G30" i="4" l="1"/>
  <c r="G38" i="4" s="1"/>
  <c r="G63" i="4" s="1"/>
  <c r="G97" i="4" s="1"/>
  <c r="F30" i="4"/>
  <c r="AS40" i="7"/>
  <c r="AS43" i="7" s="1"/>
  <c r="BG40" i="7"/>
  <c r="BG43" i="7" s="1"/>
  <c r="BI40" i="7"/>
  <c r="BI43" i="7" s="1"/>
  <c r="AI40" i="7"/>
  <c r="AI43" i="7" s="1"/>
  <c r="AU40" i="7"/>
  <c r="AU43" i="7" s="1"/>
  <c r="BC40" i="7"/>
  <c r="BC43" i="7" s="1"/>
  <c r="AW40" i="7"/>
  <c r="AW43" i="7" s="1"/>
  <c r="BE40" i="7"/>
  <c r="BE43" i="7" s="1"/>
  <c r="BK40" i="7"/>
  <c r="BK43" i="7" s="1"/>
  <c r="AO40" i="7"/>
  <c r="AO43" i="7" s="1"/>
  <c r="AY40" i="7"/>
  <c r="AY43" i="7" s="1"/>
  <c r="BA40" i="7"/>
  <c r="BA43" i="7" s="1"/>
  <c r="AK40" i="7"/>
  <c r="AK43" i="7" s="1"/>
  <c r="AM40" i="7"/>
  <c r="AM43" i="7" s="1"/>
  <c r="AQ40" i="7"/>
  <c r="AQ43" i="7" s="1"/>
  <c r="AM28" i="7"/>
  <c r="AY28" i="7"/>
  <c r="BC28" i="7"/>
  <c r="AO28" i="7"/>
  <c r="BI28" i="7"/>
  <c r="AQ28" i="7"/>
  <c r="BE28" i="7"/>
  <c r="AS28" i="7"/>
  <c r="AW28" i="7"/>
  <c r="BG28" i="7"/>
  <c r="AU28" i="7"/>
  <c r="BA28" i="7"/>
  <c r="AK28" i="7"/>
  <c r="BK28" i="7"/>
  <c r="AI28" i="7"/>
  <c r="AQ29" i="7"/>
  <c r="AS29" i="7"/>
  <c r="AI29" i="7"/>
  <c r="BA29" i="7"/>
  <c r="BC29" i="7"/>
  <c r="AK29" i="7"/>
  <c r="AY29" i="7"/>
  <c r="AM29" i="7"/>
  <c r="BK29" i="7"/>
  <c r="AO29" i="7"/>
  <c r="AU29" i="7"/>
  <c r="AW29" i="7"/>
  <c r="BI29" i="7"/>
  <c r="BE29" i="7"/>
  <c r="BG29" i="7"/>
  <c r="H99" i="4"/>
  <c r="B26" i="4"/>
  <c r="D35" i="11"/>
  <c r="B8" i="13"/>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AI30" i="7" s="1"/>
  <c r="AK30" i="7" s="1"/>
  <c r="AM30" i="7" s="1"/>
  <c r="AO30" i="7" s="1"/>
  <c r="AQ30" i="7" s="1"/>
  <c r="AS30" i="7" s="1"/>
  <c r="AU30" i="7" s="1"/>
  <c r="AW30" i="7" s="1"/>
  <c r="AY30" i="7" s="1"/>
  <c r="BA30" i="7" s="1"/>
  <c r="BC30" i="7" s="1"/>
  <c r="BE30" i="7" s="1"/>
  <c r="BG30" i="7" s="1"/>
  <c r="BI30" i="7" s="1"/>
  <c r="BK30" i="7" s="1"/>
  <c r="G31" i="7"/>
  <c r="I31" i="7" s="1"/>
  <c r="K31" i="7" s="1"/>
  <c r="M31" i="7" s="1"/>
  <c r="O31" i="7" s="1"/>
  <c r="Q31" i="7" s="1"/>
  <c r="S31" i="7" s="1"/>
  <c r="U31" i="7" s="1"/>
  <c r="W31" i="7" s="1"/>
  <c r="Y31" i="7" s="1"/>
  <c r="AA31" i="7" s="1"/>
  <c r="AC31" i="7" s="1"/>
  <c r="AE31" i="7" s="1"/>
  <c r="AG31" i="7" s="1"/>
  <c r="AI31" i="7" s="1"/>
  <c r="AK31" i="7" s="1"/>
  <c r="AM31" i="7" s="1"/>
  <c r="AO31" i="7" s="1"/>
  <c r="AQ31" i="7" s="1"/>
  <c r="AS31" i="7" s="1"/>
  <c r="AU31" i="7" s="1"/>
  <c r="AW31" i="7" s="1"/>
  <c r="AY31" i="7" s="1"/>
  <c r="BA31" i="7" s="1"/>
  <c r="BC31" i="7" s="1"/>
  <c r="BE31" i="7" s="1"/>
  <c r="BG31" i="7" s="1"/>
  <c r="BI31" i="7" s="1"/>
  <c r="BK31" i="7" s="1"/>
  <c r="E20" i="7"/>
  <c r="G20" i="7" s="1"/>
  <c r="I20" i="7" s="1"/>
  <c r="K20" i="7" s="1"/>
  <c r="M20" i="7" s="1"/>
  <c r="O20" i="7" s="1"/>
  <c r="Q20" i="7" s="1"/>
  <c r="S20" i="7" s="1"/>
  <c r="U20" i="7" s="1"/>
  <c r="W20" i="7" s="1"/>
  <c r="Y20" i="7" s="1"/>
  <c r="AA20" i="7" s="1"/>
  <c r="AC20" i="7" s="1"/>
  <c r="AE20" i="7" s="1"/>
  <c r="AG20" i="7" s="1"/>
  <c r="AI20" i="7" s="1"/>
  <c r="AK20" i="7" s="1"/>
  <c r="AM20" i="7" s="1"/>
  <c r="AO20" i="7" s="1"/>
  <c r="AQ20" i="7" s="1"/>
  <c r="AS20" i="7" s="1"/>
  <c r="AU20" i="7" s="1"/>
  <c r="AW20" i="7" s="1"/>
  <c r="AY20" i="7" s="1"/>
  <c r="BA20" i="7" s="1"/>
  <c r="BC20" i="7" s="1"/>
  <c r="BE20" i="7" s="1"/>
  <c r="BG20" i="7" s="1"/>
  <c r="BI20" i="7" s="1"/>
  <c r="BK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I32" i="7" s="1"/>
  <c r="AK32" i="7" s="1"/>
  <c r="AM32" i="7" s="1"/>
  <c r="AO32" i="7" s="1"/>
  <c r="AQ32" i="7" s="1"/>
  <c r="AS32" i="7" s="1"/>
  <c r="AU32" i="7" s="1"/>
  <c r="AW32" i="7" s="1"/>
  <c r="AY32" i="7" s="1"/>
  <c r="BA32" i="7" s="1"/>
  <c r="BC32" i="7" s="1"/>
  <c r="BE32" i="7" s="1"/>
  <c r="BG32" i="7" s="1"/>
  <c r="BI32" i="7" s="1"/>
  <c r="BK32" i="7" s="1"/>
  <c r="AC40" i="7"/>
  <c r="AC43" i="7" s="1"/>
  <c r="I40" i="7"/>
  <c r="I43" i="7" s="1"/>
  <c r="P43" i="21" a="1"/>
  <c r="P43" i="21" s="1"/>
  <c r="G33" i="7"/>
  <c r="I33" i="7" s="1"/>
  <c r="K33" i="7" s="1"/>
  <c r="M33" i="7" s="1"/>
  <c r="O33" i="7" s="1"/>
  <c r="Q33" i="7" s="1"/>
  <c r="S33" i="7" s="1"/>
  <c r="U33" i="7" s="1"/>
  <c r="W33" i="7" s="1"/>
  <c r="Y33" i="7" s="1"/>
  <c r="AA33" i="7" s="1"/>
  <c r="AC33" i="7" s="1"/>
  <c r="AE33" i="7" s="1"/>
  <c r="AG33" i="7" s="1"/>
  <c r="AI33" i="7" s="1"/>
  <c r="AK33" i="7" s="1"/>
  <c r="AM33" i="7" s="1"/>
  <c r="AO33" i="7" s="1"/>
  <c r="AQ33" i="7" s="1"/>
  <c r="AS33" i="7" s="1"/>
  <c r="AU33" i="7" s="1"/>
  <c r="AW33" i="7" s="1"/>
  <c r="AY33" i="7" s="1"/>
  <c r="BA33" i="7" s="1"/>
  <c r="BC33" i="7" s="1"/>
  <c r="BE33" i="7" s="1"/>
  <c r="BG33" i="7" s="1"/>
  <c r="BI33" i="7" s="1"/>
  <c r="BK33" i="7" s="1"/>
  <c r="K40" i="7"/>
  <c r="K43" i="7" s="1"/>
  <c r="G26" i="7"/>
  <c r="I26" i="7" s="1"/>
  <c r="K26" i="7" s="1"/>
  <c r="M26" i="7" s="1"/>
  <c r="O26" i="7" s="1"/>
  <c r="Q26" i="7" s="1"/>
  <c r="S26" i="7" s="1"/>
  <c r="U26" i="7" s="1"/>
  <c r="W26" i="7" s="1"/>
  <c r="Y26" i="7" s="1"/>
  <c r="AA26" i="7" s="1"/>
  <c r="AC26" i="7" s="1"/>
  <c r="AE26" i="7" s="1"/>
  <c r="AG26" i="7" s="1"/>
  <c r="AI26" i="7" s="1"/>
  <c r="AK26" i="7" s="1"/>
  <c r="AM26" i="7" s="1"/>
  <c r="AO26" i="7" s="1"/>
  <c r="AQ26" i="7" s="1"/>
  <c r="AS26" i="7" s="1"/>
  <c r="AU26" i="7" s="1"/>
  <c r="AW26" i="7" s="1"/>
  <c r="AY26" i="7" s="1"/>
  <c r="BA26" i="7" s="1"/>
  <c r="BC26" i="7" s="1"/>
  <c r="BE26" i="7" s="1"/>
  <c r="BG26" i="7" s="1"/>
  <c r="BI26" i="7" s="1"/>
  <c r="BK26" i="7" s="1"/>
  <c r="G27" i="7"/>
  <c r="I27" i="7" s="1"/>
  <c r="K27" i="7" s="1"/>
  <c r="M27" i="7" s="1"/>
  <c r="O27" i="7" s="1"/>
  <c r="Q27" i="7" s="1"/>
  <c r="S27" i="7" s="1"/>
  <c r="U27" i="7" s="1"/>
  <c r="W27" i="7" s="1"/>
  <c r="Y27" i="7" s="1"/>
  <c r="AA27" i="7" s="1"/>
  <c r="AC27" i="7" s="1"/>
  <c r="AE27" i="7" s="1"/>
  <c r="AG27" i="7" s="1"/>
  <c r="AI27" i="7" s="1"/>
  <c r="AK27" i="7" s="1"/>
  <c r="AM27" i="7" s="1"/>
  <c r="AO27" i="7" s="1"/>
  <c r="AQ27" i="7" s="1"/>
  <c r="AS27" i="7" s="1"/>
  <c r="AU27" i="7" s="1"/>
  <c r="AW27" i="7" s="1"/>
  <c r="AY27" i="7" s="1"/>
  <c r="BA27" i="7" s="1"/>
  <c r="BC27" i="7" s="1"/>
  <c r="BE27" i="7" s="1"/>
  <c r="BG27" i="7" s="1"/>
  <c r="BI27" i="7" s="1"/>
  <c r="BK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P35" i="21" a="1"/>
  <c r="P35" i="21"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AI19" i="7" s="1"/>
  <c r="AK19" i="7" s="1"/>
  <c r="AM19" i="7" s="1"/>
  <c r="AO19" i="7" s="1"/>
  <c r="AQ19" i="7" s="1"/>
  <c r="AS19" i="7" s="1"/>
  <c r="AU19" i="7" s="1"/>
  <c r="AW19" i="7" s="1"/>
  <c r="AY19" i="7" s="1"/>
  <c r="BA19" i="7" s="1"/>
  <c r="BC19" i="7" s="1"/>
  <c r="BE19" i="7" s="1"/>
  <c r="BG19" i="7" s="1"/>
  <c r="BI19" i="7" s="1"/>
  <c r="BK19" i="7" s="1"/>
  <c r="R33" i="21" a="1"/>
  <c r="R33" i="21" s="1"/>
  <c r="R24" i="21" a="1"/>
  <c r="R24" i="21" s="1"/>
  <c r="E27" i="21"/>
  <c r="G51" i="21"/>
  <c r="E26" i="21"/>
  <c r="E24" i="21"/>
  <c r="F24" i="21" s="1"/>
  <c r="G40" i="8"/>
  <c r="I15" i="7"/>
  <c r="E28" i="21"/>
  <c r="E25" i="21"/>
  <c r="F25" i="21" s="1"/>
  <c r="G25" i="21" s="1"/>
  <c r="E30" i="4" l="1"/>
  <c r="F38" i="4"/>
  <c r="F63" i="4" s="1"/>
  <c r="F97" i="4" s="1"/>
  <c r="F105" i="4" s="1"/>
  <c r="G104" i="4"/>
  <c r="E99" i="4"/>
  <c r="R99" i="4" s="1"/>
  <c r="R104" i="4" s="1"/>
  <c r="E38" i="4"/>
  <c r="E63" i="4" s="1"/>
  <c r="E97" i="4" s="1"/>
  <c r="R30" i="4"/>
  <c r="R38" i="4" s="1"/>
  <c r="R63" i="4" s="1"/>
  <c r="R97" i="4" s="1"/>
  <c r="H104" i="4"/>
  <c r="H105" i="4" s="1"/>
  <c r="G105" i="4"/>
  <c r="AJ634" i="20"/>
  <c r="G108" i="21"/>
  <c r="N190" i="24"/>
  <c r="D43" i="11"/>
  <c r="D71" i="11"/>
  <c r="B12" i="4"/>
  <c r="D55" i="11"/>
  <c r="D82" i="11"/>
  <c r="D39" i="11"/>
  <c r="D78" i="11"/>
  <c r="R12" i="4"/>
  <c r="D12" i="11"/>
  <c r="D63" i="11"/>
  <c r="B13" i="11"/>
  <c r="C64" i="11"/>
  <c r="C98" i="11" s="1"/>
  <c r="B64" i="11"/>
  <c r="B98" i="11" s="1"/>
  <c r="B106" i="11" s="1"/>
  <c r="B63" i="4"/>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R105" i="4" l="1"/>
  <c r="E104" i="4"/>
  <c r="E105" i="4" s="1"/>
  <c r="AU187" i="24"/>
  <c r="O34" i="21"/>
  <c r="P34" i="21" s="1" a="1"/>
  <c r="P34" i="21" s="1"/>
  <c r="S34" i="21" s="1"/>
  <c r="O33" i="21"/>
  <c r="P33" i="21" s="1" a="1"/>
  <c r="P33" i="21" s="1"/>
  <c r="S33" i="21" s="1"/>
  <c r="O32" i="21"/>
  <c r="P32" i="21" s="1" a="1"/>
  <c r="P32" i="21" s="1"/>
  <c r="S32" i="21" s="1"/>
  <c r="O30" i="21"/>
  <c r="P30" i="21" s="1" a="1"/>
  <c r="P30" i="21" s="1"/>
  <c r="S30" i="21" s="1"/>
  <c r="O29" i="21"/>
  <c r="P29" i="21" s="1" a="1"/>
  <c r="P29" i="21" s="1"/>
  <c r="S29" i="21" s="1"/>
  <c r="O28" i="21"/>
  <c r="P28" i="21" s="1" a="1"/>
  <c r="P28" i="21" s="1"/>
  <c r="S28" i="21" s="1"/>
  <c r="O26" i="21"/>
  <c r="P26" i="21" s="1" a="1"/>
  <c r="P26" i="21" s="1"/>
  <c r="S26" i="21" s="1"/>
  <c r="O25" i="21"/>
  <c r="P25" i="21" s="1" a="1"/>
  <c r="P25" i="21" s="1"/>
  <c r="S25" i="21" s="1"/>
  <c r="O24" i="21"/>
  <c r="P24" i="21" s="1" a="1"/>
  <c r="P24" i="21" s="1"/>
  <c r="S24" i="21" s="1"/>
  <c r="O23" i="2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31" i="21" a="1"/>
  <c r="P31" i="21" s="1"/>
  <c r="S31" i="21" s="1"/>
  <c r="P27" i="21" a="1"/>
  <c r="P27" i="21" s="1"/>
  <c r="S27" i="21" s="1"/>
  <c r="P23" i="21" a="1"/>
  <c r="P23" i="21" s="1"/>
  <c r="S23" i="21" s="1"/>
  <c r="P20" i="21" a="1"/>
  <c r="P20" i="21" s="1"/>
  <c r="S20" i="21" s="1"/>
  <c r="DU763" i="3"/>
  <c r="O764" i="3" s="1"/>
  <c r="BG761" i="3"/>
  <c r="E35" i="7"/>
  <c r="BT761" i="3"/>
  <c r="AX708" i="20"/>
  <c r="AO708" i="20" s="1"/>
  <c r="BH726" i="3"/>
  <c r="DX678" i="3"/>
  <c r="E129" i="20" s="1"/>
  <c r="E132" i="20" s="1"/>
  <c r="E135" i="20" s="1"/>
  <c r="AW121" i="20"/>
  <c r="K8" i="7"/>
  <c r="M8" i="7" s="1"/>
  <c r="D98" i="11"/>
  <c r="C106" i="11"/>
  <c r="D106" i="11" s="1"/>
  <c r="EC678" i="3"/>
  <c r="J129" i="20" s="1"/>
  <c r="J132" i="20" s="1"/>
  <c r="J135" i="20" s="1"/>
  <c r="EW678" i="3"/>
  <c r="AD129" i="20" s="1"/>
  <c r="AD132" i="20" s="1"/>
  <c r="AD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BE22" i="3"/>
  <c r="E105" i="13"/>
  <c r="BA1065" i="3"/>
  <c r="AZ1060" i="3"/>
  <c r="H105" i="13"/>
  <c r="T107" i="4"/>
  <c r="H107" i="13" s="1"/>
  <c r="Q58" i="7"/>
  <c r="S53" i="7"/>
  <c r="G45" i="21"/>
  <c r="G47" i="21" s="1"/>
  <c r="E10" i="21" s="1"/>
  <c r="E11" i="21"/>
  <c r="AP718" i="20"/>
  <c r="AJ724" i="20" s="1"/>
  <c r="AK816" i="20" s="1"/>
  <c r="T841" i="20" s="1"/>
  <c r="AF841" i="20" s="1"/>
  <c r="BE82" i="3" s="1"/>
  <c r="AP719" i="20"/>
  <c r="K9" i="7"/>
  <c r="AJ1001" i="3"/>
  <c r="AB1000" i="3"/>
  <c r="DU810" i="3"/>
  <c r="U386" i="20" s="1"/>
  <c r="P430" i="3"/>
  <c r="I6" i="7"/>
  <c r="G7" i="7"/>
  <c r="M22" i="7"/>
  <c r="M35" i="7" s="1"/>
  <c r="O15" i="7"/>
  <c r="M9" i="7"/>
  <c r="O8" i="7"/>
  <c r="G27" i="21"/>
  <c r="F26" i="21"/>
  <c r="AC211" i="24" l="1"/>
  <c r="AJ1045" i="3"/>
  <c r="I15" i="21" s="1"/>
  <c r="AJ1038" i="3"/>
  <c r="AD11" i="15"/>
  <c r="AD23" i="15" s="1"/>
  <c r="AD26" i="15" s="1"/>
  <c r="AD28" i="15" s="1"/>
  <c r="AI11" i="15"/>
  <c r="AI23" i="15" s="1"/>
  <c r="AI26" i="15" s="1"/>
  <c r="AI28" i="15" s="1"/>
  <c r="AC465" i="3"/>
  <c r="BE72" i="3"/>
  <c r="G166" i="21"/>
  <c r="G165" i="21"/>
  <c r="N181" i="24"/>
  <c r="N191" i="24"/>
  <c r="T833" i="20"/>
  <c r="AF833" i="20" s="1"/>
  <c r="BE76" i="3" s="1"/>
  <c r="BA1064" i="3"/>
  <c r="BA1068" i="3" s="1"/>
  <c r="S58" i="7"/>
  <c r="U53" i="7"/>
  <c r="AA1065" i="3"/>
  <c r="AF564" i="20"/>
  <c r="E107" i="13"/>
  <c r="AJ1054" i="3"/>
  <c r="AJ1058" i="3"/>
  <c r="AP563" i="20"/>
  <c r="K6" i="7"/>
  <c r="I7" i="7"/>
  <c r="G26" i="21"/>
  <c r="F29" i="21"/>
  <c r="G29" i="21"/>
  <c r="O22" i="7"/>
  <c r="O35" i="7" s="1"/>
  <c r="Q15" i="7"/>
  <c r="O9" i="7"/>
  <c r="Q8" i="7"/>
  <c r="T11" i="15" l="1"/>
  <c r="T23" i="15" s="1"/>
  <c r="Y11" i="15"/>
  <c r="Y23" i="15" s="1"/>
  <c r="Y26" i="15" s="1"/>
  <c r="Y28" i="15" s="1"/>
  <c r="AP566" i="20"/>
  <c r="U58" i="7"/>
  <c r="W53" i="7"/>
  <c r="AJ1062" i="3"/>
  <c r="AA1066" i="3" s="1"/>
  <c r="G1067" i="3" s="1"/>
  <c r="AP565" i="20"/>
  <c r="M6" i="7"/>
  <c r="K7"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M7" i="7"/>
  <c r="O6"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O7" i="7"/>
  <c r="Q6" i="7"/>
  <c r="U22" i="7"/>
  <c r="U35" i="7" s="1"/>
  <c r="W15" i="7"/>
  <c r="U9" i="7"/>
  <c r="W8" i="7"/>
  <c r="Y41" i="15" l="1"/>
  <c r="AB50" i="15" s="1"/>
  <c r="AC53" i="7"/>
  <c r="AA58" i="7"/>
  <c r="Q7" i="7"/>
  <c r="S6" i="7"/>
  <c r="W22" i="7"/>
  <c r="W35" i="7" s="1"/>
  <c r="Y15" i="7"/>
  <c r="W9" i="7"/>
  <c r="Y8" i="7"/>
  <c r="AE53" i="7" l="1"/>
  <c r="AC58" i="7"/>
  <c r="S7" i="7"/>
  <c r="U6" i="7"/>
  <c r="Y22" i="7"/>
  <c r="Y35" i="7" s="1"/>
  <c r="AA15" i="7"/>
  <c r="Y9" i="7"/>
  <c r="AA8" i="7"/>
  <c r="BE62" i="3" l="1"/>
  <c r="AB54" i="15"/>
  <c r="AB55" i="15" s="1"/>
  <c r="AB56" i="15" s="1"/>
  <c r="AG53" i="7"/>
  <c r="AE58" i="7"/>
  <c r="U7" i="7"/>
  <c r="W6" i="7"/>
  <c r="AC15" i="7"/>
  <c r="AA22" i="7"/>
  <c r="AA35" i="7" s="1"/>
  <c r="AC8" i="7"/>
  <c r="AA9" i="7"/>
  <c r="AG58" i="7" l="1"/>
  <c r="AI53" i="7"/>
  <c r="M26" i="3"/>
  <c r="AB57" i="15"/>
  <c r="AB59" i="15" s="1"/>
  <c r="AB72" i="15" s="1"/>
  <c r="Y6" i="7"/>
  <c r="W7" i="7"/>
  <c r="AE15" i="7"/>
  <c r="AC22" i="7"/>
  <c r="AC35" i="7" s="1"/>
  <c r="AC9" i="7"/>
  <c r="AE8" i="7"/>
  <c r="AK53" i="7" l="1"/>
  <c r="AI58" i="7"/>
  <c r="P204" i="3"/>
  <c r="BE19" i="3"/>
  <c r="Y7" i="7"/>
  <c r="AA6" i="7"/>
  <c r="AE22" i="7"/>
  <c r="AE35" i="7" s="1"/>
  <c r="AG15" i="7"/>
  <c r="AE9" i="7"/>
  <c r="AG8" i="7"/>
  <c r="AG9" i="7" l="1"/>
  <c r="AI8" i="7"/>
  <c r="AG22" i="7"/>
  <c r="AG35" i="7" s="1"/>
  <c r="AI15" i="7"/>
  <c r="AK58" i="7"/>
  <c r="AM53" i="7"/>
  <c r="AC6" i="7"/>
  <c r="AA7" i="7"/>
  <c r="AO53" i="7" l="1"/>
  <c r="AM58" i="7"/>
  <c r="AK15" i="7"/>
  <c r="AI22" i="7"/>
  <c r="AI35" i="7" s="1"/>
  <c r="AI9" i="7"/>
  <c r="AK8" i="7"/>
  <c r="AE6" i="7"/>
  <c r="AC7" i="7"/>
  <c r="AM8" i="7" l="1"/>
  <c r="AK9" i="7"/>
  <c r="AM15" i="7"/>
  <c r="AK22" i="7"/>
  <c r="AK35" i="7" s="1"/>
  <c r="AO58" i="7"/>
  <c r="AQ53" i="7"/>
  <c r="AE7" i="7"/>
  <c r="AG6" i="7"/>
  <c r="AI6" i="7" s="1"/>
  <c r="AK6" i="7" l="1"/>
  <c r="AI7" i="7"/>
  <c r="AQ58" i="7"/>
  <c r="AS53" i="7"/>
  <c r="AO15" i="7"/>
  <c r="AM22" i="7"/>
  <c r="AM35" i="7" s="1"/>
  <c r="AO8" i="7"/>
  <c r="AM9" i="7"/>
  <c r="AG7" i="7"/>
  <c r="AQ8" i="7" l="1"/>
  <c r="AO9" i="7"/>
  <c r="AO22" i="7"/>
  <c r="AO35" i="7" s="1"/>
  <c r="AQ15" i="7"/>
  <c r="AU53" i="7"/>
  <c r="AS58" i="7"/>
  <c r="AM6" i="7"/>
  <c r="AK7" i="7"/>
  <c r="BH761" i="3"/>
  <c r="AC761" i="3" s="1"/>
  <c r="AM7" i="7" l="1"/>
  <c r="AO6" i="7"/>
  <c r="AW53" i="7"/>
  <c r="AU58" i="7"/>
  <c r="AS15" i="7"/>
  <c r="AQ22" i="7"/>
  <c r="AQ35" i="7" s="1"/>
  <c r="AS8" i="7"/>
  <c r="AQ9" i="7"/>
  <c r="BE42" i="3"/>
  <c r="E92" i="20"/>
  <c r="E93" i="20" s="1"/>
  <c r="E94" i="20" s="1"/>
  <c r="E102" i="20"/>
  <c r="E105" i="20" s="1"/>
  <c r="AP105" i="20" s="1"/>
  <c r="AK108" i="20" s="1"/>
  <c r="T828" i="20" s="1"/>
  <c r="AF828" i="20" s="1"/>
  <c r="AS9" i="7" l="1"/>
  <c r="AU8" i="7"/>
  <c r="AU15" i="7"/>
  <c r="AS22" i="7"/>
  <c r="AS35" i="7" s="1"/>
  <c r="AO7" i="7"/>
  <c r="AQ6" i="7"/>
  <c r="AY53" i="7"/>
  <c r="AW58" i="7"/>
  <c r="BE73" i="3"/>
  <c r="H3" i="21"/>
  <c r="AS6" i="7" l="1"/>
  <c r="AQ7" i="7"/>
  <c r="BA53" i="7"/>
  <c r="AY58" i="7"/>
  <c r="AU22" i="7"/>
  <c r="AU35" i="7" s="1"/>
  <c r="AW15" i="7"/>
  <c r="AW8" i="7"/>
  <c r="AU9" i="7"/>
  <c r="AW22" i="7" l="1"/>
  <c r="AW35" i="7" s="1"/>
  <c r="AY15" i="7"/>
  <c r="BA58" i="7"/>
  <c r="BC53" i="7"/>
  <c r="AY8" i="7"/>
  <c r="AW9" i="7"/>
  <c r="AS7" i="7"/>
  <c r="AU6" i="7"/>
  <c r="O761" i="3"/>
  <c r="D40" i="8" s="1"/>
  <c r="FJ734" i="3"/>
  <c r="EH651" i="3" s="1"/>
  <c r="EH678" i="3" s="1"/>
  <c r="O129" i="20" s="1"/>
  <c r="O132" i="20" s="1"/>
  <c r="O135" i="20" s="1"/>
  <c r="E137" i="20" s="1"/>
  <c r="E138" i="20" s="1"/>
  <c r="AK142" i="20" s="1"/>
  <c r="T829" i="20" s="1"/>
  <c r="AF829" i="20" s="1"/>
  <c r="AQ119" i="20"/>
  <c r="X734" i="3"/>
  <c r="AH734" i="3" s="1"/>
  <c r="BU734" i="3" s="1"/>
  <c r="BU761" i="3" s="1"/>
  <c r="AH761" i="3" s="1"/>
  <c r="BE43" i="3" s="1"/>
  <c r="D12" i="8"/>
  <c r="AW6" i="7" l="1"/>
  <c r="AU7" i="7"/>
  <c r="BA15" i="7"/>
  <c r="AY22" i="7"/>
  <c r="AY35" i="7" s="1"/>
  <c r="AY9" i="7"/>
  <c r="BA8" i="7"/>
  <c r="BE53" i="7"/>
  <c r="BC58" i="7"/>
  <c r="FJ761" i="3"/>
  <c r="BE74" i="3"/>
  <c r="AF843" i="20"/>
  <c r="BE70" i="3" s="1"/>
  <c r="Y809" i="3"/>
  <c r="Y808" i="3"/>
  <c r="BE58" i="7" l="1"/>
  <c r="BG53" i="7"/>
  <c r="BA9" i="7"/>
  <c r="BC8" i="7"/>
  <c r="BA22" i="7"/>
  <c r="BA35" i="7" s="1"/>
  <c r="BC15" i="7"/>
  <c r="AY6" i="7"/>
  <c r="AW7" i="7"/>
  <c r="Z826" i="3"/>
  <c r="E4" i="7"/>
  <c r="AY7" i="7" l="1"/>
  <c r="BA6" i="7"/>
  <c r="BE15" i="7"/>
  <c r="BC22" i="7"/>
  <c r="BC35" i="7" s="1"/>
  <c r="BE8" i="7"/>
  <c r="BC9" i="7"/>
  <c r="BG58" i="7"/>
  <c r="BI53" i="7"/>
  <c r="G4" i="7"/>
  <c r="E5" i="7"/>
  <c r="E11" i="7" s="1"/>
  <c r="E37" i="7" s="1"/>
  <c r="BK53" i="7" l="1"/>
  <c r="BI58" i="7"/>
  <c r="BG8" i="7"/>
  <c r="BE9" i="7"/>
  <c r="BG15" i="7"/>
  <c r="BE22" i="7"/>
  <c r="BE35" i="7" s="1"/>
  <c r="BC6" i="7"/>
  <c r="BA7" i="7"/>
  <c r="E49" i="7"/>
  <c r="E45" i="7"/>
  <c r="I4" i="7"/>
  <c r="G5" i="7"/>
  <c r="G11" i="7" s="1"/>
  <c r="G37" i="7" s="1"/>
  <c r="BE6" i="7" l="1"/>
  <c r="BC7" i="7"/>
  <c r="BG22" i="7"/>
  <c r="BG35" i="7" s="1"/>
  <c r="BI15" i="7"/>
  <c r="BI8" i="7"/>
  <c r="BG9" i="7"/>
  <c r="BK58" i="7"/>
  <c r="G45" i="7"/>
  <c r="G49" i="7"/>
  <c r="I5" i="7"/>
  <c r="I11" i="7" s="1"/>
  <c r="I37" i="7" s="1"/>
  <c r="K4" i="7"/>
  <c r="E60" i="7"/>
  <c r="E47" i="7"/>
  <c r="E48" i="7"/>
  <c r="BK8" i="7" l="1"/>
  <c r="BI9" i="7"/>
  <c r="BK15" i="7"/>
  <c r="BI22" i="7"/>
  <c r="BI35" i="7" s="1"/>
  <c r="BG6" i="7"/>
  <c r="BE7" i="7"/>
  <c r="M4" i="7"/>
  <c r="K5" i="7"/>
  <c r="K11" i="7" s="1"/>
  <c r="K37" i="7" s="1"/>
  <c r="E62" i="7"/>
  <c r="E66" i="7" s="1"/>
  <c r="I49" i="7"/>
  <c r="I45" i="7"/>
  <c r="G60" i="7"/>
  <c r="G47" i="7"/>
  <c r="G48" i="7"/>
  <c r="G62" i="7" l="1"/>
  <c r="G66" i="7" s="1"/>
  <c r="E70" i="7"/>
  <c r="E72" i="7" s="1"/>
  <c r="BG7" i="7"/>
  <c r="BI6" i="7"/>
  <c r="BK22" i="7"/>
  <c r="BK35" i="7" s="1"/>
  <c r="BK9" i="7"/>
  <c r="K45" i="7"/>
  <c r="K49" i="7"/>
  <c r="I47" i="7"/>
  <c r="I48" i="7"/>
  <c r="I60" i="7"/>
  <c r="O4" i="7"/>
  <c r="M5" i="7"/>
  <c r="M11" i="7" s="1"/>
  <c r="M37" i="7" s="1"/>
  <c r="I62" i="7" l="1"/>
  <c r="I66" i="7" s="1"/>
  <c r="BK6" i="7"/>
  <c r="BI7" i="7"/>
  <c r="M45" i="7"/>
  <c r="M49" i="7"/>
  <c r="Q4" i="7"/>
  <c r="O5" i="7"/>
  <c r="O11" i="7" s="1"/>
  <c r="O37" i="7" s="1"/>
  <c r="G70" i="7"/>
  <c r="G72" i="7" s="1"/>
  <c r="K48" i="7"/>
  <c r="K47" i="7"/>
  <c r="K60" i="7"/>
  <c r="K62" i="7" l="1"/>
  <c r="K66" i="7" s="1"/>
  <c r="BK7" i="7"/>
  <c r="O45" i="7"/>
  <c r="O49" i="7"/>
  <c r="I70" i="7"/>
  <c r="I72" i="7" s="1"/>
  <c r="S4" i="7"/>
  <c r="Q5" i="7"/>
  <c r="Q11" i="7" s="1"/>
  <c r="Q37" i="7" s="1"/>
  <c r="M60" i="7"/>
  <c r="M47" i="7"/>
  <c r="M48" i="7"/>
  <c r="M62" i="7" l="1"/>
  <c r="M66" i="7" s="1"/>
  <c r="K70" i="7"/>
  <c r="K72" i="7" s="1"/>
  <c r="Q49" i="7"/>
  <c r="Q45" i="7"/>
  <c r="S5" i="7"/>
  <c r="S11" i="7" s="1"/>
  <c r="S37" i="7" s="1"/>
  <c r="U4" i="7"/>
  <c r="O48" i="7"/>
  <c r="O47" i="7"/>
  <c r="O60" i="7"/>
  <c r="O62" i="7" l="1"/>
  <c r="O66" i="7" s="1"/>
  <c r="M70" i="7"/>
  <c r="M72" i="7" s="1"/>
  <c r="S45" i="7"/>
  <c r="S49" i="7"/>
  <c r="W4" i="7"/>
  <c r="U5" i="7"/>
  <c r="U11" i="7" s="1"/>
  <c r="U37" i="7" s="1"/>
  <c r="Q60" i="7"/>
  <c r="Q47" i="7"/>
  <c r="Q48" i="7"/>
  <c r="Q62" i="7" l="1"/>
  <c r="Q66" i="7" s="1"/>
  <c r="Y4" i="7"/>
  <c r="W5" i="7"/>
  <c r="W11" i="7" s="1"/>
  <c r="W37" i="7" s="1"/>
  <c r="U45" i="7"/>
  <c r="U49" i="7"/>
  <c r="S60" i="7"/>
  <c r="S48" i="7"/>
  <c r="S47" i="7"/>
  <c r="O70" i="7"/>
  <c r="O72" i="7" s="1"/>
  <c r="S62" i="7" l="1"/>
  <c r="S66" i="7" s="1"/>
  <c r="S70" i="7" s="1"/>
  <c r="W49" i="7"/>
  <c r="W45" i="7"/>
  <c r="U60" i="7"/>
  <c r="U47" i="7"/>
  <c r="U48" i="7"/>
  <c r="Y5" i="7"/>
  <c r="Y11" i="7" s="1"/>
  <c r="Y37" i="7" s="1"/>
  <c r="AA4" i="7"/>
  <c r="Q70" i="7"/>
  <c r="Q72" i="7" s="1"/>
  <c r="U62" i="7" l="1"/>
  <c r="U66" i="7" s="1"/>
  <c r="S72" i="7"/>
  <c r="Y45" i="7"/>
  <c r="Y49" i="7"/>
  <c r="AA5" i="7"/>
  <c r="AA11" i="7" s="1"/>
  <c r="AA37" i="7" s="1"/>
  <c r="AC4" i="7"/>
  <c r="W47" i="7"/>
  <c r="W48" i="7"/>
  <c r="W60" i="7"/>
  <c r="W62" i="7" l="1"/>
  <c r="W66" i="7" s="1"/>
  <c r="U70" i="7"/>
  <c r="U72" i="7" s="1"/>
  <c r="AA45" i="7"/>
  <c r="AA49" i="7"/>
  <c r="AE4" i="7"/>
  <c r="AC5" i="7"/>
  <c r="AC11" i="7" s="1"/>
  <c r="AC37" i="7" s="1"/>
  <c r="Y48" i="7"/>
  <c r="Y47" i="7"/>
  <c r="Y60" i="7"/>
  <c r="Y62" i="7" l="1"/>
  <c r="Y66" i="7" s="1"/>
  <c r="AC49" i="7"/>
  <c r="AC45" i="7"/>
  <c r="AG4" i="7"/>
  <c r="AI4" i="7" s="1"/>
  <c r="AE5" i="7"/>
  <c r="AE11" i="7" s="1"/>
  <c r="AE37" i="7" s="1"/>
  <c r="W70" i="7"/>
  <c r="W72" i="7" s="1"/>
  <c r="AA60" i="7"/>
  <c r="AA48" i="7"/>
  <c r="AA47" i="7"/>
  <c r="AA62" i="7" l="1"/>
  <c r="AA66" i="7" s="1"/>
  <c r="AK4" i="7"/>
  <c r="AI5" i="7"/>
  <c r="AI11" i="7" s="1"/>
  <c r="AI37" i="7" s="1"/>
  <c r="AE45" i="7"/>
  <c r="AE49" i="7"/>
  <c r="AG5" i="7"/>
  <c r="AG11" i="7" s="1"/>
  <c r="AG37" i="7" s="1"/>
  <c r="Y70" i="7"/>
  <c r="Y72" i="7" s="1"/>
  <c r="AC60" i="7"/>
  <c r="AC47" i="7"/>
  <c r="AC48" i="7"/>
  <c r="AC62" i="7" l="1"/>
  <c r="AC66" i="7" s="1"/>
  <c r="AI49" i="7"/>
  <c r="AI45" i="7"/>
  <c r="AA70" i="7"/>
  <c r="AA72" i="7" s="1"/>
  <c r="AK5" i="7"/>
  <c r="AK11" i="7" s="1"/>
  <c r="AK37" i="7" s="1"/>
  <c r="AM4" i="7"/>
  <c r="AG45" i="7"/>
  <c r="AG49" i="7"/>
  <c r="AE47" i="7"/>
  <c r="AE48" i="7"/>
  <c r="AE60" i="7"/>
  <c r="AE62" i="7" l="1"/>
  <c r="AE66" i="7" s="1"/>
  <c r="AC70" i="7"/>
  <c r="AC72" i="7" s="1"/>
  <c r="AK49" i="7"/>
  <c r="AK45" i="7"/>
  <c r="AM5" i="7"/>
  <c r="AM11" i="7" s="1"/>
  <c r="AM37" i="7" s="1"/>
  <c r="AO4" i="7"/>
  <c r="AI48" i="7"/>
  <c r="AI47" i="7"/>
  <c r="AI60" i="7"/>
  <c r="AG47" i="7"/>
  <c r="AG60" i="7"/>
  <c r="AG48" i="7"/>
  <c r="AG62" i="7" l="1"/>
  <c r="AG66" i="7" s="1"/>
  <c r="AO5" i="7"/>
  <c r="AO11" i="7" s="1"/>
  <c r="AO37" i="7" s="1"/>
  <c r="AQ4" i="7"/>
  <c r="AK48" i="7"/>
  <c r="AK47" i="7"/>
  <c r="AK60" i="7"/>
  <c r="AM49" i="7"/>
  <c r="AM45" i="7"/>
  <c r="AE70" i="7"/>
  <c r="AE72" i="7" s="1"/>
  <c r="AI62" i="7" l="1"/>
  <c r="AI66" i="7" s="1"/>
  <c r="AI70" i="7" s="1"/>
  <c r="AI72" i="7" s="1"/>
  <c r="AO45" i="7"/>
  <c r="AO49" i="7"/>
  <c r="AQ5" i="7"/>
  <c r="AQ11" i="7" s="1"/>
  <c r="AQ37" i="7" s="1"/>
  <c r="AS4" i="7"/>
  <c r="AM47" i="7"/>
  <c r="AM60" i="7"/>
  <c r="AM48" i="7"/>
  <c r="AG70" i="7"/>
  <c r="AG72" i="7" s="1"/>
  <c r="AK62" i="7" l="1"/>
  <c r="AK66" i="7" s="1"/>
  <c r="AK70" i="7" s="1"/>
  <c r="AK72" i="7" s="1"/>
  <c r="AU4" i="7"/>
  <c r="AS5" i="7"/>
  <c r="AS11" i="7" s="1"/>
  <c r="AS37" i="7" s="1"/>
  <c r="AQ45" i="7"/>
  <c r="AQ49" i="7"/>
  <c r="AO60" i="7"/>
  <c r="AO47" i="7"/>
  <c r="AO48" i="7"/>
  <c r="AM62" i="7" l="1"/>
  <c r="AM66" i="7" s="1"/>
  <c r="AM70" i="7" s="1"/>
  <c r="AM72" i="7" s="1"/>
  <c r="AQ48" i="7"/>
  <c r="AQ47" i="7"/>
  <c r="AQ60" i="7"/>
  <c r="AS49" i="7"/>
  <c r="AS45" i="7"/>
  <c r="AU5" i="7"/>
  <c r="AU11" i="7" s="1"/>
  <c r="AU37" i="7" s="1"/>
  <c r="AW4" i="7"/>
  <c r="AO62" i="7" l="1"/>
  <c r="AO66" i="7" s="1"/>
  <c r="AO70" i="7" s="1"/>
  <c r="AO72" i="7" s="1"/>
  <c r="AU49" i="7"/>
  <c r="AU45" i="7"/>
  <c r="AW5" i="7"/>
  <c r="AY4" i="7"/>
  <c r="AW11" i="7"/>
  <c r="AW37" i="7" s="1"/>
  <c r="AS48" i="7"/>
  <c r="AS60" i="7"/>
  <c r="AS47" i="7"/>
  <c r="AQ62" i="7" l="1"/>
  <c r="AQ66" i="7" s="1"/>
  <c r="AQ70" i="7" s="1"/>
  <c r="AQ72" i="7" s="1"/>
  <c r="AW45" i="7"/>
  <c r="AW49" i="7"/>
  <c r="AU48" i="7"/>
  <c r="AU60" i="7"/>
  <c r="AU47" i="7"/>
  <c r="AY5" i="7"/>
  <c r="AY11" i="7" s="1"/>
  <c r="AY37" i="7" s="1"/>
  <c r="BA4" i="7"/>
  <c r="AS62" i="7" l="1"/>
  <c r="AS66" i="7" s="1"/>
  <c r="AS70" i="7" s="1"/>
  <c r="AS72" i="7" s="1"/>
  <c r="AY45" i="7"/>
  <c r="AY49" i="7"/>
  <c r="AW60" i="7"/>
  <c r="AW47" i="7"/>
  <c r="AW48" i="7"/>
  <c r="BA5" i="7"/>
  <c r="BA11" i="7" s="1"/>
  <c r="BA37" i="7" s="1"/>
  <c r="BC4" i="7"/>
  <c r="AU62" i="7" l="1"/>
  <c r="AU66" i="7" s="1"/>
  <c r="AU70" i="7" s="1"/>
  <c r="AU72" i="7" s="1"/>
  <c r="BA49" i="7"/>
  <c r="BA45" i="7"/>
  <c r="BC5" i="7"/>
  <c r="BC11" i="7" s="1"/>
  <c r="BC37" i="7" s="1"/>
  <c r="BE4" i="7"/>
  <c r="AY60" i="7"/>
  <c r="AY47" i="7"/>
  <c r="AY48" i="7"/>
  <c r="AW62" i="7" l="1"/>
  <c r="AW66" i="7" s="1"/>
  <c r="AW70" i="7" s="1"/>
  <c r="AW72" i="7" s="1"/>
  <c r="BC45" i="7"/>
  <c r="BC49" i="7"/>
  <c r="BG4" i="7"/>
  <c r="BE5" i="7"/>
  <c r="BE11" i="7" s="1"/>
  <c r="BE37" i="7" s="1"/>
  <c r="BA47" i="7"/>
  <c r="BA60" i="7"/>
  <c r="BA48" i="7"/>
  <c r="AY62" i="7" l="1"/>
  <c r="AY66" i="7" s="1"/>
  <c r="AY70" i="7" s="1"/>
  <c r="AY72" i="7" s="1"/>
  <c r="BE45" i="7"/>
  <c r="BE49" i="7"/>
  <c r="BG5" i="7"/>
  <c r="BG11" i="7" s="1"/>
  <c r="BG37" i="7" s="1"/>
  <c r="BI4" i="7"/>
  <c r="BC48" i="7"/>
  <c r="BC47" i="7"/>
  <c r="BC60" i="7"/>
  <c r="BA62" i="7" l="1"/>
  <c r="BA66" i="7" s="1"/>
  <c r="BA70" i="7" s="1"/>
  <c r="BA72" i="7" s="1"/>
  <c r="BG45" i="7"/>
  <c r="BG49" i="7"/>
  <c r="BI5" i="7"/>
  <c r="BI11" i="7" s="1"/>
  <c r="BI37" i="7" s="1"/>
  <c r="BK4" i="7"/>
  <c r="BE48" i="7"/>
  <c r="BE60" i="7"/>
  <c r="BE47" i="7"/>
  <c r="BC62" i="7" l="1"/>
  <c r="BC66" i="7" s="1"/>
  <c r="BC70" i="7" s="1"/>
  <c r="BC72" i="7" s="1"/>
  <c r="BK5" i="7"/>
  <c r="BK11" i="7" s="1"/>
  <c r="BK37" i="7" s="1"/>
  <c r="BI49" i="7"/>
  <c r="BI45" i="7"/>
  <c r="BG48" i="7"/>
  <c r="BG60" i="7"/>
  <c r="BG47" i="7"/>
  <c r="BE62" i="7" l="1"/>
  <c r="BE66" i="7" s="1"/>
  <c r="BE70" i="7" s="1"/>
  <c r="BE72" i="7" s="1"/>
  <c r="BI60" i="7"/>
  <c r="BI48" i="7"/>
  <c r="BI47" i="7"/>
  <c r="BK45" i="7"/>
  <c r="BK49" i="7"/>
  <c r="BG62" i="7" l="1"/>
  <c r="BG66" i="7" s="1"/>
  <c r="BG70" i="7" s="1"/>
  <c r="BG72" i="7" s="1"/>
  <c r="BK47" i="7"/>
  <c r="BK60" i="7"/>
  <c r="BK48" i="7"/>
  <c r="BI62" i="7" l="1"/>
  <c r="BI66" i="7" s="1"/>
  <c r="BI70" i="7" s="1"/>
  <c r="BI72" i="7" s="1"/>
  <c r="BK62" i="7" l="1"/>
  <c r="BK66" i="7" s="1"/>
  <c r="BM66" i="7" s="1"/>
  <c r="BO66" i="7" s="1"/>
  <c r="BQ66" i="7" s="1"/>
  <c r="BS66" i="7" s="1"/>
  <c r="BU66" i="7" s="1"/>
  <c r="BW66" i="7" s="1"/>
  <c r="BY66" i="7" s="1"/>
  <c r="CA66" i="7" s="1"/>
  <c r="CC66" i="7" s="1"/>
  <c r="CE66" i="7" s="1"/>
  <c r="CG66" i="7" s="1"/>
  <c r="CI66" i="7" s="1"/>
  <c r="CK66" i="7" s="1"/>
  <c r="CM66" i="7" s="1"/>
  <c r="CO66" i="7" s="1"/>
  <c r="CQ66" i="7" s="1"/>
  <c r="CS66" i="7" s="1"/>
  <c r="CU66" i="7" s="1"/>
  <c r="CW66" i="7" s="1"/>
  <c r="CY66" i="7" s="1"/>
  <c r="DA66" i="7" s="1"/>
  <c r="DC66" i="7" s="1"/>
  <c r="DE66" i="7" s="1"/>
  <c r="DG66" i="7" s="1"/>
  <c r="DI66" i="7" s="1"/>
  <c r="DK66" i="7" s="1"/>
  <c r="DM66" i="7" s="1"/>
  <c r="DO66" i="7" s="1"/>
  <c r="DQ66" i="7" s="1"/>
  <c r="DS66" i="7" s="1"/>
  <c r="DU66" i="7" s="1"/>
  <c r="DW66" i="7" s="1"/>
  <c r="DY66" i="7" s="1"/>
  <c r="EA66" i="7" s="1"/>
  <c r="EC66" i="7" s="1"/>
  <c r="EE66" i="7" s="1"/>
  <c r="EG66" i="7" s="1"/>
  <c r="EI66" i="7" s="1"/>
  <c r="EK66" i="7" s="1"/>
  <c r="EM66" i="7" s="1"/>
  <c r="EO66" i="7" s="1"/>
  <c r="EQ66" i="7" s="1"/>
  <c r="ES66" i="7" s="1"/>
  <c r="EU66" i="7" s="1"/>
  <c r="EW66" i="7" s="1"/>
  <c r="EY66" i="7" s="1"/>
  <c r="FA66" i="7" s="1"/>
  <c r="FC66" i="7" s="1"/>
  <c r="FE66" i="7" s="1"/>
  <c r="FG66" i="7" s="1"/>
  <c r="FI66" i="7" s="1"/>
  <c r="FK66" i="7" s="1"/>
  <c r="FM66" i="7" s="1"/>
  <c r="FO66" i="7" s="1"/>
  <c r="FQ66" i="7" s="1"/>
  <c r="FS66" i="7" s="1"/>
  <c r="FU66" i="7" s="1"/>
  <c r="FW66" i="7" s="1"/>
  <c r="FY66" i="7" s="1"/>
  <c r="GA66" i="7" s="1"/>
  <c r="GC66" i="7" s="1"/>
  <c r="GE66" i="7" s="1"/>
  <c r="GG66" i="7" s="1"/>
  <c r="GI66" i="7" s="1"/>
  <c r="GK66" i="7" s="1"/>
  <c r="GM66" i="7" s="1"/>
  <c r="GO66" i="7" s="1"/>
  <c r="GQ66" i="7" s="1"/>
  <c r="GS66" i="7" s="1"/>
  <c r="GU66" i="7" s="1"/>
  <c r="GW66" i="7" s="1"/>
  <c r="GY66" i="7" s="1"/>
  <c r="HA66" i="7" s="1"/>
  <c r="HC66" i="7" s="1"/>
  <c r="HE66" i="7" s="1"/>
  <c r="HG66" i="7" s="1"/>
  <c r="HI66" i="7" s="1"/>
  <c r="HK66" i="7" s="1"/>
  <c r="HM66" i="7" s="1"/>
  <c r="HO66" i="7" s="1"/>
  <c r="HQ66" i="7" s="1"/>
  <c r="HS66" i="7" s="1"/>
  <c r="HU66" i="7" s="1"/>
  <c r="HW66" i="7" s="1"/>
  <c r="HY66" i="7" s="1"/>
  <c r="IA66" i="7" s="1"/>
  <c r="IC66" i="7" s="1"/>
  <c r="IE66" i="7" s="1"/>
  <c r="IG66" i="7" s="1"/>
  <c r="II66" i="7" s="1"/>
  <c r="IK66" i="7" s="1"/>
  <c r="IM66" i="7" s="1"/>
  <c r="IO66" i="7" s="1"/>
  <c r="IQ66" i="7" s="1"/>
  <c r="IS66" i="7" s="1"/>
  <c r="IU66" i="7" s="1"/>
  <c r="IW66" i="7" s="1"/>
  <c r="IY66" i="7" s="1"/>
  <c r="JA66" i="7" s="1"/>
  <c r="JC66" i="7" s="1"/>
  <c r="JE66" i="7" s="1"/>
  <c r="JG66" i="7" s="1"/>
  <c r="JI66" i="7" s="1"/>
  <c r="JK66" i="7" s="1"/>
  <c r="JM66" i="7" s="1"/>
  <c r="JO66" i="7" s="1"/>
  <c r="JQ66" i="7" s="1"/>
  <c r="JS66" i="7" s="1"/>
  <c r="JU66" i="7" s="1"/>
  <c r="JW66" i="7" s="1"/>
  <c r="JY66" i="7" s="1"/>
  <c r="KA66" i="7" s="1"/>
  <c r="KC66" i="7" s="1"/>
  <c r="KE66" i="7" s="1"/>
  <c r="KG66" i="7" s="1"/>
  <c r="KI66" i="7" s="1"/>
  <c r="KK66" i="7" s="1"/>
  <c r="KM66" i="7" s="1"/>
  <c r="KO66" i="7" s="1"/>
  <c r="KQ66" i="7" s="1"/>
  <c r="KS66" i="7" s="1"/>
  <c r="KU66" i="7" s="1"/>
  <c r="KW66" i="7" s="1"/>
  <c r="KY66" i="7" s="1"/>
  <c r="LA66" i="7" s="1"/>
  <c r="LC66" i="7" s="1"/>
  <c r="LE66" i="7" s="1"/>
  <c r="LG66" i="7" s="1"/>
  <c r="LI66" i="7" s="1"/>
  <c r="LK66" i="7" s="1"/>
  <c r="LM66" i="7" s="1"/>
  <c r="LO66" i="7" s="1"/>
  <c r="LQ66" i="7" s="1"/>
  <c r="LS66" i="7" s="1"/>
  <c r="LU66" i="7" s="1"/>
  <c r="LW66" i="7" s="1"/>
  <c r="LY66" i="7" s="1"/>
  <c r="MA66" i="7" s="1"/>
  <c r="MC66" i="7" s="1"/>
  <c r="ME66" i="7" s="1"/>
  <c r="MG66" i="7" s="1"/>
  <c r="MI66" i="7" s="1"/>
  <c r="MK66" i="7" s="1"/>
  <c r="MM66" i="7" s="1"/>
  <c r="MO66" i="7" s="1"/>
  <c r="MQ66" i="7" s="1"/>
  <c r="MS66" i="7" s="1"/>
  <c r="MU66" i="7" s="1"/>
  <c r="MW66" i="7" s="1"/>
  <c r="MY66" i="7" s="1"/>
  <c r="NA66" i="7" s="1"/>
  <c r="NC66" i="7" s="1"/>
  <c r="NE66" i="7" s="1"/>
  <c r="NG66" i="7" s="1"/>
  <c r="NI66" i="7" s="1"/>
  <c r="NK66" i="7" s="1"/>
  <c r="NM66" i="7" s="1"/>
  <c r="NO66" i="7" s="1"/>
  <c r="NQ66" i="7" s="1"/>
  <c r="NS66" i="7" s="1"/>
  <c r="NU66" i="7" s="1"/>
  <c r="NW66" i="7" s="1"/>
  <c r="NY66" i="7" s="1"/>
  <c r="OA66" i="7" s="1"/>
  <c r="OC66" i="7" s="1"/>
  <c r="OE66" i="7" s="1"/>
  <c r="OG66" i="7" s="1"/>
  <c r="OI66" i="7" s="1"/>
  <c r="OK66" i="7" s="1"/>
  <c r="OM66" i="7" s="1"/>
  <c r="OO66" i="7" s="1"/>
  <c r="OQ66" i="7" s="1"/>
  <c r="OS66" i="7" s="1"/>
  <c r="OU66" i="7" s="1"/>
  <c r="OW66" i="7" s="1"/>
  <c r="OY66" i="7" s="1"/>
  <c r="PA66" i="7" s="1"/>
  <c r="PC66" i="7" s="1"/>
  <c r="PE66" i="7" s="1"/>
  <c r="PG66" i="7" s="1"/>
  <c r="PI66" i="7" s="1"/>
  <c r="PK66" i="7" s="1"/>
  <c r="PM66" i="7" s="1"/>
  <c r="PO66" i="7" s="1"/>
  <c r="PQ66" i="7" s="1"/>
  <c r="PS66" i="7" s="1"/>
  <c r="PU66" i="7" s="1"/>
  <c r="PW66" i="7" s="1"/>
  <c r="PY66" i="7" s="1"/>
  <c r="QA66" i="7" s="1"/>
  <c r="QC66" i="7" s="1"/>
  <c r="QE66" i="7" s="1"/>
  <c r="QG66" i="7" s="1"/>
  <c r="QI66" i="7" s="1"/>
  <c r="QK66" i="7" s="1"/>
  <c r="QM66" i="7" s="1"/>
  <c r="QO66" i="7" s="1"/>
  <c r="QQ66" i="7" s="1"/>
  <c r="QS66" i="7" s="1"/>
  <c r="QU66" i="7" s="1"/>
  <c r="QW66" i="7" s="1"/>
  <c r="QY66" i="7" s="1"/>
  <c r="RA66" i="7" s="1"/>
  <c r="RC66" i="7" s="1"/>
  <c r="RE66" i="7" s="1"/>
  <c r="RG66" i="7" s="1"/>
  <c r="RI66" i="7" s="1"/>
  <c r="RK66" i="7" s="1"/>
  <c r="RM66" i="7" s="1"/>
  <c r="RO66" i="7" s="1"/>
  <c r="RQ66" i="7" s="1"/>
  <c r="RS66" i="7" s="1"/>
  <c r="RU66" i="7" s="1"/>
  <c r="RW66" i="7" s="1"/>
  <c r="RY66" i="7" s="1"/>
  <c r="SA66" i="7" s="1"/>
  <c r="SC66" i="7" s="1"/>
  <c r="SE66" i="7" s="1"/>
  <c r="SG66" i="7" s="1"/>
  <c r="SI66" i="7" s="1"/>
  <c r="SK66" i="7" s="1"/>
  <c r="SM66" i="7" s="1"/>
  <c r="SO66" i="7" s="1"/>
  <c r="SQ66" i="7" s="1"/>
  <c r="SS66" i="7" s="1"/>
  <c r="SU66" i="7" s="1"/>
  <c r="SW66" i="7" s="1"/>
  <c r="SY66" i="7" s="1"/>
  <c r="TA66" i="7" s="1"/>
  <c r="TC66" i="7" s="1"/>
  <c r="TE66" i="7" s="1"/>
  <c r="TG66" i="7" s="1"/>
  <c r="TI66" i="7" s="1"/>
  <c r="TK66" i="7" s="1"/>
  <c r="TM66" i="7" s="1"/>
  <c r="TO66" i="7" s="1"/>
  <c r="TQ66" i="7" s="1"/>
  <c r="TS66" i="7" s="1"/>
  <c r="TU66" i="7" s="1"/>
  <c r="TW66" i="7" s="1"/>
  <c r="TY66" i="7" s="1"/>
  <c r="UA66" i="7" s="1"/>
  <c r="UC66" i="7" s="1"/>
  <c r="UE66" i="7" s="1"/>
  <c r="UG66" i="7" s="1"/>
  <c r="UI66" i="7" s="1"/>
  <c r="UK66" i="7" s="1"/>
  <c r="UM66" i="7" s="1"/>
  <c r="UO66" i="7" s="1"/>
  <c r="UQ66" i="7" s="1"/>
  <c r="US66" i="7" s="1"/>
  <c r="UU66" i="7" s="1"/>
  <c r="UW66" i="7" s="1"/>
  <c r="UY66" i="7" s="1"/>
  <c r="VA66" i="7" s="1"/>
  <c r="VC66" i="7" s="1"/>
  <c r="VE66" i="7" s="1"/>
  <c r="VG66" i="7" s="1"/>
  <c r="VI66" i="7" s="1"/>
  <c r="VK66" i="7" s="1"/>
  <c r="VM66" i="7" s="1"/>
  <c r="VO66" i="7" s="1"/>
  <c r="VQ66" i="7" s="1"/>
  <c r="VS66" i="7" s="1"/>
  <c r="VU66" i="7" s="1"/>
  <c r="VW66" i="7" s="1"/>
  <c r="VY66" i="7" s="1"/>
  <c r="WA66" i="7" s="1"/>
  <c r="WC66" i="7" s="1"/>
  <c r="WE66" i="7" s="1"/>
  <c r="WG66" i="7" s="1"/>
  <c r="WI66" i="7" s="1"/>
  <c r="WK66" i="7" s="1"/>
  <c r="WM66" i="7" s="1"/>
  <c r="WO66" i="7" s="1"/>
  <c r="WQ66" i="7" s="1"/>
  <c r="WS66" i="7" s="1"/>
  <c r="WU66" i="7" s="1"/>
  <c r="WW66" i="7" s="1"/>
  <c r="WY66" i="7" s="1"/>
  <c r="XA66" i="7" s="1"/>
  <c r="XC66" i="7" s="1"/>
  <c r="XE66" i="7" s="1"/>
  <c r="XG66" i="7" s="1"/>
  <c r="XI66" i="7" s="1"/>
  <c r="XK66" i="7" s="1"/>
  <c r="XM66" i="7" s="1"/>
  <c r="XO66" i="7" s="1"/>
  <c r="XQ66" i="7" s="1"/>
  <c r="XS66" i="7" s="1"/>
  <c r="XU66" i="7" s="1"/>
  <c r="XW66" i="7" s="1"/>
  <c r="XY66" i="7" s="1"/>
  <c r="YA66" i="7" s="1"/>
  <c r="YC66" i="7" s="1"/>
  <c r="YE66" i="7" s="1"/>
  <c r="YG66" i="7" s="1"/>
  <c r="YI66" i="7" s="1"/>
  <c r="YK66" i="7" s="1"/>
  <c r="YM66" i="7" s="1"/>
  <c r="YO66" i="7" s="1"/>
  <c r="YQ66" i="7" s="1"/>
  <c r="YS66" i="7" s="1"/>
  <c r="YU66" i="7" s="1"/>
  <c r="YW66" i="7" s="1"/>
  <c r="YY66" i="7" s="1"/>
  <c r="ZA66" i="7" s="1"/>
  <c r="ZC66" i="7" s="1"/>
  <c r="ZE66" i="7" s="1"/>
  <c r="ZG66" i="7" s="1"/>
  <c r="ZI66" i="7" s="1"/>
  <c r="ZK66" i="7" s="1"/>
  <c r="ZM66" i="7" s="1"/>
  <c r="ZO66" i="7" s="1"/>
  <c r="ZQ66" i="7" s="1"/>
  <c r="ZS66" i="7" s="1"/>
  <c r="ZU66" i="7" s="1"/>
  <c r="ZW66" i="7" s="1"/>
  <c r="ZY66" i="7" s="1"/>
  <c r="AAA66" i="7" s="1"/>
  <c r="AAC66" i="7" s="1"/>
  <c r="AAE66" i="7" s="1"/>
  <c r="AAG66" i="7" s="1"/>
  <c r="AAI66" i="7" s="1"/>
  <c r="AAK66" i="7" s="1"/>
  <c r="AAM66" i="7" s="1"/>
  <c r="AAO66" i="7" s="1"/>
  <c r="AAQ66" i="7" s="1"/>
  <c r="AAS66" i="7" s="1"/>
  <c r="AAU66" i="7" s="1"/>
  <c r="AAW66" i="7" s="1"/>
  <c r="AAY66" i="7" s="1"/>
  <c r="ABA66" i="7" s="1"/>
  <c r="ABC66" i="7" s="1"/>
  <c r="ABE66" i="7" s="1"/>
  <c r="ABG66" i="7" s="1"/>
  <c r="ABI66" i="7" s="1"/>
  <c r="ABK66" i="7" s="1"/>
  <c r="ABM66" i="7" s="1"/>
  <c r="ABO66" i="7" s="1"/>
  <c r="ABQ66" i="7" s="1"/>
  <c r="ABS66" i="7" s="1"/>
  <c r="ABU66" i="7" s="1"/>
  <c r="ABW66" i="7" s="1"/>
  <c r="ABY66" i="7" s="1"/>
  <c r="ACA66" i="7" s="1"/>
  <c r="ACC66" i="7" s="1"/>
  <c r="ACE66" i="7" s="1"/>
  <c r="ACG66" i="7" s="1"/>
  <c r="ACI66" i="7" s="1"/>
  <c r="ACK66" i="7" s="1"/>
  <c r="ACM66" i="7" s="1"/>
  <c r="ACO66" i="7" s="1"/>
  <c r="ACQ66" i="7" s="1"/>
  <c r="ACS66" i="7" s="1"/>
  <c r="ACU66" i="7" s="1"/>
  <c r="ACW66" i="7" s="1"/>
  <c r="ACY66" i="7" s="1"/>
  <c r="ADA66" i="7" s="1"/>
  <c r="ADC66" i="7" s="1"/>
  <c r="ADE66" i="7" s="1"/>
  <c r="ADG66" i="7" s="1"/>
  <c r="ADI66" i="7" s="1"/>
  <c r="ADK66" i="7" s="1"/>
  <c r="ADM66" i="7" s="1"/>
  <c r="ADO66" i="7" s="1"/>
  <c r="ADQ66" i="7" s="1"/>
  <c r="ADS66" i="7" s="1"/>
  <c r="ADU66" i="7" s="1"/>
  <c r="ADW66" i="7" s="1"/>
  <c r="ADY66" i="7" s="1"/>
  <c r="AEA66" i="7" s="1"/>
  <c r="AEC66" i="7" s="1"/>
  <c r="AEE66" i="7" s="1"/>
  <c r="AEG66" i="7" s="1"/>
  <c r="AEI66" i="7" s="1"/>
  <c r="AEK66" i="7" s="1"/>
  <c r="AEM66" i="7" s="1"/>
  <c r="AEO66" i="7" s="1"/>
  <c r="AEQ66" i="7" s="1"/>
  <c r="AES66" i="7" s="1"/>
  <c r="AEU66" i="7" s="1"/>
  <c r="AEW66" i="7" s="1"/>
  <c r="AEY66" i="7" s="1"/>
  <c r="AFA66" i="7" s="1"/>
  <c r="AFC66" i="7" s="1"/>
  <c r="AFE66" i="7" s="1"/>
  <c r="AFG66" i="7" s="1"/>
  <c r="AFI66" i="7" s="1"/>
  <c r="AFK66" i="7" s="1"/>
  <c r="AFM66" i="7" s="1"/>
  <c r="AFO66" i="7" s="1"/>
  <c r="AFQ66" i="7" s="1"/>
  <c r="AFS66" i="7" s="1"/>
  <c r="AFU66" i="7" s="1"/>
  <c r="AFW66" i="7" s="1"/>
  <c r="AFY66" i="7" s="1"/>
  <c r="AGA66" i="7" s="1"/>
  <c r="AGC66" i="7" s="1"/>
  <c r="AGE66" i="7" s="1"/>
  <c r="AGG66" i="7" s="1"/>
  <c r="AGI66" i="7" s="1"/>
  <c r="AGK66" i="7" s="1"/>
  <c r="AGM66" i="7" s="1"/>
  <c r="AGO66" i="7" s="1"/>
  <c r="AGQ66" i="7" s="1"/>
  <c r="AGS66" i="7" s="1"/>
  <c r="AGU66" i="7" s="1"/>
  <c r="AGW66" i="7" s="1"/>
  <c r="AGY66" i="7" s="1"/>
  <c r="AHA66" i="7" s="1"/>
  <c r="AHC66" i="7" s="1"/>
  <c r="AHE66" i="7" s="1"/>
  <c r="AHG66" i="7" s="1"/>
  <c r="AHI66" i="7" s="1"/>
  <c r="AHK66" i="7" s="1"/>
  <c r="AHM66" i="7" s="1"/>
  <c r="AHO66" i="7" s="1"/>
  <c r="AHQ66" i="7" s="1"/>
  <c r="AHS66" i="7" s="1"/>
  <c r="AHU66" i="7" s="1"/>
  <c r="AHW66" i="7" s="1"/>
  <c r="AHY66" i="7" s="1"/>
  <c r="AIA66" i="7" s="1"/>
  <c r="AIC66" i="7" s="1"/>
  <c r="AIE66" i="7" s="1"/>
  <c r="AIG66" i="7" s="1"/>
  <c r="AII66" i="7" s="1"/>
  <c r="AIK66" i="7" s="1"/>
  <c r="AIM66" i="7" s="1"/>
  <c r="AIO66" i="7" s="1"/>
  <c r="AIQ66" i="7" s="1"/>
  <c r="AIS66" i="7" s="1"/>
  <c r="AIU66" i="7" s="1"/>
  <c r="AIW66" i="7" s="1"/>
  <c r="AIY66" i="7" s="1"/>
  <c r="AJA66" i="7" s="1"/>
  <c r="AJC66" i="7" s="1"/>
  <c r="AJE66" i="7" s="1"/>
  <c r="AJG66" i="7" s="1"/>
  <c r="AJI66" i="7" s="1"/>
  <c r="AJK66" i="7" s="1"/>
  <c r="AJM66" i="7" s="1"/>
  <c r="AJO66" i="7" s="1"/>
  <c r="AJQ66" i="7" s="1"/>
  <c r="AJS66" i="7" s="1"/>
  <c r="AJU66" i="7" s="1"/>
  <c r="AJW66" i="7" s="1"/>
  <c r="AJY66" i="7" s="1"/>
  <c r="AKA66" i="7" s="1"/>
  <c r="AKC66" i="7" s="1"/>
  <c r="AKE66" i="7" s="1"/>
  <c r="AKG66" i="7" s="1"/>
  <c r="AKI66" i="7" s="1"/>
  <c r="AKK66" i="7" s="1"/>
  <c r="AKM66" i="7" s="1"/>
  <c r="AKO66" i="7" s="1"/>
  <c r="AKQ66" i="7" s="1"/>
  <c r="AKS66" i="7" s="1"/>
  <c r="AKU66" i="7" s="1"/>
  <c r="AKW66" i="7" s="1"/>
  <c r="AKY66" i="7" s="1"/>
  <c r="ALA66" i="7" s="1"/>
  <c r="ALC66" i="7" s="1"/>
  <c r="ALE66" i="7" s="1"/>
  <c r="ALG66" i="7" s="1"/>
  <c r="ALI66" i="7" s="1"/>
  <c r="ALK66" i="7" s="1"/>
  <c r="ALM66" i="7" s="1"/>
  <c r="ALO66" i="7" s="1"/>
  <c r="ALQ66" i="7" s="1"/>
  <c r="ALS66" i="7" s="1"/>
  <c r="ALU66" i="7" s="1"/>
  <c r="ALW66" i="7" s="1"/>
  <c r="ALY66" i="7" s="1"/>
  <c r="AMA66" i="7" s="1"/>
  <c r="AMC66" i="7" s="1"/>
  <c r="AME66" i="7" s="1"/>
  <c r="AMG66" i="7" s="1"/>
  <c r="AMI66" i="7" s="1"/>
  <c r="AMK66" i="7" s="1"/>
  <c r="AMM66" i="7" s="1"/>
  <c r="AMO66" i="7" s="1"/>
  <c r="AMQ66" i="7" s="1"/>
  <c r="AMS66" i="7" s="1"/>
  <c r="AMU66" i="7" s="1"/>
  <c r="AMW66" i="7" s="1"/>
  <c r="AMY66" i="7" s="1"/>
  <c r="ANA66" i="7" s="1"/>
  <c r="ANC66" i="7" s="1"/>
  <c r="ANE66" i="7" s="1"/>
  <c r="ANG66" i="7" s="1"/>
  <c r="ANI66" i="7" s="1"/>
  <c r="ANK66" i="7" s="1"/>
  <c r="ANM66" i="7" s="1"/>
  <c r="ANO66" i="7" s="1"/>
  <c r="ANQ66" i="7" s="1"/>
  <c r="ANS66" i="7" s="1"/>
  <c r="ANU66" i="7" s="1"/>
  <c r="ANW66" i="7" s="1"/>
  <c r="ANY66" i="7" s="1"/>
  <c r="AOA66" i="7" s="1"/>
  <c r="AOC66" i="7" s="1"/>
  <c r="AOE66" i="7" s="1"/>
  <c r="AOG66" i="7" s="1"/>
  <c r="AOI66" i="7" s="1"/>
  <c r="AOK66" i="7" s="1"/>
  <c r="AOM66" i="7" s="1"/>
  <c r="AOO66" i="7" s="1"/>
  <c r="AOQ66" i="7" s="1"/>
  <c r="AOS66" i="7" s="1"/>
  <c r="AOU66" i="7" s="1"/>
  <c r="AOW66" i="7" s="1"/>
  <c r="AOY66" i="7" s="1"/>
  <c r="APA66" i="7" s="1"/>
  <c r="APC66" i="7" s="1"/>
  <c r="APE66" i="7" s="1"/>
  <c r="APG66" i="7" s="1"/>
  <c r="API66" i="7" s="1"/>
  <c r="APK66" i="7" s="1"/>
  <c r="APM66" i="7" s="1"/>
  <c r="APO66" i="7" s="1"/>
  <c r="APQ66" i="7" s="1"/>
  <c r="APS66" i="7" s="1"/>
  <c r="APU66" i="7" s="1"/>
  <c r="APW66" i="7" s="1"/>
  <c r="APY66" i="7" s="1"/>
  <c r="AQA66" i="7" s="1"/>
  <c r="AQC66" i="7" s="1"/>
  <c r="AQE66" i="7" s="1"/>
  <c r="AQG66" i="7" s="1"/>
  <c r="AQI66" i="7" s="1"/>
  <c r="AQK66" i="7" s="1"/>
  <c r="AQM66" i="7" s="1"/>
  <c r="AQO66" i="7" s="1"/>
  <c r="AQQ66" i="7" s="1"/>
  <c r="AQS66" i="7" s="1"/>
  <c r="AQU66" i="7" s="1"/>
  <c r="AQW66" i="7" s="1"/>
  <c r="AQY66" i="7" s="1"/>
  <c r="ARA66" i="7" s="1"/>
  <c r="ARC66" i="7" s="1"/>
  <c r="ARE66" i="7" s="1"/>
  <c r="ARG66" i="7" s="1"/>
  <c r="ARI66" i="7" s="1"/>
  <c r="ARK66" i="7" s="1"/>
  <c r="ARM66" i="7" s="1"/>
  <c r="ARO66" i="7" s="1"/>
  <c r="ARQ66" i="7" s="1"/>
  <c r="ARS66" i="7" s="1"/>
  <c r="ARU66" i="7" s="1"/>
  <c r="ARW66" i="7" s="1"/>
  <c r="ARY66" i="7" s="1"/>
  <c r="ASA66" i="7" s="1"/>
  <c r="ASC66" i="7" s="1"/>
  <c r="ASE66" i="7" s="1"/>
  <c r="ASG66" i="7" s="1"/>
  <c r="ASI66" i="7" s="1"/>
  <c r="ASK66" i="7" s="1"/>
  <c r="ASM66" i="7" s="1"/>
  <c r="ASO66" i="7" s="1"/>
  <c r="ASQ66" i="7" s="1"/>
  <c r="ASS66" i="7" s="1"/>
  <c r="ASU66" i="7" s="1"/>
  <c r="ASW66" i="7" s="1"/>
  <c r="ASY66" i="7" s="1"/>
  <c r="ATA66" i="7" s="1"/>
  <c r="ATC66" i="7" s="1"/>
  <c r="ATE66" i="7" s="1"/>
  <c r="ATG66" i="7" s="1"/>
  <c r="ATI66" i="7" s="1"/>
  <c r="ATK66" i="7" s="1"/>
  <c r="ATM66" i="7" s="1"/>
  <c r="ATO66" i="7" s="1"/>
  <c r="ATQ66" i="7" s="1"/>
  <c r="ATS66" i="7" s="1"/>
  <c r="ATU66" i="7" s="1"/>
  <c r="ATW66" i="7" s="1"/>
  <c r="ATY66" i="7" s="1"/>
  <c r="AUA66" i="7" s="1"/>
  <c r="AUC66" i="7" s="1"/>
  <c r="AUE66" i="7" s="1"/>
  <c r="AUG66" i="7" s="1"/>
  <c r="AUI66" i="7" s="1"/>
  <c r="AUK66" i="7" s="1"/>
  <c r="AUM66" i="7" s="1"/>
  <c r="AUO66" i="7" s="1"/>
  <c r="AUQ66" i="7" s="1"/>
  <c r="AUS66" i="7" s="1"/>
  <c r="AUU66" i="7" s="1"/>
  <c r="AUW66" i="7" s="1"/>
  <c r="AUY66" i="7" s="1"/>
  <c r="AVA66" i="7" s="1"/>
  <c r="AVC66" i="7" s="1"/>
  <c r="AVE66" i="7" s="1"/>
  <c r="AVG66" i="7" s="1"/>
  <c r="AVI66" i="7" s="1"/>
  <c r="AVK66" i="7" s="1"/>
  <c r="AVM66" i="7" s="1"/>
  <c r="AVO66" i="7" s="1"/>
  <c r="AVQ66" i="7" s="1"/>
  <c r="AVS66" i="7" s="1"/>
  <c r="AVU66" i="7" s="1"/>
  <c r="AVW66" i="7" s="1"/>
  <c r="AVY66" i="7" s="1"/>
  <c r="AWA66" i="7" s="1"/>
  <c r="AWC66" i="7" s="1"/>
  <c r="AWE66" i="7" s="1"/>
  <c r="AWG66" i="7" s="1"/>
  <c r="AWI66" i="7" s="1"/>
  <c r="AWK66" i="7" s="1"/>
  <c r="AWM66" i="7" s="1"/>
  <c r="AWO66" i="7" s="1"/>
  <c r="AWQ66" i="7" s="1"/>
  <c r="AWS66" i="7" s="1"/>
  <c r="AWU66" i="7" s="1"/>
  <c r="AWW66" i="7" s="1"/>
  <c r="AWY66" i="7" s="1"/>
  <c r="AXA66" i="7" s="1"/>
  <c r="AXC66" i="7" s="1"/>
  <c r="AXE66" i="7" s="1"/>
  <c r="AXG66" i="7" s="1"/>
  <c r="AXI66" i="7" s="1"/>
  <c r="AXK66" i="7" s="1"/>
  <c r="AXM66" i="7" s="1"/>
  <c r="AXO66" i="7" s="1"/>
  <c r="AXQ66" i="7" s="1"/>
  <c r="AXS66" i="7" s="1"/>
  <c r="AXU66" i="7" s="1"/>
  <c r="AXW66" i="7" s="1"/>
  <c r="AXY66" i="7" s="1"/>
  <c r="AYA66" i="7" s="1"/>
  <c r="AYC66" i="7" s="1"/>
  <c r="AYE66" i="7" s="1"/>
  <c r="AYG66" i="7" s="1"/>
  <c r="AYI66" i="7" s="1"/>
  <c r="AYK66" i="7" s="1"/>
  <c r="AYM66" i="7" s="1"/>
  <c r="AYO66" i="7" s="1"/>
  <c r="AYQ66" i="7" s="1"/>
  <c r="AYS66" i="7" s="1"/>
  <c r="AYU66" i="7" s="1"/>
  <c r="AYW66" i="7" s="1"/>
  <c r="AYY66" i="7" s="1"/>
  <c r="AZA66" i="7" s="1"/>
  <c r="AZC66" i="7" s="1"/>
  <c r="AZE66" i="7" s="1"/>
  <c r="AZG66" i="7" s="1"/>
  <c r="AZI66" i="7" s="1"/>
  <c r="AZK66" i="7" s="1"/>
  <c r="AZM66" i="7" s="1"/>
  <c r="AZO66" i="7" s="1"/>
  <c r="AZQ66" i="7" s="1"/>
  <c r="AZS66" i="7" s="1"/>
  <c r="AZU66" i="7" s="1"/>
  <c r="AZW66" i="7" s="1"/>
  <c r="AZY66" i="7" s="1"/>
  <c r="BAA66" i="7" s="1"/>
  <c r="BAC66" i="7" s="1"/>
  <c r="BAE66" i="7" s="1"/>
  <c r="BAG66" i="7" s="1"/>
  <c r="BAI66" i="7" s="1"/>
  <c r="BAK66" i="7" s="1"/>
  <c r="BAM66" i="7" s="1"/>
  <c r="BAO66" i="7" s="1"/>
  <c r="BAQ66" i="7" s="1"/>
  <c r="BAS66" i="7" s="1"/>
  <c r="BAU66" i="7" s="1"/>
  <c r="BAW66" i="7" s="1"/>
  <c r="BAY66" i="7" s="1"/>
  <c r="BBA66" i="7" s="1"/>
  <c r="BBC66" i="7" s="1"/>
  <c r="BBE66" i="7" s="1"/>
  <c r="BBG66" i="7" s="1"/>
  <c r="BBI66" i="7" s="1"/>
  <c r="BBK66" i="7" s="1"/>
  <c r="BBM66" i="7" s="1"/>
  <c r="BBO66" i="7" s="1"/>
  <c r="BBQ66" i="7" s="1"/>
  <c r="BBS66" i="7" s="1"/>
  <c r="BBU66" i="7" s="1"/>
  <c r="BBW66" i="7" s="1"/>
  <c r="BBY66" i="7" s="1"/>
  <c r="BCA66" i="7" s="1"/>
  <c r="BCC66" i="7" s="1"/>
  <c r="BCE66" i="7" s="1"/>
  <c r="BCG66" i="7" s="1"/>
  <c r="BCI66" i="7" s="1"/>
  <c r="BCK66" i="7" s="1"/>
  <c r="BCM66" i="7" s="1"/>
  <c r="BCO66" i="7" s="1"/>
  <c r="BCQ66" i="7" s="1"/>
  <c r="BCS66" i="7" s="1"/>
  <c r="BCU66" i="7" s="1"/>
  <c r="BCW66" i="7" s="1"/>
  <c r="BCY66" i="7" s="1"/>
  <c r="BDA66" i="7" s="1"/>
  <c r="BDC66" i="7" s="1"/>
  <c r="BDE66" i="7" s="1"/>
  <c r="BDG66" i="7" s="1"/>
  <c r="BDI66" i="7" s="1"/>
  <c r="BDK66" i="7" s="1"/>
  <c r="BDM66" i="7" s="1"/>
  <c r="BDO66" i="7" s="1"/>
  <c r="BDQ66" i="7" s="1"/>
  <c r="BDS66" i="7" s="1"/>
  <c r="BDU66" i="7" s="1"/>
  <c r="BDW66" i="7" s="1"/>
  <c r="BDY66" i="7" s="1"/>
  <c r="BEA66" i="7" s="1"/>
  <c r="BEC66" i="7" s="1"/>
  <c r="BEE66" i="7" s="1"/>
  <c r="BEG66" i="7" s="1"/>
  <c r="BEI66" i="7" s="1"/>
  <c r="BEK66" i="7" s="1"/>
  <c r="BEM66" i="7" s="1"/>
  <c r="BEO66" i="7" s="1"/>
  <c r="BEQ66" i="7" s="1"/>
  <c r="BES66" i="7" s="1"/>
  <c r="BEU66" i="7" s="1"/>
  <c r="BEW66" i="7" s="1"/>
  <c r="BEY66" i="7" s="1"/>
  <c r="BFA66" i="7" s="1"/>
  <c r="BFC66" i="7" s="1"/>
  <c r="BFE66" i="7" s="1"/>
  <c r="BFG66" i="7" s="1"/>
  <c r="BFI66" i="7" s="1"/>
  <c r="BFK66" i="7" s="1"/>
  <c r="BFM66" i="7" s="1"/>
  <c r="BFO66" i="7" s="1"/>
  <c r="BFQ66" i="7" s="1"/>
  <c r="BFS66" i="7" s="1"/>
  <c r="BFU66" i="7" s="1"/>
  <c r="BFW66" i="7" s="1"/>
  <c r="BFY66" i="7" s="1"/>
  <c r="BGA66" i="7" s="1"/>
  <c r="BGC66" i="7" s="1"/>
  <c r="BGE66" i="7" s="1"/>
  <c r="BGG66" i="7" s="1"/>
  <c r="BGI66" i="7" s="1"/>
  <c r="BGK66" i="7" s="1"/>
  <c r="BGM66" i="7" s="1"/>
  <c r="BGO66" i="7" s="1"/>
  <c r="BGQ66" i="7" s="1"/>
  <c r="BGS66" i="7" s="1"/>
  <c r="BGU66" i="7" s="1"/>
  <c r="BGW66" i="7" s="1"/>
  <c r="BGY66" i="7" s="1"/>
  <c r="BHA66" i="7" s="1"/>
  <c r="BHC66" i="7" s="1"/>
  <c r="BHE66" i="7" s="1"/>
  <c r="BHG66" i="7" s="1"/>
  <c r="BHI66" i="7" s="1"/>
  <c r="BHK66" i="7" s="1"/>
  <c r="BHM66" i="7" s="1"/>
  <c r="BHO66" i="7" s="1"/>
  <c r="BHQ66" i="7" s="1"/>
  <c r="BHS66" i="7" s="1"/>
  <c r="BHU66" i="7" s="1"/>
  <c r="BHW66" i="7" s="1"/>
  <c r="BHY66" i="7" s="1"/>
  <c r="BIA66" i="7" s="1"/>
  <c r="BIC66" i="7" s="1"/>
  <c r="BIE66" i="7" s="1"/>
  <c r="BIG66" i="7" s="1"/>
  <c r="BII66" i="7" s="1"/>
  <c r="BIK66" i="7" s="1"/>
  <c r="BIM66" i="7" s="1"/>
  <c r="BIO66" i="7" s="1"/>
  <c r="BIQ66" i="7" s="1"/>
  <c r="BIS66" i="7" s="1"/>
  <c r="BIU66" i="7" s="1"/>
  <c r="BIW66" i="7" s="1"/>
  <c r="BIY66" i="7" s="1"/>
  <c r="BJA66" i="7" s="1"/>
  <c r="BJC66" i="7" s="1"/>
  <c r="BJE66" i="7" s="1"/>
  <c r="BJG66" i="7" s="1"/>
  <c r="BJI66" i="7" s="1"/>
  <c r="BJK66" i="7" s="1"/>
  <c r="BJM66" i="7" s="1"/>
  <c r="BJO66" i="7" s="1"/>
  <c r="BJQ66" i="7" s="1"/>
  <c r="BJS66" i="7" s="1"/>
  <c r="BJU66" i="7" s="1"/>
  <c r="BJW66" i="7" s="1"/>
  <c r="BJY66" i="7" s="1"/>
  <c r="BKA66" i="7" s="1"/>
  <c r="BKC66" i="7" s="1"/>
  <c r="BKE66" i="7" s="1"/>
  <c r="BKG66" i="7" s="1"/>
  <c r="BKI66" i="7" s="1"/>
  <c r="BKK66" i="7" s="1"/>
  <c r="BKM66" i="7" s="1"/>
  <c r="BKO66" i="7" s="1"/>
  <c r="BKQ66" i="7" s="1"/>
  <c r="BKS66" i="7" s="1"/>
  <c r="BKU66" i="7" s="1"/>
  <c r="BKW66" i="7" s="1"/>
  <c r="BKY66" i="7" s="1"/>
  <c r="BLA66" i="7" s="1"/>
  <c r="BLC66" i="7" s="1"/>
  <c r="BLE66" i="7" s="1"/>
  <c r="BLG66" i="7" s="1"/>
  <c r="BLI66" i="7" s="1"/>
  <c r="BLK66" i="7" s="1"/>
  <c r="BLM66" i="7" s="1"/>
  <c r="BLO66" i="7" s="1"/>
  <c r="BLQ66" i="7" s="1"/>
  <c r="BLS66" i="7" s="1"/>
  <c r="BLU66" i="7" s="1"/>
  <c r="BLW66" i="7" s="1"/>
  <c r="BLY66" i="7" s="1"/>
  <c r="BMA66" i="7" s="1"/>
  <c r="BMC66" i="7" s="1"/>
  <c r="BME66" i="7" s="1"/>
  <c r="BMG66" i="7" s="1"/>
  <c r="BMI66" i="7" s="1"/>
  <c r="BMK66" i="7" s="1"/>
  <c r="BMM66" i="7" s="1"/>
  <c r="BMO66" i="7" s="1"/>
  <c r="BMQ66" i="7" s="1"/>
  <c r="BMS66" i="7" s="1"/>
  <c r="BMU66" i="7" s="1"/>
  <c r="BMW66" i="7" s="1"/>
  <c r="BMY66" i="7" s="1"/>
  <c r="BNA66" i="7" s="1"/>
  <c r="BNC66" i="7" s="1"/>
  <c r="BNE66" i="7" s="1"/>
  <c r="BNG66" i="7" s="1"/>
  <c r="BNI66" i="7" s="1"/>
  <c r="BNK66" i="7" s="1"/>
  <c r="BNM66" i="7" s="1"/>
  <c r="BNO66" i="7" s="1"/>
  <c r="BNQ66" i="7" s="1"/>
  <c r="BNS66" i="7" s="1"/>
  <c r="BNU66" i="7" s="1"/>
  <c r="BNW66" i="7" s="1"/>
  <c r="BNY66" i="7" s="1"/>
  <c r="BOA66" i="7" s="1"/>
  <c r="BOC66" i="7" s="1"/>
  <c r="BOE66" i="7" s="1"/>
  <c r="BOG66" i="7" s="1"/>
  <c r="BOI66" i="7" s="1"/>
  <c r="BOK66" i="7" s="1"/>
  <c r="BOM66" i="7" s="1"/>
  <c r="BOO66" i="7" s="1"/>
  <c r="BOQ66" i="7" s="1"/>
  <c r="BOS66" i="7" s="1"/>
  <c r="BOU66" i="7" s="1"/>
  <c r="BOW66" i="7" s="1"/>
  <c r="BOY66" i="7" s="1"/>
  <c r="BPA66" i="7" s="1"/>
  <c r="BPC66" i="7" s="1"/>
  <c r="BPE66" i="7" s="1"/>
  <c r="BPG66" i="7" s="1"/>
  <c r="BPI66" i="7" s="1"/>
  <c r="BPK66" i="7" s="1"/>
  <c r="BPM66" i="7" s="1"/>
  <c r="BPO66" i="7" s="1"/>
  <c r="BPQ66" i="7" s="1"/>
  <c r="BPS66" i="7" s="1"/>
  <c r="BPU66" i="7" s="1"/>
  <c r="BPW66" i="7" s="1"/>
  <c r="BPY66" i="7" s="1"/>
  <c r="BQA66" i="7" s="1"/>
  <c r="BQC66" i="7" s="1"/>
  <c r="BQE66" i="7" s="1"/>
  <c r="BQG66" i="7" s="1"/>
  <c r="BQI66" i="7" s="1"/>
  <c r="BQK66" i="7" s="1"/>
  <c r="BQM66" i="7" s="1"/>
  <c r="BQO66" i="7" s="1"/>
  <c r="BQQ66" i="7" s="1"/>
  <c r="BQS66" i="7" s="1"/>
  <c r="BQU66" i="7" s="1"/>
  <c r="BQW66" i="7" s="1"/>
  <c r="BQY66" i="7" s="1"/>
  <c r="BRA66" i="7" s="1"/>
  <c r="BRC66" i="7" s="1"/>
  <c r="BRE66" i="7" s="1"/>
  <c r="BRG66" i="7" s="1"/>
  <c r="BRI66" i="7" s="1"/>
  <c r="BRK66" i="7" s="1"/>
  <c r="BRM66" i="7" s="1"/>
  <c r="BRO66" i="7" s="1"/>
  <c r="BRQ66" i="7" s="1"/>
  <c r="BRS66" i="7" s="1"/>
  <c r="BRU66" i="7" s="1"/>
  <c r="BRW66" i="7" s="1"/>
  <c r="BRY66" i="7" s="1"/>
  <c r="BSA66" i="7" s="1"/>
  <c r="BSC66" i="7" s="1"/>
  <c r="BSE66" i="7" s="1"/>
  <c r="BSG66" i="7" s="1"/>
  <c r="BSI66" i="7" s="1"/>
  <c r="BSK66" i="7" s="1"/>
  <c r="BSM66" i="7" s="1"/>
  <c r="BSO66" i="7" s="1"/>
  <c r="BSQ66" i="7" s="1"/>
  <c r="BSS66" i="7" s="1"/>
  <c r="BSU66" i="7" s="1"/>
  <c r="BSW66" i="7" s="1"/>
  <c r="BSY66" i="7" s="1"/>
  <c r="BTA66" i="7" s="1"/>
  <c r="BTC66" i="7" s="1"/>
  <c r="BTE66" i="7" s="1"/>
  <c r="BTG66" i="7" s="1"/>
  <c r="BTI66" i="7" s="1"/>
  <c r="BTK66" i="7" s="1"/>
  <c r="BTM66" i="7" s="1"/>
  <c r="BTO66" i="7" s="1"/>
  <c r="BTQ66" i="7" s="1"/>
  <c r="BTS66" i="7" s="1"/>
  <c r="BTU66" i="7" s="1"/>
  <c r="BTW66" i="7" s="1"/>
  <c r="BTY66" i="7" s="1"/>
  <c r="BUA66" i="7" s="1"/>
  <c r="BUC66" i="7" s="1"/>
  <c r="BUE66" i="7" s="1"/>
  <c r="BUG66" i="7" s="1"/>
  <c r="BUI66" i="7" s="1"/>
  <c r="BUK66" i="7" s="1"/>
  <c r="BUM66" i="7" s="1"/>
  <c r="BUO66" i="7" s="1"/>
  <c r="BUQ66" i="7" s="1"/>
  <c r="BUS66" i="7" s="1"/>
  <c r="BUU66" i="7" s="1"/>
  <c r="BUW66" i="7" s="1"/>
  <c r="BUY66" i="7" s="1"/>
  <c r="BVA66" i="7" s="1"/>
  <c r="BVC66" i="7" s="1"/>
  <c r="BVE66" i="7" s="1"/>
  <c r="BVG66" i="7" s="1"/>
  <c r="BVI66" i="7" s="1"/>
  <c r="BVK66" i="7" s="1"/>
  <c r="BVM66" i="7" s="1"/>
  <c r="BVO66" i="7" s="1"/>
  <c r="BVQ66" i="7" s="1"/>
  <c r="BVS66" i="7" s="1"/>
  <c r="BVU66" i="7" s="1"/>
  <c r="BVW66" i="7" s="1"/>
  <c r="BVY66" i="7" s="1"/>
  <c r="BWA66" i="7" s="1"/>
  <c r="BWC66" i="7" s="1"/>
  <c r="BWE66" i="7" s="1"/>
  <c r="BWG66" i="7" s="1"/>
  <c r="BWI66" i="7" s="1"/>
  <c r="BWK66" i="7" s="1"/>
  <c r="BWM66" i="7" s="1"/>
  <c r="BWO66" i="7" s="1"/>
  <c r="BWQ66" i="7" s="1"/>
  <c r="BWS66" i="7" s="1"/>
  <c r="BWU66" i="7" s="1"/>
  <c r="BWW66" i="7" s="1"/>
  <c r="BWY66" i="7" s="1"/>
  <c r="BXA66" i="7" s="1"/>
  <c r="BXC66" i="7" s="1"/>
  <c r="BXE66" i="7" s="1"/>
  <c r="BXG66" i="7" s="1"/>
  <c r="BXI66" i="7" s="1"/>
  <c r="BXK66" i="7" s="1"/>
  <c r="BXM66" i="7" s="1"/>
  <c r="BXO66" i="7" s="1"/>
  <c r="BXQ66" i="7" s="1"/>
  <c r="BXS66" i="7" s="1"/>
  <c r="BXU66" i="7" s="1"/>
  <c r="BXW66" i="7" s="1"/>
  <c r="BXY66" i="7" s="1"/>
  <c r="BYA66" i="7" s="1"/>
  <c r="BYC66" i="7" s="1"/>
  <c r="BYE66" i="7" s="1"/>
  <c r="BYG66" i="7" s="1"/>
  <c r="BYI66" i="7" s="1"/>
  <c r="BYK66" i="7" s="1"/>
  <c r="BYM66" i="7" s="1"/>
  <c r="BYO66" i="7" s="1"/>
  <c r="BYQ66" i="7" s="1"/>
  <c r="BYS66" i="7" s="1"/>
  <c r="BYU66" i="7" s="1"/>
  <c r="BYW66" i="7" s="1"/>
  <c r="BYY66" i="7" s="1"/>
  <c r="BZA66" i="7" s="1"/>
  <c r="BZC66" i="7" s="1"/>
  <c r="BZE66" i="7" s="1"/>
  <c r="BZG66" i="7" s="1"/>
  <c r="BZI66" i="7" s="1"/>
  <c r="BZK66" i="7" s="1"/>
  <c r="BZM66" i="7" s="1"/>
  <c r="BZO66" i="7" s="1"/>
  <c r="BZQ66" i="7" s="1"/>
  <c r="BZS66" i="7" s="1"/>
  <c r="BZU66" i="7" s="1"/>
  <c r="BZW66" i="7" s="1"/>
  <c r="BZY66" i="7" s="1"/>
  <c r="CAA66" i="7" s="1"/>
  <c r="CAC66" i="7" s="1"/>
  <c r="CAE66" i="7" s="1"/>
  <c r="CAG66" i="7" s="1"/>
  <c r="CAI66" i="7" s="1"/>
  <c r="CAK66" i="7" s="1"/>
  <c r="CAM66" i="7" s="1"/>
  <c r="CAO66" i="7" s="1"/>
  <c r="CAQ66" i="7" s="1"/>
  <c r="CAS66" i="7" s="1"/>
  <c r="CAU66" i="7" s="1"/>
  <c r="CAW66" i="7" s="1"/>
  <c r="CAY66" i="7" s="1"/>
  <c r="CBA66" i="7" s="1"/>
  <c r="CBC66" i="7" s="1"/>
  <c r="CBE66" i="7" s="1"/>
  <c r="CBG66" i="7" s="1"/>
  <c r="CBI66" i="7" s="1"/>
  <c r="CBK66" i="7" s="1"/>
  <c r="CBM66" i="7" s="1"/>
  <c r="CBO66" i="7" s="1"/>
  <c r="CBQ66" i="7" s="1"/>
  <c r="CBS66" i="7" s="1"/>
  <c r="CBU66" i="7" s="1"/>
  <c r="CBW66" i="7" s="1"/>
  <c r="CBY66" i="7" s="1"/>
  <c r="CCA66" i="7" s="1"/>
  <c r="CCC66" i="7" s="1"/>
  <c r="CCE66" i="7" s="1"/>
  <c r="CCG66" i="7" s="1"/>
  <c r="CCI66" i="7" s="1"/>
  <c r="CCK66" i="7" s="1"/>
  <c r="CCM66" i="7" s="1"/>
  <c r="CCO66" i="7" s="1"/>
  <c r="CCQ66" i="7" s="1"/>
  <c r="CCS66" i="7" s="1"/>
  <c r="CCU66" i="7" s="1"/>
  <c r="CCW66" i="7" s="1"/>
  <c r="CCY66" i="7" s="1"/>
  <c r="CDA66" i="7" s="1"/>
  <c r="CDC66" i="7" s="1"/>
  <c r="CDE66" i="7" s="1"/>
  <c r="CDG66" i="7" s="1"/>
  <c r="CDI66" i="7" s="1"/>
  <c r="CDK66" i="7" s="1"/>
  <c r="CDM66" i="7" s="1"/>
  <c r="CDO66" i="7" s="1"/>
  <c r="CDQ66" i="7" s="1"/>
  <c r="CDS66" i="7" s="1"/>
  <c r="CDU66" i="7" s="1"/>
  <c r="CDW66" i="7" s="1"/>
  <c r="CDY66" i="7" s="1"/>
  <c r="CEA66" i="7" s="1"/>
  <c r="CEC66" i="7" s="1"/>
  <c r="CEE66" i="7" s="1"/>
  <c r="CEG66" i="7" s="1"/>
  <c r="CEI66" i="7" s="1"/>
  <c r="CEK66" i="7" s="1"/>
  <c r="CEM66" i="7" s="1"/>
  <c r="CEO66" i="7" s="1"/>
  <c r="CEQ66" i="7" s="1"/>
  <c r="CES66" i="7" s="1"/>
  <c r="CEU66" i="7" s="1"/>
  <c r="CEW66" i="7" s="1"/>
  <c r="CEY66" i="7" s="1"/>
  <c r="CFA66" i="7" s="1"/>
  <c r="CFC66" i="7" s="1"/>
  <c r="CFE66" i="7" s="1"/>
  <c r="CFG66" i="7" s="1"/>
  <c r="CFI66" i="7" s="1"/>
  <c r="CFK66" i="7" s="1"/>
  <c r="CFM66" i="7" s="1"/>
  <c r="CFO66" i="7" s="1"/>
  <c r="CFQ66" i="7" s="1"/>
  <c r="CFS66" i="7" s="1"/>
  <c r="CFU66" i="7" s="1"/>
  <c r="CFW66" i="7" s="1"/>
  <c r="CFY66" i="7" s="1"/>
  <c r="CGA66" i="7" s="1"/>
  <c r="CGC66" i="7" s="1"/>
  <c r="CGE66" i="7" s="1"/>
  <c r="CGG66" i="7" s="1"/>
  <c r="CGI66" i="7" s="1"/>
  <c r="CGK66" i="7" s="1"/>
  <c r="CGM66" i="7" s="1"/>
  <c r="CGO66" i="7" s="1"/>
  <c r="CGQ66" i="7" s="1"/>
  <c r="CGS66" i="7" s="1"/>
  <c r="CGU66" i="7" s="1"/>
  <c r="CGW66" i="7" s="1"/>
  <c r="CGY66" i="7" s="1"/>
  <c r="CHA66" i="7" s="1"/>
  <c r="CHC66" i="7" s="1"/>
  <c r="CHE66" i="7" s="1"/>
  <c r="CHG66" i="7" s="1"/>
  <c r="CHI66" i="7" s="1"/>
  <c r="CHK66" i="7" s="1"/>
  <c r="CHM66" i="7" s="1"/>
  <c r="CHO66" i="7" s="1"/>
  <c r="CHQ66" i="7" s="1"/>
  <c r="CHS66" i="7" s="1"/>
  <c r="CHU66" i="7" s="1"/>
  <c r="CHW66" i="7" s="1"/>
  <c r="CHY66" i="7" s="1"/>
  <c r="CIA66" i="7" s="1"/>
  <c r="CIC66" i="7" s="1"/>
  <c r="CIE66" i="7" s="1"/>
  <c r="CIG66" i="7" s="1"/>
  <c r="CII66" i="7" s="1"/>
  <c r="CIK66" i="7" s="1"/>
  <c r="CIM66" i="7" s="1"/>
  <c r="CIO66" i="7" s="1"/>
  <c r="CIQ66" i="7" s="1"/>
  <c r="CIS66" i="7" s="1"/>
  <c r="CIU66" i="7" s="1"/>
  <c r="CIW66" i="7" s="1"/>
  <c r="CIY66" i="7" s="1"/>
  <c r="CJA66" i="7" s="1"/>
  <c r="CJC66" i="7" s="1"/>
  <c r="CJE66" i="7" s="1"/>
  <c r="CJG66" i="7" s="1"/>
  <c r="CJI66" i="7" s="1"/>
  <c r="CJK66" i="7" s="1"/>
  <c r="CJM66" i="7" s="1"/>
  <c r="CJO66" i="7" s="1"/>
  <c r="CJQ66" i="7" s="1"/>
  <c r="CJS66" i="7" s="1"/>
  <c r="CJU66" i="7" s="1"/>
  <c r="CJW66" i="7" s="1"/>
  <c r="CJY66" i="7" s="1"/>
  <c r="CKA66" i="7" s="1"/>
  <c r="CKC66" i="7" s="1"/>
  <c r="CKE66" i="7" s="1"/>
  <c r="CKG66" i="7" s="1"/>
  <c r="CKI66" i="7" s="1"/>
  <c r="CKK66" i="7" s="1"/>
  <c r="CKM66" i="7" s="1"/>
  <c r="CKO66" i="7" s="1"/>
  <c r="CKQ66" i="7" s="1"/>
  <c r="CKS66" i="7" s="1"/>
  <c r="CKU66" i="7" s="1"/>
  <c r="CKW66" i="7" s="1"/>
  <c r="CKY66" i="7" s="1"/>
  <c r="CLA66" i="7" s="1"/>
  <c r="CLC66" i="7" s="1"/>
  <c r="CLE66" i="7" s="1"/>
  <c r="CLG66" i="7" s="1"/>
  <c r="CLI66" i="7" s="1"/>
  <c r="CLK66" i="7" s="1"/>
  <c r="CLM66" i="7" s="1"/>
  <c r="CLO66" i="7" s="1"/>
  <c r="CLQ66" i="7" s="1"/>
  <c r="CLS66" i="7" s="1"/>
  <c r="CLU66" i="7" s="1"/>
  <c r="CLW66" i="7" s="1"/>
  <c r="CLY66" i="7" s="1"/>
  <c r="CMA66" i="7" s="1"/>
  <c r="CMC66" i="7" s="1"/>
  <c r="CME66" i="7" s="1"/>
  <c r="CMG66" i="7" s="1"/>
  <c r="CMI66" i="7" s="1"/>
  <c r="CMK66" i="7" s="1"/>
  <c r="CMM66" i="7" s="1"/>
  <c r="CMO66" i="7" s="1"/>
  <c r="CMQ66" i="7" s="1"/>
  <c r="CMS66" i="7" s="1"/>
  <c r="CMU66" i="7" s="1"/>
  <c r="CMW66" i="7" s="1"/>
  <c r="CMY66" i="7" s="1"/>
  <c r="CNA66" i="7" s="1"/>
  <c r="CNC66" i="7" s="1"/>
  <c r="CNE66" i="7" s="1"/>
  <c r="CNG66" i="7" s="1"/>
  <c r="CNI66" i="7" s="1"/>
  <c r="CNK66" i="7" s="1"/>
  <c r="CNM66" i="7" s="1"/>
  <c r="CNO66" i="7" s="1"/>
  <c r="CNQ66" i="7" s="1"/>
  <c r="CNS66" i="7" s="1"/>
  <c r="CNU66" i="7" s="1"/>
  <c r="CNW66" i="7" s="1"/>
  <c r="CNY66" i="7" s="1"/>
  <c r="COA66" i="7" s="1"/>
  <c r="COC66" i="7" s="1"/>
  <c r="COE66" i="7" s="1"/>
  <c r="COG66" i="7" s="1"/>
  <c r="COI66" i="7" s="1"/>
  <c r="COK66" i="7" s="1"/>
  <c r="COM66" i="7" s="1"/>
  <c r="COO66" i="7" s="1"/>
  <c r="COQ66" i="7" s="1"/>
  <c r="COS66" i="7" s="1"/>
  <c r="COU66" i="7" s="1"/>
  <c r="COW66" i="7" s="1"/>
  <c r="COY66" i="7" s="1"/>
  <c r="CPA66" i="7" s="1"/>
  <c r="CPC66" i="7" s="1"/>
  <c r="CPE66" i="7" s="1"/>
  <c r="CPG66" i="7" s="1"/>
  <c r="CPI66" i="7" s="1"/>
  <c r="CPK66" i="7" s="1"/>
  <c r="CPM66" i="7" s="1"/>
  <c r="CPO66" i="7" s="1"/>
  <c r="CPQ66" i="7" s="1"/>
  <c r="CPS66" i="7" s="1"/>
  <c r="CPU66" i="7" s="1"/>
  <c r="CPW66" i="7" s="1"/>
  <c r="CPY66" i="7" s="1"/>
  <c r="CQA66" i="7" s="1"/>
  <c r="CQC66" i="7" s="1"/>
  <c r="CQE66" i="7" s="1"/>
  <c r="CQG66" i="7" s="1"/>
  <c r="CQI66" i="7" s="1"/>
  <c r="CQK66" i="7" s="1"/>
  <c r="CQM66" i="7" s="1"/>
  <c r="CQO66" i="7" s="1"/>
  <c r="CQQ66" i="7" s="1"/>
  <c r="CQS66" i="7" s="1"/>
  <c r="CQU66" i="7" s="1"/>
  <c r="CQW66" i="7" s="1"/>
  <c r="CQY66" i="7" s="1"/>
  <c r="CRA66" i="7" s="1"/>
  <c r="CRC66" i="7" s="1"/>
  <c r="CRE66" i="7" s="1"/>
  <c r="CRG66" i="7" s="1"/>
  <c r="CRI66" i="7" s="1"/>
  <c r="CRK66" i="7" s="1"/>
  <c r="CRM66" i="7" s="1"/>
  <c r="CRO66" i="7" s="1"/>
  <c r="CRQ66" i="7" s="1"/>
  <c r="CRS66" i="7" s="1"/>
  <c r="CRU66" i="7" s="1"/>
  <c r="CRW66" i="7" s="1"/>
  <c r="CRY66" i="7" s="1"/>
  <c r="CSA66" i="7" s="1"/>
  <c r="CSC66" i="7" s="1"/>
  <c r="CSE66" i="7" s="1"/>
  <c r="CSG66" i="7" s="1"/>
  <c r="CSI66" i="7" s="1"/>
  <c r="CSK66" i="7" s="1"/>
  <c r="CSM66" i="7" s="1"/>
  <c r="CSO66" i="7" s="1"/>
  <c r="CSQ66" i="7" s="1"/>
  <c r="CSS66" i="7" s="1"/>
  <c r="CSU66" i="7" s="1"/>
  <c r="CSW66" i="7" s="1"/>
  <c r="CSY66" i="7" s="1"/>
  <c r="CTA66" i="7" s="1"/>
  <c r="CTC66" i="7" s="1"/>
  <c r="CTE66" i="7" s="1"/>
  <c r="CTG66" i="7" s="1"/>
  <c r="CTI66" i="7" s="1"/>
  <c r="CTK66" i="7" s="1"/>
  <c r="CTM66" i="7" s="1"/>
  <c r="CTO66" i="7" s="1"/>
  <c r="CTQ66" i="7" s="1"/>
  <c r="CTS66" i="7" s="1"/>
  <c r="CTU66" i="7" s="1"/>
  <c r="CTW66" i="7" s="1"/>
  <c r="CTY66" i="7" s="1"/>
  <c r="CUA66" i="7" s="1"/>
  <c r="CUC66" i="7" s="1"/>
  <c r="CUE66" i="7" s="1"/>
  <c r="CUG66" i="7" s="1"/>
  <c r="CUI66" i="7" s="1"/>
  <c r="CUK66" i="7" s="1"/>
  <c r="CUM66" i="7" s="1"/>
  <c r="CUO66" i="7" s="1"/>
  <c r="CUQ66" i="7" s="1"/>
  <c r="CUS66" i="7" s="1"/>
  <c r="CUU66" i="7" s="1"/>
  <c r="CUW66" i="7" s="1"/>
  <c r="CUY66" i="7" s="1"/>
  <c r="CVA66" i="7" s="1"/>
  <c r="CVC66" i="7" s="1"/>
  <c r="CVE66" i="7" s="1"/>
  <c r="CVG66" i="7" s="1"/>
  <c r="CVI66" i="7" s="1"/>
  <c r="CVK66" i="7" s="1"/>
  <c r="CVM66" i="7" s="1"/>
  <c r="CVO66" i="7" s="1"/>
  <c r="CVQ66" i="7" s="1"/>
  <c r="CVS66" i="7" s="1"/>
  <c r="CVU66" i="7" s="1"/>
  <c r="CVW66" i="7" s="1"/>
  <c r="CVY66" i="7" s="1"/>
  <c r="CWA66" i="7" s="1"/>
  <c r="CWC66" i="7" s="1"/>
  <c r="CWE66" i="7" s="1"/>
  <c r="CWG66" i="7" s="1"/>
  <c r="CWI66" i="7" s="1"/>
  <c r="CWK66" i="7" s="1"/>
  <c r="CWM66" i="7" s="1"/>
  <c r="CWO66" i="7" s="1"/>
  <c r="CWQ66" i="7" s="1"/>
  <c r="CWS66" i="7" s="1"/>
  <c r="CWU66" i="7" s="1"/>
  <c r="CWW66" i="7" s="1"/>
  <c r="CWY66" i="7" s="1"/>
  <c r="CXA66" i="7" s="1"/>
  <c r="CXC66" i="7" s="1"/>
  <c r="CXE66" i="7" s="1"/>
  <c r="CXG66" i="7" s="1"/>
  <c r="CXI66" i="7" s="1"/>
  <c r="CXK66" i="7" s="1"/>
  <c r="CXM66" i="7" s="1"/>
  <c r="CXO66" i="7" s="1"/>
  <c r="CXQ66" i="7" s="1"/>
  <c r="CXS66" i="7" s="1"/>
  <c r="CXU66" i="7" s="1"/>
  <c r="CXW66" i="7" s="1"/>
  <c r="CXY66" i="7" s="1"/>
  <c r="CYA66" i="7" s="1"/>
  <c r="CYC66" i="7" s="1"/>
  <c r="CYE66" i="7" s="1"/>
  <c r="CYG66" i="7" s="1"/>
  <c r="CYI66" i="7" s="1"/>
  <c r="CYK66" i="7" s="1"/>
  <c r="CYM66" i="7" s="1"/>
  <c r="CYO66" i="7" s="1"/>
  <c r="CYQ66" i="7" s="1"/>
  <c r="CYS66" i="7" s="1"/>
  <c r="CYU66" i="7" s="1"/>
  <c r="CYW66" i="7" s="1"/>
  <c r="CYY66" i="7" s="1"/>
  <c r="CZA66" i="7" s="1"/>
  <c r="CZC66" i="7" s="1"/>
  <c r="CZE66" i="7" s="1"/>
  <c r="CZG66" i="7" s="1"/>
  <c r="CZI66" i="7" s="1"/>
  <c r="CZK66" i="7" s="1"/>
  <c r="CZM66" i="7" s="1"/>
  <c r="CZO66" i="7" s="1"/>
  <c r="CZQ66" i="7" s="1"/>
  <c r="CZS66" i="7" s="1"/>
  <c r="CZU66" i="7" s="1"/>
  <c r="CZW66" i="7" s="1"/>
  <c r="CZY66" i="7" s="1"/>
  <c r="DAA66" i="7" s="1"/>
  <c r="DAC66" i="7" s="1"/>
  <c r="DAE66" i="7" s="1"/>
  <c r="DAG66" i="7" s="1"/>
  <c r="DAI66" i="7" s="1"/>
  <c r="DAK66" i="7" s="1"/>
  <c r="DAM66" i="7" s="1"/>
  <c r="DAO66" i="7" s="1"/>
  <c r="DAQ66" i="7" s="1"/>
  <c r="DAS66" i="7" s="1"/>
  <c r="DAU66" i="7" s="1"/>
  <c r="DAW66" i="7" s="1"/>
  <c r="DAY66" i="7" s="1"/>
  <c r="DBA66" i="7" s="1"/>
  <c r="DBC66" i="7" s="1"/>
  <c r="DBE66" i="7" s="1"/>
  <c r="DBG66" i="7" s="1"/>
  <c r="DBI66" i="7" s="1"/>
  <c r="DBK66" i="7" s="1"/>
  <c r="DBM66" i="7" s="1"/>
  <c r="DBO66" i="7" s="1"/>
  <c r="DBQ66" i="7" s="1"/>
  <c r="DBS66" i="7" s="1"/>
  <c r="DBU66" i="7" s="1"/>
  <c r="DBW66" i="7" s="1"/>
  <c r="DBY66" i="7" s="1"/>
  <c r="DCA66" i="7" s="1"/>
  <c r="DCC66" i="7" s="1"/>
  <c r="DCE66" i="7" s="1"/>
  <c r="DCG66" i="7" s="1"/>
  <c r="DCI66" i="7" s="1"/>
  <c r="DCK66" i="7" s="1"/>
  <c r="DCM66" i="7" s="1"/>
  <c r="DCO66" i="7" s="1"/>
  <c r="DCQ66" i="7" s="1"/>
  <c r="DCS66" i="7" s="1"/>
  <c r="DCU66" i="7" s="1"/>
  <c r="DCW66" i="7" s="1"/>
  <c r="DCY66" i="7" s="1"/>
  <c r="DDA66" i="7" s="1"/>
  <c r="DDC66" i="7" s="1"/>
  <c r="DDE66" i="7" s="1"/>
  <c r="DDG66" i="7" s="1"/>
  <c r="DDI66" i="7" s="1"/>
  <c r="DDK66" i="7" s="1"/>
  <c r="DDM66" i="7" s="1"/>
  <c r="DDO66" i="7" s="1"/>
  <c r="DDQ66" i="7" s="1"/>
  <c r="DDS66" i="7" s="1"/>
  <c r="DDU66" i="7" s="1"/>
  <c r="DDW66" i="7" s="1"/>
  <c r="DDY66" i="7" s="1"/>
  <c r="DEA66" i="7" s="1"/>
  <c r="DEC66" i="7" s="1"/>
  <c r="DEE66" i="7" s="1"/>
  <c r="DEG66" i="7" s="1"/>
  <c r="DEI66" i="7" s="1"/>
  <c r="DEK66" i="7" s="1"/>
  <c r="DEM66" i="7" s="1"/>
  <c r="DEO66" i="7" s="1"/>
  <c r="DEQ66" i="7" s="1"/>
  <c r="DES66" i="7" s="1"/>
  <c r="DEU66" i="7" s="1"/>
  <c r="DEW66" i="7" s="1"/>
  <c r="DEY66" i="7" s="1"/>
  <c r="DFA66" i="7" s="1"/>
  <c r="DFC66" i="7" s="1"/>
  <c r="DFE66" i="7" s="1"/>
  <c r="DFG66" i="7" s="1"/>
  <c r="DFI66" i="7" s="1"/>
  <c r="DFK66" i="7" s="1"/>
  <c r="DFM66" i="7" s="1"/>
  <c r="DFO66" i="7" s="1"/>
  <c r="DFQ66" i="7" s="1"/>
  <c r="DFS66" i="7" s="1"/>
  <c r="DFU66" i="7" s="1"/>
  <c r="DFW66" i="7" s="1"/>
  <c r="DFY66" i="7" s="1"/>
  <c r="DGA66" i="7" s="1"/>
  <c r="DGC66" i="7" s="1"/>
  <c r="DGE66" i="7" s="1"/>
  <c r="DGG66" i="7" s="1"/>
  <c r="DGI66" i="7" s="1"/>
  <c r="DGK66" i="7" s="1"/>
  <c r="DGM66" i="7" s="1"/>
  <c r="DGO66" i="7" s="1"/>
  <c r="DGQ66" i="7" s="1"/>
  <c r="DGS66" i="7" s="1"/>
  <c r="DGU66" i="7" s="1"/>
  <c r="DGW66" i="7" s="1"/>
  <c r="DGY66" i="7" s="1"/>
  <c r="DHA66" i="7" s="1"/>
  <c r="DHC66" i="7" s="1"/>
  <c r="DHE66" i="7" s="1"/>
  <c r="DHG66" i="7" s="1"/>
  <c r="DHI66" i="7" s="1"/>
  <c r="DHK66" i="7" s="1"/>
  <c r="DHM66" i="7" s="1"/>
  <c r="DHO66" i="7" s="1"/>
  <c r="DHQ66" i="7" s="1"/>
  <c r="DHS66" i="7" s="1"/>
  <c r="DHU66" i="7" s="1"/>
  <c r="DHW66" i="7" s="1"/>
  <c r="DHY66" i="7" s="1"/>
  <c r="DIA66" i="7" s="1"/>
  <c r="DIC66" i="7" s="1"/>
  <c r="DIE66" i="7" s="1"/>
  <c r="DIG66" i="7" s="1"/>
  <c r="DII66" i="7" s="1"/>
  <c r="DIK66" i="7" s="1"/>
  <c r="DIM66" i="7" s="1"/>
  <c r="DIO66" i="7" s="1"/>
  <c r="DIQ66" i="7" s="1"/>
  <c r="DIS66" i="7" s="1"/>
  <c r="DIU66" i="7" s="1"/>
  <c r="DIW66" i="7" s="1"/>
  <c r="DIY66" i="7" s="1"/>
  <c r="DJA66" i="7" s="1"/>
  <c r="DJC66" i="7" s="1"/>
  <c r="DJE66" i="7" s="1"/>
  <c r="DJG66" i="7" s="1"/>
  <c r="DJI66" i="7" s="1"/>
  <c r="DJK66" i="7" s="1"/>
  <c r="DJM66" i="7" s="1"/>
  <c r="DJO66" i="7" s="1"/>
  <c r="DJQ66" i="7" s="1"/>
  <c r="DJS66" i="7" s="1"/>
  <c r="DJU66" i="7" s="1"/>
  <c r="DJW66" i="7" s="1"/>
  <c r="DJY66" i="7" s="1"/>
  <c r="DKA66" i="7" s="1"/>
  <c r="DKC66" i="7" s="1"/>
  <c r="DKE66" i="7" s="1"/>
  <c r="DKG66" i="7" s="1"/>
  <c r="DKI66" i="7" s="1"/>
  <c r="DKK66" i="7" s="1"/>
  <c r="DKM66" i="7" s="1"/>
  <c r="DKO66" i="7" s="1"/>
  <c r="DKQ66" i="7" s="1"/>
  <c r="DKS66" i="7" s="1"/>
  <c r="DKU66" i="7" s="1"/>
  <c r="DKW66" i="7" s="1"/>
  <c r="DKY66" i="7" s="1"/>
  <c r="DLA66" i="7" s="1"/>
  <c r="DLC66" i="7" s="1"/>
  <c r="DLE66" i="7" s="1"/>
  <c r="DLG66" i="7" s="1"/>
  <c r="DLI66" i="7" s="1"/>
  <c r="DLK66" i="7" s="1"/>
  <c r="DLM66" i="7" s="1"/>
  <c r="DLO66" i="7" s="1"/>
  <c r="DLQ66" i="7" s="1"/>
  <c r="DLS66" i="7" s="1"/>
  <c r="DLU66" i="7" s="1"/>
  <c r="DLW66" i="7" s="1"/>
  <c r="DLY66" i="7" s="1"/>
  <c r="DMA66" i="7" s="1"/>
  <c r="DMC66" i="7" s="1"/>
  <c r="DME66" i="7" s="1"/>
  <c r="DMG66" i="7" s="1"/>
  <c r="DMI66" i="7" s="1"/>
  <c r="DMK66" i="7" s="1"/>
  <c r="DMM66" i="7" s="1"/>
  <c r="DMO66" i="7" s="1"/>
  <c r="DMQ66" i="7" s="1"/>
  <c r="DMS66" i="7" s="1"/>
  <c r="DMU66" i="7" s="1"/>
  <c r="DMW66" i="7" s="1"/>
  <c r="DMY66" i="7" s="1"/>
  <c r="DNA66" i="7" s="1"/>
  <c r="DNC66" i="7" s="1"/>
  <c r="DNE66" i="7" s="1"/>
  <c r="DNG66" i="7" s="1"/>
  <c r="DNI66" i="7" s="1"/>
  <c r="DNK66" i="7" s="1"/>
  <c r="DNM66" i="7" s="1"/>
  <c r="DNO66" i="7" s="1"/>
  <c r="DNQ66" i="7" s="1"/>
  <c r="DNS66" i="7" s="1"/>
  <c r="DNU66" i="7" s="1"/>
  <c r="DNW66" i="7" s="1"/>
  <c r="DNY66" i="7" s="1"/>
  <c r="DOA66" i="7" s="1"/>
  <c r="DOC66" i="7" s="1"/>
  <c r="DOE66" i="7" s="1"/>
  <c r="DOG66" i="7" s="1"/>
  <c r="DOI66" i="7" s="1"/>
  <c r="DOK66" i="7" s="1"/>
  <c r="DOM66" i="7" s="1"/>
  <c r="DOO66" i="7" s="1"/>
  <c r="DOQ66" i="7" s="1"/>
  <c r="DOS66" i="7" s="1"/>
  <c r="DOU66" i="7" s="1"/>
  <c r="DOW66" i="7" s="1"/>
  <c r="DOY66" i="7" s="1"/>
  <c r="DPA66" i="7" s="1"/>
  <c r="DPC66" i="7" s="1"/>
  <c r="DPE66" i="7" s="1"/>
  <c r="DPG66" i="7" s="1"/>
  <c r="DPI66" i="7" s="1"/>
  <c r="DPK66" i="7" s="1"/>
  <c r="DPM66" i="7" s="1"/>
  <c r="DPO66" i="7" s="1"/>
  <c r="DPQ66" i="7" s="1"/>
  <c r="DPS66" i="7" s="1"/>
  <c r="DPU66" i="7" s="1"/>
  <c r="DPW66" i="7" s="1"/>
  <c r="DPY66" i="7" s="1"/>
  <c r="DQA66" i="7" s="1"/>
  <c r="DQC66" i="7" s="1"/>
  <c r="DQE66" i="7" s="1"/>
  <c r="DQG66" i="7" s="1"/>
  <c r="DQI66" i="7" s="1"/>
  <c r="DQK66" i="7" s="1"/>
  <c r="DQM66" i="7" s="1"/>
  <c r="DQO66" i="7" s="1"/>
  <c r="DQQ66" i="7" s="1"/>
  <c r="DQS66" i="7" s="1"/>
  <c r="DQU66" i="7" s="1"/>
  <c r="DQW66" i="7" s="1"/>
  <c r="DQY66" i="7" s="1"/>
  <c r="DRA66" i="7" s="1"/>
  <c r="DRC66" i="7" s="1"/>
  <c r="DRE66" i="7" s="1"/>
  <c r="DRG66" i="7" s="1"/>
  <c r="DRI66" i="7" s="1"/>
  <c r="DRK66" i="7" s="1"/>
  <c r="DRM66" i="7" s="1"/>
  <c r="DRO66" i="7" s="1"/>
  <c r="DRQ66" i="7" s="1"/>
  <c r="DRS66" i="7" s="1"/>
  <c r="DRU66" i="7" s="1"/>
  <c r="DRW66" i="7" s="1"/>
  <c r="DRY66" i="7" s="1"/>
  <c r="DSA66" i="7" s="1"/>
  <c r="DSC66" i="7" s="1"/>
  <c r="DSE66" i="7" s="1"/>
  <c r="DSG66" i="7" s="1"/>
  <c r="DSI66" i="7" s="1"/>
  <c r="DSK66" i="7" s="1"/>
  <c r="DSM66" i="7" s="1"/>
  <c r="DSO66" i="7" s="1"/>
  <c r="DSQ66" i="7" s="1"/>
  <c r="DSS66" i="7" s="1"/>
  <c r="DSU66" i="7" s="1"/>
  <c r="DSW66" i="7" s="1"/>
  <c r="DSY66" i="7" s="1"/>
  <c r="DTA66" i="7" s="1"/>
  <c r="DTC66" i="7" s="1"/>
  <c r="DTE66" i="7" s="1"/>
  <c r="DTG66" i="7" s="1"/>
  <c r="DTI66" i="7" s="1"/>
  <c r="DTK66" i="7" s="1"/>
  <c r="DTM66" i="7" s="1"/>
  <c r="DTO66" i="7" s="1"/>
  <c r="DTQ66" i="7" s="1"/>
  <c r="DTS66" i="7" s="1"/>
  <c r="DTU66" i="7" s="1"/>
  <c r="DTW66" i="7" s="1"/>
  <c r="DTY66" i="7" s="1"/>
  <c r="DUA66" i="7" s="1"/>
  <c r="DUC66" i="7" s="1"/>
  <c r="DUE66" i="7" s="1"/>
  <c r="DUG66" i="7" s="1"/>
  <c r="DUI66" i="7" s="1"/>
  <c r="DUK66" i="7" s="1"/>
  <c r="DUM66" i="7" s="1"/>
  <c r="DUO66" i="7" s="1"/>
  <c r="DUQ66" i="7" s="1"/>
  <c r="DUS66" i="7" s="1"/>
  <c r="DUU66" i="7" s="1"/>
  <c r="DUW66" i="7" s="1"/>
  <c r="DUY66" i="7" s="1"/>
  <c r="DVA66" i="7" s="1"/>
  <c r="DVC66" i="7" s="1"/>
  <c r="DVE66" i="7" s="1"/>
  <c r="DVG66" i="7" s="1"/>
  <c r="DVI66" i="7" s="1"/>
  <c r="DVK66" i="7" s="1"/>
  <c r="DVM66" i="7" s="1"/>
  <c r="DVO66" i="7" s="1"/>
  <c r="DVQ66" i="7" s="1"/>
  <c r="DVS66" i="7" s="1"/>
  <c r="DVU66" i="7" s="1"/>
  <c r="DVW66" i="7" s="1"/>
  <c r="DVY66" i="7" s="1"/>
  <c r="DWA66" i="7" s="1"/>
  <c r="DWC66" i="7" s="1"/>
  <c r="DWE66" i="7" s="1"/>
  <c r="DWG66" i="7" s="1"/>
  <c r="DWI66" i="7" s="1"/>
  <c r="DWK66" i="7" s="1"/>
  <c r="DWM66" i="7" s="1"/>
  <c r="DWO66" i="7" s="1"/>
  <c r="DWQ66" i="7" s="1"/>
  <c r="DWS66" i="7" s="1"/>
  <c r="DWU66" i="7" s="1"/>
  <c r="DWW66" i="7" s="1"/>
  <c r="DWY66" i="7" s="1"/>
  <c r="DXA66" i="7" s="1"/>
  <c r="DXC66" i="7" s="1"/>
  <c r="DXE66" i="7" s="1"/>
  <c r="DXG66" i="7" s="1"/>
  <c r="DXI66" i="7" s="1"/>
  <c r="DXK66" i="7" s="1"/>
  <c r="DXM66" i="7" s="1"/>
  <c r="DXO66" i="7" s="1"/>
  <c r="DXQ66" i="7" s="1"/>
  <c r="DXS66" i="7" s="1"/>
  <c r="DXU66" i="7" s="1"/>
  <c r="DXW66" i="7" s="1"/>
  <c r="DXY66" i="7" s="1"/>
  <c r="DYA66" i="7" s="1"/>
  <c r="DYC66" i="7" s="1"/>
  <c r="DYE66" i="7" s="1"/>
  <c r="DYG66" i="7" s="1"/>
  <c r="DYI66" i="7" s="1"/>
  <c r="DYK66" i="7" s="1"/>
  <c r="DYM66" i="7" s="1"/>
  <c r="DYO66" i="7" s="1"/>
  <c r="DYQ66" i="7" s="1"/>
  <c r="DYS66" i="7" s="1"/>
  <c r="DYU66" i="7" s="1"/>
  <c r="DYW66" i="7" s="1"/>
  <c r="DYY66" i="7" s="1"/>
  <c r="DZA66" i="7" s="1"/>
  <c r="DZC66" i="7" s="1"/>
  <c r="DZE66" i="7" s="1"/>
  <c r="DZG66" i="7" s="1"/>
  <c r="DZI66" i="7" s="1"/>
  <c r="DZK66" i="7" s="1"/>
  <c r="DZM66" i="7" s="1"/>
  <c r="DZO66" i="7" s="1"/>
  <c r="DZQ66" i="7" s="1"/>
  <c r="DZS66" i="7" s="1"/>
  <c r="DZU66" i="7" s="1"/>
  <c r="DZW66" i="7" s="1"/>
  <c r="DZY66" i="7" s="1"/>
  <c r="EAA66" i="7" s="1"/>
  <c r="EAC66" i="7" s="1"/>
  <c r="EAE66" i="7" s="1"/>
  <c r="EAG66" i="7" s="1"/>
  <c r="EAI66" i="7" s="1"/>
  <c r="EAK66" i="7" s="1"/>
  <c r="EAM66" i="7" s="1"/>
  <c r="EAO66" i="7" s="1"/>
  <c r="EAQ66" i="7" s="1"/>
  <c r="EAS66" i="7" s="1"/>
  <c r="EAU66" i="7" s="1"/>
  <c r="EAW66" i="7" s="1"/>
  <c r="EAY66" i="7" s="1"/>
  <c r="EBA66" i="7" s="1"/>
  <c r="EBC66" i="7" s="1"/>
  <c r="EBE66" i="7" s="1"/>
  <c r="EBG66" i="7" s="1"/>
  <c r="EBI66" i="7" s="1"/>
  <c r="EBK66" i="7" s="1"/>
  <c r="EBM66" i="7" s="1"/>
  <c r="EBO66" i="7" s="1"/>
  <c r="EBQ66" i="7" s="1"/>
  <c r="EBS66" i="7" s="1"/>
  <c r="EBU66" i="7" s="1"/>
  <c r="EBW66" i="7" s="1"/>
  <c r="EBY66" i="7" s="1"/>
  <c r="ECA66" i="7" s="1"/>
  <c r="ECC66" i="7" s="1"/>
  <c r="ECE66" i="7" s="1"/>
  <c r="ECG66" i="7" s="1"/>
  <c r="ECI66" i="7" s="1"/>
  <c r="ECK66" i="7" s="1"/>
  <c r="ECM66" i="7" s="1"/>
  <c r="ECO66" i="7" s="1"/>
  <c r="ECQ66" i="7" s="1"/>
  <c r="ECS66" i="7" s="1"/>
  <c r="ECU66" i="7" s="1"/>
  <c r="ECW66" i="7" s="1"/>
  <c r="ECY66" i="7" s="1"/>
  <c r="EDA66" i="7" s="1"/>
  <c r="EDC66" i="7" s="1"/>
  <c r="EDE66" i="7" s="1"/>
  <c r="EDG66" i="7" s="1"/>
  <c r="EDI66" i="7" s="1"/>
  <c r="EDK66" i="7" s="1"/>
  <c r="EDM66" i="7" s="1"/>
  <c r="EDO66" i="7" s="1"/>
  <c r="EDQ66" i="7" s="1"/>
  <c r="EDS66" i="7" s="1"/>
  <c r="EDU66" i="7" s="1"/>
  <c r="EDW66" i="7" s="1"/>
  <c r="EDY66" i="7" s="1"/>
  <c r="EEA66" i="7" s="1"/>
  <c r="EEC66" i="7" s="1"/>
  <c r="EEE66" i="7" s="1"/>
  <c r="EEG66" i="7" s="1"/>
  <c r="EEI66" i="7" s="1"/>
  <c r="EEK66" i="7" s="1"/>
  <c r="EEM66" i="7" s="1"/>
  <c r="EEO66" i="7" s="1"/>
  <c r="EEQ66" i="7" s="1"/>
  <c r="EES66" i="7" s="1"/>
  <c r="EEU66" i="7" s="1"/>
  <c r="EEW66" i="7" s="1"/>
  <c r="EEY66" i="7" s="1"/>
  <c r="EFA66" i="7" s="1"/>
  <c r="EFC66" i="7" s="1"/>
  <c r="EFE66" i="7" s="1"/>
  <c r="EFG66" i="7" s="1"/>
  <c r="EFI66" i="7" s="1"/>
  <c r="EFK66" i="7" s="1"/>
  <c r="EFM66" i="7" s="1"/>
  <c r="EFO66" i="7" s="1"/>
  <c r="EFQ66" i="7" s="1"/>
  <c r="EFS66" i="7" s="1"/>
  <c r="EFU66" i="7" s="1"/>
  <c r="EFW66" i="7" s="1"/>
  <c r="EFY66" i="7" s="1"/>
  <c r="EGA66" i="7" s="1"/>
  <c r="EGC66" i="7" s="1"/>
  <c r="EGE66" i="7" s="1"/>
  <c r="EGG66" i="7" s="1"/>
  <c r="EGI66" i="7" s="1"/>
  <c r="EGK66" i="7" s="1"/>
  <c r="EGM66" i="7" s="1"/>
  <c r="EGO66" i="7" s="1"/>
  <c r="EGQ66" i="7" s="1"/>
  <c r="EGS66" i="7" s="1"/>
  <c r="EGU66" i="7" s="1"/>
  <c r="EGW66" i="7" s="1"/>
  <c r="EGY66" i="7" s="1"/>
  <c r="EHA66" i="7" s="1"/>
  <c r="EHC66" i="7" s="1"/>
  <c r="EHE66" i="7" s="1"/>
  <c r="EHG66" i="7" s="1"/>
  <c r="EHI66" i="7" s="1"/>
  <c r="EHK66" i="7" s="1"/>
  <c r="EHM66" i="7" s="1"/>
  <c r="EHO66" i="7" s="1"/>
  <c r="EHQ66" i="7" s="1"/>
  <c r="EHS66" i="7" s="1"/>
  <c r="EHU66" i="7" s="1"/>
  <c r="EHW66" i="7" s="1"/>
  <c r="EHY66" i="7" s="1"/>
  <c r="EIA66" i="7" s="1"/>
  <c r="EIC66" i="7" s="1"/>
  <c r="EIE66" i="7" s="1"/>
  <c r="EIG66" i="7" s="1"/>
  <c r="EII66" i="7" s="1"/>
  <c r="EIK66" i="7" s="1"/>
  <c r="EIM66" i="7" s="1"/>
  <c r="EIO66" i="7" s="1"/>
  <c r="EIQ66" i="7" s="1"/>
  <c r="EIS66" i="7" s="1"/>
  <c r="EIU66" i="7" s="1"/>
  <c r="EIW66" i="7" s="1"/>
  <c r="EIY66" i="7" s="1"/>
  <c r="EJA66" i="7" s="1"/>
  <c r="EJC66" i="7" s="1"/>
  <c r="EJE66" i="7" s="1"/>
  <c r="EJG66" i="7" s="1"/>
  <c r="EJI66" i="7" s="1"/>
  <c r="EJK66" i="7" s="1"/>
  <c r="EJM66" i="7" s="1"/>
  <c r="EJO66" i="7" s="1"/>
  <c r="EJQ66" i="7" s="1"/>
  <c r="EJS66" i="7" s="1"/>
  <c r="EJU66" i="7" s="1"/>
  <c r="EJW66" i="7" s="1"/>
  <c r="EJY66" i="7" s="1"/>
  <c r="EKA66" i="7" s="1"/>
  <c r="EKC66" i="7" s="1"/>
  <c r="EKE66" i="7" s="1"/>
  <c r="EKG66" i="7" s="1"/>
  <c r="EKI66" i="7" s="1"/>
  <c r="EKK66" i="7" s="1"/>
  <c r="EKM66" i="7" s="1"/>
  <c r="EKO66" i="7" s="1"/>
  <c r="EKQ66" i="7" s="1"/>
  <c r="EKS66" i="7" s="1"/>
  <c r="EKU66" i="7" s="1"/>
  <c r="EKW66" i="7" s="1"/>
  <c r="EKY66" i="7" s="1"/>
  <c r="ELA66" i="7" s="1"/>
  <c r="ELC66" i="7" s="1"/>
  <c r="ELE66" i="7" s="1"/>
  <c r="ELG66" i="7" s="1"/>
  <c r="ELI66" i="7" s="1"/>
  <c r="ELK66" i="7" s="1"/>
  <c r="ELM66" i="7" s="1"/>
  <c r="ELO66" i="7" s="1"/>
  <c r="ELQ66" i="7" s="1"/>
  <c r="ELS66" i="7" s="1"/>
  <c r="ELU66" i="7" s="1"/>
  <c r="ELW66" i="7" s="1"/>
  <c r="ELY66" i="7" s="1"/>
  <c r="EMA66" i="7" s="1"/>
  <c r="EMC66" i="7" s="1"/>
  <c r="EME66" i="7" s="1"/>
  <c r="EMG66" i="7" s="1"/>
  <c r="EMI66" i="7" s="1"/>
  <c r="EMK66" i="7" s="1"/>
  <c r="EMM66" i="7" s="1"/>
  <c r="EMO66" i="7" s="1"/>
  <c r="EMQ66" i="7" s="1"/>
  <c r="EMS66" i="7" s="1"/>
  <c r="EMU66" i="7" s="1"/>
  <c r="EMW66" i="7" s="1"/>
  <c r="EMY66" i="7" s="1"/>
  <c r="ENA66" i="7" s="1"/>
  <c r="ENC66" i="7" s="1"/>
  <c r="ENE66" i="7" s="1"/>
  <c r="ENG66" i="7" s="1"/>
  <c r="ENI66" i="7" s="1"/>
  <c r="ENK66" i="7" s="1"/>
  <c r="ENM66" i="7" s="1"/>
  <c r="ENO66" i="7" s="1"/>
  <c r="ENQ66" i="7" s="1"/>
  <c r="ENS66" i="7" s="1"/>
  <c r="ENU66" i="7" s="1"/>
  <c r="ENW66" i="7" s="1"/>
  <c r="ENY66" i="7" s="1"/>
  <c r="EOA66" i="7" s="1"/>
  <c r="EOC66" i="7" s="1"/>
  <c r="EOE66" i="7" s="1"/>
  <c r="EOG66" i="7" s="1"/>
  <c r="EOI66" i="7" s="1"/>
  <c r="EOK66" i="7" s="1"/>
  <c r="EOM66" i="7" s="1"/>
  <c r="EOO66" i="7" s="1"/>
  <c r="EOQ66" i="7" s="1"/>
  <c r="EOS66" i="7" s="1"/>
  <c r="EOU66" i="7" s="1"/>
  <c r="EOW66" i="7" s="1"/>
  <c r="EOY66" i="7" s="1"/>
  <c r="EPA66" i="7" s="1"/>
  <c r="EPC66" i="7" s="1"/>
  <c r="EPE66" i="7" s="1"/>
  <c r="EPG66" i="7" s="1"/>
  <c r="EPI66" i="7" s="1"/>
  <c r="EPK66" i="7" s="1"/>
  <c r="EPM66" i="7" s="1"/>
  <c r="EPO66" i="7" s="1"/>
  <c r="EPQ66" i="7" s="1"/>
  <c r="EPS66" i="7" s="1"/>
  <c r="EPU66" i="7" s="1"/>
  <c r="EPW66" i="7" s="1"/>
  <c r="EPY66" i="7" s="1"/>
  <c r="EQA66" i="7" s="1"/>
  <c r="EQC66" i="7" s="1"/>
  <c r="EQE66" i="7" s="1"/>
  <c r="EQG66" i="7" s="1"/>
  <c r="EQI66" i="7" s="1"/>
  <c r="EQK66" i="7" s="1"/>
  <c r="EQM66" i="7" s="1"/>
  <c r="EQO66" i="7" s="1"/>
  <c r="EQQ66" i="7" s="1"/>
  <c r="EQS66" i="7" s="1"/>
  <c r="EQU66" i="7" s="1"/>
  <c r="EQW66" i="7" s="1"/>
  <c r="EQY66" i="7" s="1"/>
  <c r="ERA66" i="7" s="1"/>
  <c r="ERC66" i="7" s="1"/>
  <c r="ERE66" i="7" s="1"/>
  <c r="ERG66" i="7" s="1"/>
  <c r="ERI66" i="7" s="1"/>
  <c r="ERK66" i="7" s="1"/>
  <c r="ERM66" i="7" s="1"/>
  <c r="ERO66" i="7" s="1"/>
  <c r="ERQ66" i="7" s="1"/>
  <c r="ERS66" i="7" s="1"/>
  <c r="ERU66" i="7" s="1"/>
  <c r="ERW66" i="7" s="1"/>
  <c r="ERY66" i="7" s="1"/>
  <c r="ESA66" i="7" s="1"/>
  <c r="ESC66" i="7" s="1"/>
  <c r="ESE66" i="7" s="1"/>
  <c r="ESG66" i="7" s="1"/>
  <c r="ESI66" i="7" s="1"/>
  <c r="ESK66" i="7" s="1"/>
  <c r="ESM66" i="7" s="1"/>
  <c r="ESO66" i="7" s="1"/>
  <c r="ESQ66" i="7" s="1"/>
  <c r="ESS66" i="7" s="1"/>
  <c r="ESU66" i="7" s="1"/>
  <c r="ESW66" i="7" s="1"/>
  <c r="ESY66" i="7" s="1"/>
  <c r="ETA66" i="7" s="1"/>
  <c r="ETC66" i="7" s="1"/>
  <c r="ETE66" i="7" s="1"/>
  <c r="ETG66" i="7" s="1"/>
  <c r="ETI66" i="7" s="1"/>
  <c r="ETK66" i="7" s="1"/>
  <c r="ETM66" i="7" s="1"/>
  <c r="ETO66" i="7" s="1"/>
  <c r="ETQ66" i="7" s="1"/>
  <c r="ETS66" i="7" s="1"/>
  <c r="ETU66" i="7" s="1"/>
  <c r="ETW66" i="7" s="1"/>
  <c r="ETY66" i="7" s="1"/>
  <c r="EUA66" i="7" s="1"/>
  <c r="EUC66" i="7" s="1"/>
  <c r="EUE66" i="7" s="1"/>
  <c r="EUG66" i="7" s="1"/>
  <c r="EUI66" i="7" s="1"/>
  <c r="EUK66" i="7" s="1"/>
  <c r="EUM66" i="7" s="1"/>
  <c r="EUO66" i="7" s="1"/>
  <c r="EUQ66" i="7" s="1"/>
  <c r="EUS66" i="7" s="1"/>
  <c r="EUU66" i="7" s="1"/>
  <c r="EUW66" i="7" s="1"/>
  <c r="EUY66" i="7" s="1"/>
  <c r="EVA66" i="7" s="1"/>
  <c r="EVC66" i="7" s="1"/>
  <c r="EVE66" i="7" s="1"/>
  <c r="EVG66" i="7" s="1"/>
  <c r="EVI66" i="7" s="1"/>
  <c r="EVK66" i="7" s="1"/>
  <c r="EVM66" i="7" s="1"/>
  <c r="EVO66" i="7" s="1"/>
  <c r="EVQ66" i="7" s="1"/>
  <c r="EVS66" i="7" s="1"/>
  <c r="EVU66" i="7" s="1"/>
  <c r="EVW66" i="7" s="1"/>
  <c r="EVY66" i="7" s="1"/>
  <c r="EWA66" i="7" s="1"/>
  <c r="EWC66" i="7" s="1"/>
  <c r="EWE66" i="7" s="1"/>
  <c r="EWG66" i="7" s="1"/>
  <c r="EWI66" i="7" s="1"/>
  <c r="EWK66" i="7" s="1"/>
  <c r="EWM66" i="7" s="1"/>
  <c r="EWO66" i="7" s="1"/>
  <c r="EWQ66" i="7" s="1"/>
  <c r="EWS66" i="7" s="1"/>
  <c r="EWU66" i="7" s="1"/>
  <c r="EWW66" i="7" s="1"/>
  <c r="EWY66" i="7" s="1"/>
  <c r="EXA66" i="7" s="1"/>
  <c r="EXC66" i="7" s="1"/>
  <c r="EXE66" i="7" s="1"/>
  <c r="EXG66" i="7" s="1"/>
  <c r="EXI66" i="7" s="1"/>
  <c r="EXK66" i="7" s="1"/>
  <c r="EXM66" i="7" s="1"/>
  <c r="EXO66" i="7" s="1"/>
  <c r="EXQ66" i="7" s="1"/>
  <c r="EXS66" i="7" s="1"/>
  <c r="EXU66" i="7" s="1"/>
  <c r="EXW66" i="7" s="1"/>
  <c r="EXY66" i="7" s="1"/>
  <c r="EYA66" i="7" s="1"/>
  <c r="EYC66" i="7" s="1"/>
  <c r="EYE66" i="7" s="1"/>
  <c r="EYG66" i="7" s="1"/>
  <c r="EYI66" i="7" s="1"/>
  <c r="EYK66" i="7" s="1"/>
  <c r="EYM66" i="7" s="1"/>
  <c r="EYO66" i="7" s="1"/>
  <c r="EYQ66" i="7" s="1"/>
  <c r="EYS66" i="7" s="1"/>
  <c r="EYU66" i="7" s="1"/>
  <c r="EYW66" i="7" s="1"/>
  <c r="EYY66" i="7" s="1"/>
  <c r="EZA66" i="7" s="1"/>
  <c r="EZC66" i="7" s="1"/>
  <c r="EZE66" i="7" s="1"/>
  <c r="EZG66" i="7" s="1"/>
  <c r="EZI66" i="7" s="1"/>
  <c r="EZK66" i="7" s="1"/>
  <c r="EZM66" i="7" s="1"/>
  <c r="EZO66" i="7" s="1"/>
  <c r="EZQ66" i="7" s="1"/>
  <c r="EZS66" i="7" s="1"/>
  <c r="EZU66" i="7" s="1"/>
  <c r="EZW66" i="7" s="1"/>
  <c r="EZY66" i="7" s="1"/>
  <c r="FAA66" i="7" s="1"/>
  <c r="FAC66" i="7" s="1"/>
  <c r="FAE66" i="7" s="1"/>
  <c r="FAG66" i="7" s="1"/>
  <c r="FAI66" i="7" s="1"/>
  <c r="FAK66" i="7" s="1"/>
  <c r="FAM66" i="7" s="1"/>
  <c r="FAO66" i="7" s="1"/>
  <c r="FAQ66" i="7" s="1"/>
  <c r="FAS66" i="7" s="1"/>
  <c r="FAU66" i="7" s="1"/>
  <c r="FAW66" i="7" s="1"/>
  <c r="FAY66" i="7" s="1"/>
  <c r="FBA66" i="7" s="1"/>
  <c r="FBC66" i="7" s="1"/>
  <c r="FBE66" i="7" s="1"/>
  <c r="FBG66" i="7" s="1"/>
  <c r="FBI66" i="7" s="1"/>
  <c r="FBK66" i="7" s="1"/>
  <c r="FBM66" i="7" s="1"/>
  <c r="FBO66" i="7" s="1"/>
  <c r="FBQ66" i="7" s="1"/>
  <c r="FBS66" i="7" s="1"/>
  <c r="FBU66" i="7" s="1"/>
  <c r="FBW66" i="7" s="1"/>
  <c r="FBY66" i="7" s="1"/>
  <c r="FCA66" i="7" s="1"/>
  <c r="FCC66" i="7" s="1"/>
  <c r="FCE66" i="7" s="1"/>
  <c r="FCG66" i="7" s="1"/>
  <c r="FCI66" i="7" s="1"/>
  <c r="FCK66" i="7" s="1"/>
  <c r="FCM66" i="7" s="1"/>
  <c r="FCO66" i="7" s="1"/>
  <c r="FCQ66" i="7" s="1"/>
  <c r="FCS66" i="7" s="1"/>
  <c r="FCU66" i="7" s="1"/>
  <c r="FCW66" i="7" s="1"/>
  <c r="FCY66" i="7" s="1"/>
  <c r="FDA66" i="7" s="1"/>
  <c r="FDC66" i="7" s="1"/>
  <c r="FDE66" i="7" s="1"/>
  <c r="FDG66" i="7" s="1"/>
  <c r="FDI66" i="7" s="1"/>
  <c r="FDK66" i="7" s="1"/>
  <c r="FDM66" i="7" s="1"/>
  <c r="FDO66" i="7" s="1"/>
  <c r="FDQ66" i="7" s="1"/>
  <c r="FDS66" i="7" s="1"/>
  <c r="FDU66" i="7" s="1"/>
  <c r="FDW66" i="7" s="1"/>
  <c r="FDY66" i="7" s="1"/>
  <c r="FEA66" i="7" s="1"/>
  <c r="FEC66" i="7" s="1"/>
  <c r="FEE66" i="7" s="1"/>
  <c r="FEG66" i="7" s="1"/>
  <c r="FEI66" i="7" s="1"/>
  <c r="FEK66" i="7" s="1"/>
  <c r="FEM66" i="7" s="1"/>
  <c r="FEO66" i="7" s="1"/>
  <c r="FEQ66" i="7" s="1"/>
  <c r="FES66" i="7" s="1"/>
  <c r="FEU66" i="7" s="1"/>
  <c r="FEW66" i="7" s="1"/>
  <c r="FEY66" i="7" s="1"/>
  <c r="FFA66" i="7" s="1"/>
  <c r="FFC66" i="7" s="1"/>
  <c r="FFE66" i="7" s="1"/>
  <c r="FFG66" i="7" s="1"/>
  <c r="FFI66" i="7" s="1"/>
  <c r="FFK66" i="7" s="1"/>
  <c r="FFM66" i="7" s="1"/>
  <c r="FFO66" i="7" s="1"/>
  <c r="FFQ66" i="7" s="1"/>
  <c r="FFS66" i="7" s="1"/>
  <c r="FFU66" i="7" s="1"/>
  <c r="FFW66" i="7" s="1"/>
  <c r="FFY66" i="7" s="1"/>
  <c r="FGA66" i="7" s="1"/>
  <c r="FGC66" i="7" s="1"/>
  <c r="FGE66" i="7" s="1"/>
  <c r="FGG66" i="7" s="1"/>
  <c r="FGI66" i="7" s="1"/>
  <c r="FGK66" i="7" s="1"/>
  <c r="FGM66" i="7" s="1"/>
  <c r="FGO66" i="7" s="1"/>
  <c r="FGQ66" i="7" s="1"/>
  <c r="FGS66" i="7" s="1"/>
  <c r="FGU66" i="7" s="1"/>
  <c r="FGW66" i="7" s="1"/>
  <c r="FGY66" i="7" s="1"/>
  <c r="FHA66" i="7" s="1"/>
  <c r="FHC66" i="7" s="1"/>
  <c r="FHE66" i="7" s="1"/>
  <c r="FHG66" i="7" s="1"/>
  <c r="FHI66" i="7" s="1"/>
  <c r="FHK66" i="7" s="1"/>
  <c r="FHM66" i="7" s="1"/>
  <c r="FHO66" i="7" s="1"/>
  <c r="FHQ66" i="7" s="1"/>
  <c r="FHS66" i="7" s="1"/>
  <c r="FHU66" i="7" s="1"/>
  <c r="FHW66" i="7" s="1"/>
  <c r="FHY66" i="7" s="1"/>
  <c r="FIA66" i="7" s="1"/>
  <c r="FIC66" i="7" s="1"/>
  <c r="FIE66" i="7" s="1"/>
  <c r="FIG66" i="7" s="1"/>
  <c r="FII66" i="7" s="1"/>
  <c r="FIK66" i="7" s="1"/>
  <c r="FIM66" i="7" s="1"/>
  <c r="FIO66" i="7" s="1"/>
  <c r="FIQ66" i="7" s="1"/>
  <c r="FIS66" i="7" s="1"/>
  <c r="FIU66" i="7" s="1"/>
  <c r="FIW66" i="7" s="1"/>
  <c r="FIY66" i="7" s="1"/>
  <c r="FJA66" i="7" s="1"/>
  <c r="FJC66" i="7" s="1"/>
  <c r="FJE66" i="7" s="1"/>
  <c r="FJG66" i="7" s="1"/>
  <c r="FJI66" i="7" s="1"/>
  <c r="FJK66" i="7" s="1"/>
  <c r="FJM66" i="7" s="1"/>
  <c r="FJO66" i="7" s="1"/>
  <c r="FJQ66" i="7" s="1"/>
  <c r="FJS66" i="7" s="1"/>
  <c r="FJU66" i="7" s="1"/>
  <c r="FJW66" i="7" s="1"/>
  <c r="FJY66" i="7" s="1"/>
  <c r="FKA66" i="7" s="1"/>
  <c r="FKC66" i="7" s="1"/>
  <c r="FKE66" i="7" s="1"/>
  <c r="FKG66" i="7" s="1"/>
  <c r="FKI66" i="7" s="1"/>
  <c r="FKK66" i="7" s="1"/>
  <c r="FKM66" i="7" s="1"/>
  <c r="FKO66" i="7" s="1"/>
  <c r="FKQ66" i="7" s="1"/>
  <c r="FKS66" i="7" s="1"/>
  <c r="FKU66" i="7" s="1"/>
  <c r="FKW66" i="7" s="1"/>
  <c r="FKY66" i="7" s="1"/>
  <c r="FLA66" i="7" s="1"/>
  <c r="FLC66" i="7" s="1"/>
  <c r="FLE66" i="7" s="1"/>
  <c r="FLG66" i="7" s="1"/>
  <c r="FLI66" i="7" s="1"/>
  <c r="FLK66" i="7" s="1"/>
  <c r="FLM66" i="7" s="1"/>
  <c r="FLO66" i="7" s="1"/>
  <c r="FLQ66" i="7" s="1"/>
  <c r="FLS66" i="7" s="1"/>
  <c r="FLU66" i="7" s="1"/>
  <c r="FLW66" i="7" s="1"/>
  <c r="FLY66" i="7" s="1"/>
  <c r="FMA66" i="7" s="1"/>
  <c r="FMC66" i="7" s="1"/>
  <c r="FME66" i="7" s="1"/>
  <c r="FMG66" i="7" s="1"/>
  <c r="FMI66" i="7" s="1"/>
  <c r="FMK66" i="7" s="1"/>
  <c r="FMM66" i="7" s="1"/>
  <c r="FMO66" i="7" s="1"/>
  <c r="FMQ66" i="7" s="1"/>
  <c r="FMS66" i="7" s="1"/>
  <c r="FMU66" i="7" s="1"/>
  <c r="FMW66" i="7" s="1"/>
  <c r="FMY66" i="7" s="1"/>
  <c r="FNA66" i="7" s="1"/>
  <c r="FNC66" i="7" s="1"/>
  <c r="FNE66" i="7" s="1"/>
  <c r="FNG66" i="7" s="1"/>
  <c r="FNI66" i="7" s="1"/>
  <c r="FNK66" i="7" s="1"/>
  <c r="FNM66" i="7" s="1"/>
  <c r="FNO66" i="7" s="1"/>
  <c r="FNQ66" i="7" s="1"/>
  <c r="FNS66" i="7" s="1"/>
  <c r="FNU66" i="7" s="1"/>
  <c r="FNW66" i="7" s="1"/>
  <c r="FNY66" i="7" s="1"/>
  <c r="FOA66" i="7" s="1"/>
  <c r="FOC66" i="7" s="1"/>
  <c r="FOE66" i="7" s="1"/>
  <c r="FOG66" i="7" s="1"/>
  <c r="FOI66" i="7" s="1"/>
  <c r="FOK66" i="7" s="1"/>
  <c r="FOM66" i="7" s="1"/>
  <c r="FOO66" i="7" s="1"/>
  <c r="FOQ66" i="7" s="1"/>
  <c r="FOS66" i="7" s="1"/>
  <c r="FOU66" i="7" s="1"/>
  <c r="FOW66" i="7" s="1"/>
  <c r="FOY66" i="7" s="1"/>
  <c r="FPA66" i="7" s="1"/>
  <c r="FPC66" i="7" s="1"/>
  <c r="FPE66" i="7" s="1"/>
  <c r="FPG66" i="7" s="1"/>
  <c r="FPI66" i="7" s="1"/>
  <c r="FPK66" i="7" s="1"/>
  <c r="FPM66" i="7" s="1"/>
  <c r="FPO66" i="7" s="1"/>
  <c r="FPQ66" i="7" s="1"/>
  <c r="FPS66" i="7" s="1"/>
  <c r="FPU66" i="7" s="1"/>
  <c r="FPW66" i="7" s="1"/>
  <c r="FPY66" i="7" s="1"/>
  <c r="FQA66" i="7" s="1"/>
  <c r="FQC66" i="7" s="1"/>
  <c r="FQE66" i="7" s="1"/>
  <c r="FQG66" i="7" s="1"/>
  <c r="FQI66" i="7" s="1"/>
  <c r="FQK66" i="7" s="1"/>
  <c r="FQM66" i="7" s="1"/>
  <c r="FQO66" i="7" s="1"/>
  <c r="FQQ66" i="7" s="1"/>
  <c r="FQS66" i="7" s="1"/>
  <c r="FQU66" i="7" s="1"/>
  <c r="FQW66" i="7" s="1"/>
  <c r="FQY66" i="7" s="1"/>
  <c r="FRA66" i="7" s="1"/>
  <c r="FRC66" i="7" s="1"/>
  <c r="FRE66" i="7" s="1"/>
  <c r="FRG66" i="7" s="1"/>
  <c r="FRI66" i="7" s="1"/>
  <c r="FRK66" i="7" s="1"/>
  <c r="FRM66" i="7" s="1"/>
  <c r="FRO66" i="7" s="1"/>
  <c r="FRQ66" i="7" s="1"/>
  <c r="FRS66" i="7" s="1"/>
  <c r="FRU66" i="7" s="1"/>
  <c r="FRW66" i="7" s="1"/>
  <c r="FRY66" i="7" s="1"/>
  <c r="FSA66" i="7" s="1"/>
  <c r="FSC66" i="7" s="1"/>
  <c r="FSE66" i="7" s="1"/>
  <c r="FSG66" i="7" s="1"/>
  <c r="FSI66" i="7" s="1"/>
  <c r="FSK66" i="7" s="1"/>
  <c r="FSM66" i="7" s="1"/>
  <c r="FSO66" i="7" s="1"/>
  <c r="FSQ66" i="7" s="1"/>
  <c r="FSS66" i="7" s="1"/>
  <c r="FSU66" i="7" s="1"/>
  <c r="FSW66" i="7" s="1"/>
  <c r="FSY66" i="7" s="1"/>
  <c r="FTA66" i="7" s="1"/>
  <c r="FTC66" i="7" s="1"/>
  <c r="FTE66" i="7" s="1"/>
  <c r="FTG66" i="7" s="1"/>
  <c r="FTI66" i="7" s="1"/>
  <c r="FTK66" i="7" s="1"/>
  <c r="FTM66" i="7" s="1"/>
  <c r="FTO66" i="7" s="1"/>
  <c r="FTQ66" i="7" s="1"/>
  <c r="FTS66" i="7" s="1"/>
  <c r="FTU66" i="7" s="1"/>
  <c r="FTW66" i="7" s="1"/>
  <c r="FTY66" i="7" s="1"/>
  <c r="FUA66" i="7" s="1"/>
  <c r="FUC66" i="7" s="1"/>
  <c r="FUE66" i="7" s="1"/>
  <c r="FUG66" i="7" s="1"/>
  <c r="FUI66" i="7" s="1"/>
  <c r="FUK66" i="7" s="1"/>
  <c r="FUM66" i="7" s="1"/>
  <c r="FUO66" i="7" s="1"/>
  <c r="FUQ66" i="7" s="1"/>
  <c r="FUS66" i="7" s="1"/>
  <c r="FUU66" i="7" s="1"/>
  <c r="FUW66" i="7" s="1"/>
  <c r="FUY66" i="7" s="1"/>
  <c r="FVA66" i="7" s="1"/>
  <c r="FVC66" i="7" s="1"/>
  <c r="FVE66" i="7" s="1"/>
  <c r="FVG66" i="7" s="1"/>
  <c r="FVI66" i="7" s="1"/>
  <c r="FVK66" i="7" s="1"/>
  <c r="FVM66" i="7" s="1"/>
  <c r="FVO66" i="7" s="1"/>
  <c r="FVQ66" i="7" s="1"/>
  <c r="FVS66" i="7" s="1"/>
  <c r="FVU66" i="7" s="1"/>
  <c r="FVW66" i="7" s="1"/>
  <c r="FVY66" i="7" s="1"/>
  <c r="FWA66" i="7" s="1"/>
  <c r="FWC66" i="7" s="1"/>
  <c r="FWE66" i="7" s="1"/>
  <c r="FWG66" i="7" s="1"/>
  <c r="FWI66" i="7" s="1"/>
  <c r="FWK66" i="7" s="1"/>
  <c r="FWM66" i="7" s="1"/>
  <c r="FWO66" i="7" s="1"/>
  <c r="FWQ66" i="7" s="1"/>
  <c r="FWS66" i="7" s="1"/>
  <c r="FWU66" i="7" s="1"/>
  <c r="FWW66" i="7" s="1"/>
  <c r="FWY66" i="7" s="1"/>
  <c r="FXA66" i="7" s="1"/>
  <c r="FXC66" i="7" s="1"/>
  <c r="FXE66" i="7" s="1"/>
  <c r="FXG66" i="7" s="1"/>
  <c r="FXI66" i="7" s="1"/>
  <c r="FXK66" i="7" s="1"/>
  <c r="FXM66" i="7" s="1"/>
  <c r="FXO66" i="7" s="1"/>
  <c r="FXQ66" i="7" s="1"/>
  <c r="FXS66" i="7" s="1"/>
  <c r="FXU66" i="7" s="1"/>
  <c r="FXW66" i="7" s="1"/>
  <c r="FXY66" i="7" s="1"/>
  <c r="FYA66" i="7" s="1"/>
  <c r="FYC66" i="7" s="1"/>
  <c r="FYE66" i="7" s="1"/>
  <c r="FYG66" i="7" s="1"/>
  <c r="FYI66" i="7" s="1"/>
  <c r="FYK66" i="7" s="1"/>
  <c r="FYM66" i="7" s="1"/>
  <c r="FYO66" i="7" s="1"/>
  <c r="FYQ66" i="7" s="1"/>
  <c r="FYS66" i="7" s="1"/>
  <c r="FYU66" i="7" s="1"/>
  <c r="FYW66" i="7" s="1"/>
  <c r="FYY66" i="7" s="1"/>
  <c r="FZA66" i="7" s="1"/>
  <c r="FZC66" i="7" s="1"/>
  <c r="FZE66" i="7" s="1"/>
  <c r="FZG66" i="7" s="1"/>
  <c r="FZI66" i="7" s="1"/>
  <c r="FZK66" i="7" s="1"/>
  <c r="FZM66" i="7" s="1"/>
  <c r="FZO66" i="7" s="1"/>
  <c r="FZQ66" i="7" s="1"/>
  <c r="FZS66" i="7" s="1"/>
  <c r="FZU66" i="7" s="1"/>
  <c r="FZW66" i="7" s="1"/>
  <c r="FZY66" i="7" s="1"/>
  <c r="GAA66" i="7" s="1"/>
  <c r="GAC66" i="7" s="1"/>
  <c r="GAE66" i="7" s="1"/>
  <c r="GAG66" i="7" s="1"/>
  <c r="GAI66" i="7" s="1"/>
  <c r="GAK66" i="7" s="1"/>
  <c r="GAM66" i="7" s="1"/>
  <c r="GAO66" i="7" s="1"/>
  <c r="GAQ66" i="7" s="1"/>
  <c r="GAS66" i="7" s="1"/>
  <c r="GAU66" i="7" s="1"/>
  <c r="GAW66" i="7" s="1"/>
  <c r="GAY66" i="7" s="1"/>
  <c r="GBA66" i="7" s="1"/>
  <c r="GBC66" i="7" s="1"/>
  <c r="GBE66" i="7" s="1"/>
  <c r="GBG66" i="7" s="1"/>
  <c r="GBI66" i="7" s="1"/>
  <c r="GBK66" i="7" s="1"/>
  <c r="GBM66" i="7" s="1"/>
  <c r="GBO66" i="7" s="1"/>
  <c r="GBQ66" i="7" s="1"/>
  <c r="GBS66" i="7" s="1"/>
  <c r="GBU66" i="7" s="1"/>
  <c r="GBW66" i="7" s="1"/>
  <c r="GBY66" i="7" s="1"/>
  <c r="GCA66" i="7" s="1"/>
  <c r="GCC66" i="7" s="1"/>
  <c r="GCE66" i="7" s="1"/>
  <c r="GCG66" i="7" s="1"/>
  <c r="GCI66" i="7" s="1"/>
  <c r="GCK66" i="7" s="1"/>
  <c r="GCM66" i="7" s="1"/>
  <c r="GCO66" i="7" s="1"/>
  <c r="GCQ66" i="7" s="1"/>
  <c r="GCS66" i="7" s="1"/>
  <c r="GCU66" i="7" s="1"/>
  <c r="GCW66" i="7" s="1"/>
  <c r="GCY66" i="7" s="1"/>
  <c r="GDA66" i="7" s="1"/>
  <c r="GDC66" i="7" s="1"/>
  <c r="GDE66" i="7" s="1"/>
  <c r="GDG66" i="7" s="1"/>
  <c r="GDI66" i="7" s="1"/>
  <c r="GDK66" i="7" s="1"/>
  <c r="GDM66" i="7" s="1"/>
  <c r="GDO66" i="7" s="1"/>
  <c r="GDQ66" i="7" s="1"/>
  <c r="GDS66" i="7" s="1"/>
  <c r="GDU66" i="7" s="1"/>
  <c r="GDW66" i="7" s="1"/>
  <c r="GDY66" i="7" s="1"/>
  <c r="GEA66" i="7" s="1"/>
  <c r="GEC66" i="7" s="1"/>
  <c r="GEE66" i="7" s="1"/>
  <c r="GEG66" i="7" s="1"/>
  <c r="GEI66" i="7" s="1"/>
  <c r="GEK66" i="7" s="1"/>
  <c r="GEM66" i="7" s="1"/>
  <c r="GEO66" i="7" s="1"/>
  <c r="GEQ66" i="7" s="1"/>
  <c r="GES66" i="7" s="1"/>
  <c r="GEU66" i="7" s="1"/>
  <c r="GEW66" i="7" s="1"/>
  <c r="GEY66" i="7" s="1"/>
  <c r="GFA66" i="7" s="1"/>
  <c r="GFC66" i="7" s="1"/>
  <c r="GFE66" i="7" s="1"/>
  <c r="GFG66" i="7" s="1"/>
  <c r="GFI66" i="7" s="1"/>
  <c r="GFK66" i="7" s="1"/>
  <c r="GFM66" i="7" s="1"/>
  <c r="GFO66" i="7" s="1"/>
  <c r="GFQ66" i="7" s="1"/>
  <c r="GFS66" i="7" s="1"/>
  <c r="GFU66" i="7" s="1"/>
  <c r="GFW66" i="7" s="1"/>
  <c r="GFY66" i="7" s="1"/>
  <c r="GGA66" i="7" s="1"/>
  <c r="GGC66" i="7" s="1"/>
  <c r="GGE66" i="7" s="1"/>
  <c r="GGG66" i="7" s="1"/>
  <c r="GGI66" i="7" s="1"/>
  <c r="GGK66" i="7" s="1"/>
  <c r="GGM66" i="7" s="1"/>
  <c r="GGO66" i="7" s="1"/>
  <c r="GGQ66" i="7" s="1"/>
  <c r="GGS66" i="7" s="1"/>
  <c r="GGU66" i="7" s="1"/>
  <c r="GGW66" i="7" s="1"/>
  <c r="GGY66" i="7" s="1"/>
  <c r="GHA66" i="7" s="1"/>
  <c r="GHC66" i="7" s="1"/>
  <c r="GHE66" i="7" s="1"/>
  <c r="GHG66" i="7" s="1"/>
  <c r="GHI66" i="7" s="1"/>
  <c r="GHK66" i="7" s="1"/>
  <c r="GHM66" i="7" s="1"/>
  <c r="GHO66" i="7" s="1"/>
  <c r="GHQ66" i="7" s="1"/>
  <c r="GHS66" i="7" s="1"/>
  <c r="GHU66" i="7" s="1"/>
  <c r="GHW66" i="7" s="1"/>
  <c r="GHY66" i="7" s="1"/>
  <c r="GIA66" i="7" s="1"/>
  <c r="GIC66" i="7" s="1"/>
  <c r="GIE66" i="7" s="1"/>
  <c r="GIG66" i="7" s="1"/>
  <c r="GII66" i="7" s="1"/>
  <c r="GIK66" i="7" s="1"/>
  <c r="GIM66" i="7" s="1"/>
  <c r="GIO66" i="7" s="1"/>
  <c r="GIQ66" i="7" s="1"/>
  <c r="GIS66" i="7" s="1"/>
  <c r="GIU66" i="7" s="1"/>
  <c r="GIW66" i="7" s="1"/>
  <c r="GIY66" i="7" s="1"/>
  <c r="GJA66" i="7" s="1"/>
  <c r="GJC66" i="7" s="1"/>
  <c r="GJE66" i="7" s="1"/>
  <c r="GJG66" i="7" s="1"/>
  <c r="GJI66" i="7" s="1"/>
  <c r="GJK66" i="7" s="1"/>
  <c r="GJM66" i="7" s="1"/>
  <c r="GJO66" i="7" s="1"/>
  <c r="GJQ66" i="7" s="1"/>
  <c r="GJS66" i="7" s="1"/>
  <c r="GJU66" i="7" s="1"/>
  <c r="GJW66" i="7" s="1"/>
  <c r="GJY66" i="7" s="1"/>
  <c r="GKA66" i="7" s="1"/>
  <c r="GKC66" i="7" s="1"/>
  <c r="GKE66" i="7" s="1"/>
  <c r="GKG66" i="7" s="1"/>
  <c r="GKI66" i="7" s="1"/>
  <c r="GKK66" i="7" s="1"/>
  <c r="GKM66" i="7" s="1"/>
  <c r="GKO66" i="7" s="1"/>
  <c r="GKQ66" i="7" s="1"/>
  <c r="GKS66" i="7" s="1"/>
  <c r="GKU66" i="7" s="1"/>
  <c r="GKW66" i="7" s="1"/>
  <c r="GKY66" i="7" s="1"/>
  <c r="GLA66" i="7" s="1"/>
  <c r="GLC66" i="7" s="1"/>
  <c r="GLE66" i="7" s="1"/>
  <c r="GLG66" i="7" s="1"/>
  <c r="GLI66" i="7" s="1"/>
  <c r="GLK66" i="7" s="1"/>
  <c r="GLM66" i="7" s="1"/>
  <c r="GLO66" i="7" s="1"/>
  <c r="GLQ66" i="7" s="1"/>
  <c r="GLS66" i="7" s="1"/>
  <c r="GLU66" i="7" s="1"/>
  <c r="GLW66" i="7" s="1"/>
  <c r="GLY66" i="7" s="1"/>
  <c r="GMA66" i="7" s="1"/>
  <c r="GMC66" i="7" s="1"/>
  <c r="GME66" i="7" s="1"/>
  <c r="GMG66" i="7" s="1"/>
  <c r="GMI66" i="7" s="1"/>
  <c r="GMK66" i="7" s="1"/>
  <c r="GMM66" i="7" s="1"/>
  <c r="GMO66" i="7" s="1"/>
  <c r="GMQ66" i="7" s="1"/>
  <c r="GMS66" i="7" s="1"/>
  <c r="GMU66" i="7" s="1"/>
  <c r="GMW66" i="7" s="1"/>
  <c r="GMY66" i="7" s="1"/>
  <c r="GNA66" i="7" s="1"/>
  <c r="GNC66" i="7" s="1"/>
  <c r="GNE66" i="7" s="1"/>
  <c r="GNG66" i="7" s="1"/>
  <c r="GNI66" i="7" s="1"/>
  <c r="GNK66" i="7" s="1"/>
  <c r="GNM66" i="7" s="1"/>
  <c r="GNO66" i="7" s="1"/>
  <c r="GNQ66" i="7" s="1"/>
  <c r="GNS66" i="7" s="1"/>
  <c r="GNU66" i="7" s="1"/>
  <c r="GNW66" i="7" s="1"/>
  <c r="GNY66" i="7" s="1"/>
  <c r="GOA66" i="7" s="1"/>
  <c r="GOC66" i="7" s="1"/>
  <c r="GOE66" i="7" s="1"/>
  <c r="GOG66" i="7" s="1"/>
  <c r="GOI66" i="7" s="1"/>
  <c r="GOK66" i="7" s="1"/>
  <c r="GOM66" i="7" s="1"/>
  <c r="GOO66" i="7" s="1"/>
  <c r="GOQ66" i="7" s="1"/>
  <c r="GOS66" i="7" s="1"/>
  <c r="GOU66" i="7" s="1"/>
  <c r="GOW66" i="7" s="1"/>
  <c r="GOY66" i="7" s="1"/>
  <c r="GPA66" i="7" s="1"/>
  <c r="GPC66" i="7" s="1"/>
  <c r="GPE66" i="7" s="1"/>
  <c r="GPG66" i="7" s="1"/>
  <c r="GPI66" i="7" s="1"/>
  <c r="GPK66" i="7" s="1"/>
  <c r="GPM66" i="7" s="1"/>
  <c r="GPO66" i="7" s="1"/>
  <c r="GPQ66" i="7" s="1"/>
  <c r="GPS66" i="7" s="1"/>
  <c r="GPU66" i="7" s="1"/>
  <c r="GPW66" i="7" s="1"/>
  <c r="GPY66" i="7" s="1"/>
  <c r="GQA66" i="7" s="1"/>
  <c r="GQC66" i="7" s="1"/>
  <c r="GQE66" i="7" s="1"/>
  <c r="GQG66" i="7" s="1"/>
  <c r="GQI66" i="7" s="1"/>
  <c r="GQK66" i="7" s="1"/>
  <c r="GQM66" i="7" s="1"/>
  <c r="GQO66" i="7" s="1"/>
  <c r="GQQ66" i="7" s="1"/>
  <c r="GQS66" i="7" s="1"/>
  <c r="GQU66" i="7" s="1"/>
  <c r="GQW66" i="7" s="1"/>
  <c r="GQY66" i="7" s="1"/>
  <c r="GRA66" i="7" s="1"/>
  <c r="GRC66" i="7" s="1"/>
  <c r="GRE66" i="7" s="1"/>
  <c r="GRG66" i="7" s="1"/>
  <c r="GRI66" i="7" s="1"/>
  <c r="GRK66" i="7" s="1"/>
  <c r="GRM66" i="7" s="1"/>
  <c r="GRO66" i="7" s="1"/>
  <c r="GRQ66" i="7" s="1"/>
  <c r="GRS66" i="7" s="1"/>
  <c r="GRU66" i="7" s="1"/>
  <c r="GRW66" i="7" s="1"/>
  <c r="GRY66" i="7" s="1"/>
  <c r="GSA66" i="7" s="1"/>
  <c r="GSC66" i="7" s="1"/>
  <c r="GSE66" i="7" s="1"/>
  <c r="GSG66" i="7" s="1"/>
  <c r="GSI66" i="7" s="1"/>
  <c r="GSK66" i="7" s="1"/>
  <c r="GSM66" i="7" s="1"/>
  <c r="GSO66" i="7" s="1"/>
  <c r="GSQ66" i="7" s="1"/>
  <c r="GSS66" i="7" s="1"/>
  <c r="GSU66" i="7" s="1"/>
  <c r="GSW66" i="7" s="1"/>
  <c r="GSY66" i="7" s="1"/>
  <c r="GTA66" i="7" s="1"/>
  <c r="GTC66" i="7" s="1"/>
  <c r="GTE66" i="7" s="1"/>
  <c r="GTG66" i="7" s="1"/>
  <c r="GTI66" i="7" s="1"/>
  <c r="GTK66" i="7" s="1"/>
  <c r="GTM66" i="7" s="1"/>
  <c r="GTO66" i="7" s="1"/>
  <c r="GTQ66" i="7" s="1"/>
  <c r="GTS66" i="7" s="1"/>
  <c r="GTU66" i="7" s="1"/>
  <c r="GTW66" i="7" s="1"/>
  <c r="GTY66" i="7" s="1"/>
  <c r="GUA66" i="7" s="1"/>
  <c r="GUC66" i="7" s="1"/>
  <c r="GUE66" i="7" s="1"/>
  <c r="GUG66" i="7" s="1"/>
  <c r="GUI66" i="7" s="1"/>
  <c r="GUK66" i="7" s="1"/>
  <c r="GUM66" i="7" s="1"/>
  <c r="GUO66" i="7" s="1"/>
  <c r="GUQ66" i="7" s="1"/>
  <c r="GUS66" i="7" s="1"/>
  <c r="GUU66" i="7" s="1"/>
  <c r="GUW66" i="7" s="1"/>
  <c r="GUY66" i="7" s="1"/>
  <c r="GVA66" i="7" s="1"/>
  <c r="GVC66" i="7" s="1"/>
  <c r="GVE66" i="7" s="1"/>
  <c r="GVG66" i="7" s="1"/>
  <c r="GVI66" i="7" s="1"/>
  <c r="GVK66" i="7" s="1"/>
  <c r="GVM66" i="7" s="1"/>
  <c r="GVO66" i="7" s="1"/>
  <c r="GVQ66" i="7" s="1"/>
  <c r="GVS66" i="7" s="1"/>
  <c r="GVU66" i="7" s="1"/>
  <c r="GVW66" i="7" s="1"/>
  <c r="GVY66" i="7" s="1"/>
  <c r="GWA66" i="7" s="1"/>
  <c r="GWC66" i="7" s="1"/>
  <c r="GWE66" i="7" s="1"/>
  <c r="GWG66" i="7" s="1"/>
  <c r="GWI66" i="7" s="1"/>
  <c r="GWK66" i="7" s="1"/>
  <c r="GWM66" i="7" s="1"/>
  <c r="GWO66" i="7" s="1"/>
  <c r="GWQ66" i="7" s="1"/>
  <c r="GWS66" i="7" s="1"/>
  <c r="GWU66" i="7" s="1"/>
  <c r="GWW66" i="7" s="1"/>
  <c r="GWY66" i="7" s="1"/>
  <c r="GXA66" i="7" s="1"/>
  <c r="GXC66" i="7" s="1"/>
  <c r="GXE66" i="7" s="1"/>
  <c r="GXG66" i="7" s="1"/>
  <c r="GXI66" i="7" s="1"/>
  <c r="GXK66" i="7" s="1"/>
  <c r="GXM66" i="7" s="1"/>
  <c r="GXO66" i="7" s="1"/>
  <c r="GXQ66" i="7" s="1"/>
  <c r="GXS66" i="7" s="1"/>
  <c r="GXU66" i="7" s="1"/>
  <c r="GXW66" i="7" s="1"/>
  <c r="GXY66" i="7" s="1"/>
  <c r="GYA66" i="7" s="1"/>
  <c r="GYC66" i="7" s="1"/>
  <c r="GYE66" i="7" s="1"/>
  <c r="GYG66" i="7" s="1"/>
  <c r="GYI66" i="7" s="1"/>
  <c r="GYK66" i="7" s="1"/>
  <c r="GYM66" i="7" s="1"/>
  <c r="GYO66" i="7" s="1"/>
  <c r="GYQ66" i="7" s="1"/>
  <c r="GYS66" i="7" s="1"/>
  <c r="GYU66" i="7" s="1"/>
  <c r="GYW66" i="7" s="1"/>
  <c r="GYY66" i="7" s="1"/>
  <c r="GZA66" i="7" s="1"/>
  <c r="GZC66" i="7" s="1"/>
  <c r="GZE66" i="7" s="1"/>
  <c r="GZG66" i="7" s="1"/>
  <c r="GZI66" i="7" s="1"/>
  <c r="GZK66" i="7" s="1"/>
  <c r="GZM66" i="7" s="1"/>
  <c r="GZO66" i="7" s="1"/>
  <c r="GZQ66" i="7" s="1"/>
  <c r="GZS66" i="7" s="1"/>
  <c r="GZU66" i="7" s="1"/>
  <c r="GZW66" i="7" s="1"/>
  <c r="GZY66" i="7" s="1"/>
  <c r="HAA66" i="7" s="1"/>
  <c r="HAC66" i="7" s="1"/>
  <c r="HAE66" i="7" s="1"/>
  <c r="HAG66" i="7" s="1"/>
  <c r="HAI66" i="7" s="1"/>
  <c r="HAK66" i="7" s="1"/>
  <c r="HAM66" i="7" s="1"/>
  <c r="HAO66" i="7" s="1"/>
  <c r="HAQ66" i="7" s="1"/>
  <c r="HAS66" i="7" s="1"/>
  <c r="HAU66" i="7" s="1"/>
  <c r="HAW66" i="7" s="1"/>
  <c r="HAY66" i="7" s="1"/>
  <c r="HBA66" i="7" s="1"/>
  <c r="HBC66" i="7" s="1"/>
  <c r="HBE66" i="7" s="1"/>
  <c r="HBG66" i="7" s="1"/>
  <c r="HBI66" i="7" s="1"/>
  <c r="HBK66" i="7" s="1"/>
  <c r="HBM66" i="7" s="1"/>
  <c r="HBO66" i="7" s="1"/>
  <c r="HBQ66" i="7" s="1"/>
  <c r="HBS66" i="7" s="1"/>
  <c r="HBU66" i="7" s="1"/>
  <c r="HBW66" i="7" s="1"/>
  <c r="HBY66" i="7" s="1"/>
  <c r="HCA66" i="7" s="1"/>
  <c r="HCC66" i="7" s="1"/>
  <c r="HCE66" i="7" s="1"/>
  <c r="HCG66" i="7" s="1"/>
  <c r="HCI66" i="7" s="1"/>
  <c r="HCK66" i="7" s="1"/>
  <c r="HCM66" i="7" s="1"/>
  <c r="HCO66" i="7" s="1"/>
  <c r="HCQ66" i="7" s="1"/>
  <c r="HCS66" i="7" s="1"/>
  <c r="HCU66" i="7" s="1"/>
  <c r="HCW66" i="7" s="1"/>
  <c r="HCY66" i="7" s="1"/>
  <c r="HDA66" i="7" s="1"/>
  <c r="HDC66" i="7" s="1"/>
  <c r="HDE66" i="7" s="1"/>
  <c r="HDG66" i="7" s="1"/>
  <c r="HDI66" i="7" s="1"/>
  <c r="HDK66" i="7" s="1"/>
  <c r="HDM66" i="7" s="1"/>
  <c r="HDO66" i="7" s="1"/>
  <c r="HDQ66" i="7" s="1"/>
  <c r="HDS66" i="7" s="1"/>
  <c r="HDU66" i="7" s="1"/>
  <c r="HDW66" i="7" s="1"/>
  <c r="HDY66" i="7" s="1"/>
  <c r="HEA66" i="7" s="1"/>
  <c r="HEC66" i="7" s="1"/>
  <c r="HEE66" i="7" s="1"/>
  <c r="HEG66" i="7" s="1"/>
  <c r="HEI66" i="7" s="1"/>
  <c r="HEK66" i="7" s="1"/>
  <c r="HEM66" i="7" s="1"/>
  <c r="HEO66" i="7" s="1"/>
  <c r="HEQ66" i="7" s="1"/>
  <c r="HES66" i="7" s="1"/>
  <c r="HEU66" i="7" s="1"/>
  <c r="HEW66" i="7" s="1"/>
  <c r="HEY66" i="7" s="1"/>
  <c r="HFA66" i="7" s="1"/>
  <c r="HFC66" i="7" s="1"/>
  <c r="HFE66" i="7" s="1"/>
  <c r="HFG66" i="7" s="1"/>
  <c r="HFI66" i="7" s="1"/>
  <c r="HFK66" i="7" s="1"/>
  <c r="HFM66" i="7" s="1"/>
  <c r="HFO66" i="7" s="1"/>
  <c r="HFQ66" i="7" s="1"/>
  <c r="HFS66" i="7" s="1"/>
  <c r="HFU66" i="7" s="1"/>
  <c r="HFW66" i="7" s="1"/>
  <c r="HFY66" i="7" s="1"/>
  <c r="HGA66" i="7" s="1"/>
  <c r="HGC66" i="7" s="1"/>
  <c r="HGE66" i="7" s="1"/>
  <c r="HGG66" i="7" s="1"/>
  <c r="HGI66" i="7" s="1"/>
  <c r="HGK66" i="7" s="1"/>
  <c r="HGM66" i="7" s="1"/>
  <c r="HGO66" i="7" s="1"/>
  <c r="HGQ66" i="7" s="1"/>
  <c r="HGS66" i="7" s="1"/>
  <c r="HGU66" i="7" s="1"/>
  <c r="HGW66" i="7" s="1"/>
  <c r="HGY66" i="7" s="1"/>
  <c r="HHA66" i="7" s="1"/>
  <c r="HHC66" i="7" s="1"/>
  <c r="HHE66" i="7" s="1"/>
  <c r="HHG66" i="7" s="1"/>
  <c r="HHI66" i="7" s="1"/>
  <c r="HHK66" i="7" s="1"/>
  <c r="HHM66" i="7" s="1"/>
  <c r="HHO66" i="7" s="1"/>
  <c r="HHQ66" i="7" s="1"/>
  <c r="HHS66" i="7" s="1"/>
  <c r="HHU66" i="7" s="1"/>
  <c r="HHW66" i="7" s="1"/>
  <c r="HHY66" i="7" s="1"/>
  <c r="HIA66" i="7" s="1"/>
  <c r="HIC66" i="7" s="1"/>
  <c r="HIE66" i="7" s="1"/>
  <c r="HIG66" i="7" s="1"/>
  <c r="HII66" i="7" s="1"/>
  <c r="HIK66" i="7" s="1"/>
  <c r="HIM66" i="7" s="1"/>
  <c r="HIO66" i="7" s="1"/>
  <c r="HIQ66" i="7" s="1"/>
  <c r="HIS66" i="7" s="1"/>
  <c r="HIU66" i="7" s="1"/>
  <c r="HIW66" i="7" s="1"/>
  <c r="HIY66" i="7" s="1"/>
  <c r="HJA66" i="7" s="1"/>
  <c r="HJC66" i="7" s="1"/>
  <c r="HJE66" i="7" s="1"/>
  <c r="HJG66" i="7" s="1"/>
  <c r="HJI66" i="7" s="1"/>
  <c r="HJK66" i="7" s="1"/>
  <c r="HJM66" i="7" s="1"/>
  <c r="HJO66" i="7" s="1"/>
  <c r="HJQ66" i="7" s="1"/>
  <c r="HJS66" i="7" s="1"/>
  <c r="HJU66" i="7" s="1"/>
  <c r="HJW66" i="7" s="1"/>
  <c r="HJY66" i="7" s="1"/>
  <c r="HKA66" i="7" s="1"/>
  <c r="HKC66" i="7" s="1"/>
  <c r="HKE66" i="7" s="1"/>
  <c r="HKG66" i="7" s="1"/>
  <c r="HKI66" i="7" s="1"/>
  <c r="HKK66" i="7" s="1"/>
  <c r="HKM66" i="7" s="1"/>
  <c r="HKO66" i="7" s="1"/>
  <c r="HKQ66" i="7" s="1"/>
  <c r="HKS66" i="7" s="1"/>
  <c r="HKU66" i="7" s="1"/>
  <c r="HKW66" i="7" s="1"/>
  <c r="HKY66" i="7" s="1"/>
  <c r="HLA66" i="7" s="1"/>
  <c r="HLC66" i="7" s="1"/>
  <c r="HLE66" i="7" s="1"/>
  <c r="HLG66" i="7" s="1"/>
  <c r="HLI66" i="7" s="1"/>
  <c r="HLK66" i="7" s="1"/>
  <c r="HLM66" i="7" s="1"/>
  <c r="HLO66" i="7" s="1"/>
  <c r="HLQ66" i="7" s="1"/>
  <c r="HLS66" i="7" s="1"/>
  <c r="HLU66" i="7" s="1"/>
  <c r="HLW66" i="7" s="1"/>
  <c r="HLY66" i="7" s="1"/>
  <c r="HMA66" i="7" s="1"/>
  <c r="HMC66" i="7" s="1"/>
  <c r="HME66" i="7" s="1"/>
  <c r="HMG66" i="7" s="1"/>
  <c r="HMI66" i="7" s="1"/>
  <c r="HMK66" i="7" s="1"/>
  <c r="HMM66" i="7" s="1"/>
  <c r="HMO66" i="7" s="1"/>
  <c r="HMQ66" i="7" s="1"/>
  <c r="HMS66" i="7" s="1"/>
  <c r="HMU66" i="7" s="1"/>
  <c r="HMW66" i="7" s="1"/>
  <c r="HMY66" i="7" s="1"/>
  <c r="HNA66" i="7" s="1"/>
  <c r="HNC66" i="7" s="1"/>
  <c r="HNE66" i="7" s="1"/>
  <c r="HNG66" i="7" s="1"/>
  <c r="HNI66" i="7" s="1"/>
  <c r="HNK66" i="7" s="1"/>
  <c r="HNM66" i="7" s="1"/>
  <c r="HNO66" i="7" s="1"/>
  <c r="HNQ66" i="7" s="1"/>
  <c r="HNS66" i="7" s="1"/>
  <c r="HNU66" i="7" s="1"/>
  <c r="HNW66" i="7" s="1"/>
  <c r="HNY66" i="7" s="1"/>
  <c r="HOA66" i="7" s="1"/>
  <c r="HOC66" i="7" s="1"/>
  <c r="HOE66" i="7" s="1"/>
  <c r="HOG66" i="7" s="1"/>
  <c r="HOI66" i="7" s="1"/>
  <c r="HOK66" i="7" s="1"/>
  <c r="HOM66" i="7" s="1"/>
  <c r="HOO66" i="7" s="1"/>
  <c r="HOQ66" i="7" s="1"/>
  <c r="HOS66" i="7" s="1"/>
  <c r="HOU66" i="7" s="1"/>
  <c r="HOW66" i="7" s="1"/>
  <c r="HOY66" i="7" s="1"/>
  <c r="HPA66" i="7" s="1"/>
  <c r="HPC66" i="7" s="1"/>
  <c r="HPE66" i="7" s="1"/>
  <c r="HPG66" i="7" s="1"/>
  <c r="HPI66" i="7" s="1"/>
  <c r="HPK66" i="7" s="1"/>
  <c r="HPM66" i="7" s="1"/>
  <c r="HPO66" i="7" s="1"/>
  <c r="HPQ66" i="7" s="1"/>
  <c r="HPS66" i="7" s="1"/>
  <c r="HPU66" i="7" s="1"/>
  <c r="HPW66" i="7" s="1"/>
  <c r="HPY66" i="7" s="1"/>
  <c r="HQA66" i="7" s="1"/>
  <c r="HQC66" i="7" s="1"/>
  <c r="HQE66" i="7" s="1"/>
  <c r="HQG66" i="7" s="1"/>
  <c r="HQI66" i="7" s="1"/>
  <c r="HQK66" i="7" s="1"/>
  <c r="HQM66" i="7" s="1"/>
  <c r="HQO66" i="7" s="1"/>
  <c r="HQQ66" i="7" s="1"/>
  <c r="HQS66" i="7" s="1"/>
  <c r="HQU66" i="7" s="1"/>
  <c r="HQW66" i="7" s="1"/>
  <c r="HQY66" i="7" s="1"/>
  <c r="HRA66" i="7" s="1"/>
  <c r="HRC66" i="7" s="1"/>
  <c r="HRE66" i="7" s="1"/>
  <c r="HRG66" i="7" s="1"/>
  <c r="HRI66" i="7" s="1"/>
  <c r="HRK66" i="7" s="1"/>
  <c r="HRM66" i="7" s="1"/>
  <c r="HRO66" i="7" s="1"/>
  <c r="HRQ66" i="7" s="1"/>
  <c r="HRS66" i="7" s="1"/>
  <c r="HRU66" i="7" s="1"/>
  <c r="HRW66" i="7" s="1"/>
  <c r="HRY66" i="7" s="1"/>
  <c r="HSA66" i="7" s="1"/>
  <c r="HSC66" i="7" s="1"/>
  <c r="HSE66" i="7" s="1"/>
  <c r="HSG66" i="7" s="1"/>
  <c r="HSI66" i="7" s="1"/>
  <c r="HSK66" i="7" s="1"/>
  <c r="HSM66" i="7" s="1"/>
  <c r="HSO66" i="7" s="1"/>
  <c r="HSQ66" i="7" s="1"/>
  <c r="HSS66" i="7" s="1"/>
  <c r="HSU66" i="7" s="1"/>
  <c r="HSW66" i="7" s="1"/>
  <c r="HSY66" i="7" s="1"/>
  <c r="HTA66" i="7" s="1"/>
  <c r="HTC66" i="7" s="1"/>
  <c r="HTE66" i="7" s="1"/>
  <c r="HTG66" i="7" s="1"/>
  <c r="HTI66" i="7" s="1"/>
  <c r="HTK66" i="7" s="1"/>
  <c r="HTM66" i="7" s="1"/>
  <c r="HTO66" i="7" s="1"/>
  <c r="HTQ66" i="7" s="1"/>
  <c r="HTS66" i="7" s="1"/>
  <c r="HTU66" i="7" s="1"/>
  <c r="HTW66" i="7" s="1"/>
  <c r="HTY66" i="7" s="1"/>
  <c r="HUA66" i="7" s="1"/>
  <c r="HUC66" i="7" s="1"/>
  <c r="HUE66" i="7" s="1"/>
  <c r="HUG66" i="7" s="1"/>
  <c r="HUI66" i="7" s="1"/>
  <c r="HUK66" i="7" s="1"/>
  <c r="HUM66" i="7" s="1"/>
  <c r="HUO66" i="7" s="1"/>
  <c r="HUQ66" i="7" s="1"/>
  <c r="HUS66" i="7" s="1"/>
  <c r="HUU66" i="7" s="1"/>
  <c r="HUW66" i="7" s="1"/>
  <c r="HUY66" i="7" s="1"/>
  <c r="HVA66" i="7" s="1"/>
  <c r="HVC66" i="7" s="1"/>
  <c r="HVE66" i="7" s="1"/>
  <c r="HVG66" i="7" s="1"/>
  <c r="HVI66" i="7" s="1"/>
  <c r="HVK66" i="7" s="1"/>
  <c r="HVM66" i="7" s="1"/>
  <c r="HVO66" i="7" s="1"/>
  <c r="HVQ66" i="7" s="1"/>
  <c r="HVS66" i="7" s="1"/>
  <c r="HVU66" i="7" s="1"/>
  <c r="HVW66" i="7" s="1"/>
  <c r="HVY66" i="7" s="1"/>
  <c r="HWA66" i="7" s="1"/>
  <c r="HWC66" i="7" s="1"/>
  <c r="HWE66" i="7" s="1"/>
  <c r="HWG66" i="7" s="1"/>
  <c r="HWI66" i="7" s="1"/>
  <c r="HWK66" i="7" s="1"/>
  <c r="HWM66" i="7" s="1"/>
  <c r="HWO66" i="7" s="1"/>
  <c r="HWQ66" i="7" s="1"/>
  <c r="HWS66" i="7" s="1"/>
  <c r="HWU66" i="7" s="1"/>
  <c r="HWW66" i="7" s="1"/>
  <c r="HWY66" i="7" s="1"/>
  <c r="HXA66" i="7" s="1"/>
  <c r="HXC66" i="7" s="1"/>
  <c r="HXE66" i="7" s="1"/>
  <c r="HXG66" i="7" s="1"/>
  <c r="HXI66" i="7" s="1"/>
  <c r="HXK66" i="7" s="1"/>
  <c r="HXM66" i="7" s="1"/>
  <c r="HXO66" i="7" s="1"/>
  <c r="HXQ66" i="7" s="1"/>
  <c r="HXS66" i="7" s="1"/>
  <c r="HXU66" i="7" s="1"/>
  <c r="HXW66" i="7" s="1"/>
  <c r="HXY66" i="7" s="1"/>
  <c r="HYA66" i="7" s="1"/>
  <c r="HYC66" i="7" s="1"/>
  <c r="HYE66" i="7" s="1"/>
  <c r="HYG66" i="7" s="1"/>
  <c r="HYI66" i="7" s="1"/>
  <c r="HYK66" i="7" s="1"/>
  <c r="HYM66" i="7" s="1"/>
  <c r="HYO66" i="7" s="1"/>
  <c r="HYQ66" i="7" s="1"/>
  <c r="HYS66" i="7" s="1"/>
  <c r="HYU66" i="7" s="1"/>
  <c r="HYW66" i="7" s="1"/>
  <c r="HYY66" i="7" s="1"/>
  <c r="HZA66" i="7" s="1"/>
  <c r="HZC66" i="7" s="1"/>
  <c r="HZE66" i="7" s="1"/>
  <c r="HZG66" i="7" s="1"/>
  <c r="HZI66" i="7" s="1"/>
  <c r="HZK66" i="7" s="1"/>
  <c r="HZM66" i="7" s="1"/>
  <c r="HZO66" i="7" s="1"/>
  <c r="HZQ66" i="7" s="1"/>
  <c r="HZS66" i="7" s="1"/>
  <c r="HZU66" i="7" s="1"/>
  <c r="HZW66" i="7" s="1"/>
  <c r="HZY66" i="7" s="1"/>
  <c r="IAA66" i="7" s="1"/>
  <c r="IAC66" i="7" s="1"/>
  <c r="IAE66" i="7" s="1"/>
  <c r="IAG66" i="7" s="1"/>
  <c r="IAI66" i="7" s="1"/>
  <c r="IAK66" i="7" s="1"/>
  <c r="IAM66" i="7" s="1"/>
  <c r="IAO66" i="7" s="1"/>
  <c r="IAQ66" i="7" s="1"/>
  <c r="IAS66" i="7" s="1"/>
  <c r="IAU66" i="7" s="1"/>
  <c r="IAW66" i="7" s="1"/>
  <c r="IAY66" i="7" s="1"/>
  <c r="IBA66" i="7" s="1"/>
  <c r="IBC66" i="7" s="1"/>
  <c r="IBE66" i="7" s="1"/>
  <c r="IBG66" i="7" s="1"/>
  <c r="IBI66" i="7" s="1"/>
  <c r="IBK66" i="7" s="1"/>
  <c r="IBM66" i="7" s="1"/>
  <c r="IBO66" i="7" s="1"/>
  <c r="IBQ66" i="7" s="1"/>
  <c r="IBS66" i="7" s="1"/>
  <c r="IBU66" i="7" s="1"/>
  <c r="IBW66" i="7" s="1"/>
  <c r="IBY66" i="7" s="1"/>
  <c r="ICA66" i="7" s="1"/>
  <c r="ICC66" i="7" s="1"/>
  <c r="ICE66" i="7" s="1"/>
  <c r="ICG66" i="7" s="1"/>
  <c r="ICI66" i="7" s="1"/>
  <c r="ICK66" i="7" s="1"/>
  <c r="ICM66" i="7" s="1"/>
  <c r="ICO66" i="7" s="1"/>
  <c r="ICQ66" i="7" s="1"/>
  <c r="ICS66" i="7" s="1"/>
  <c r="ICU66" i="7" s="1"/>
  <c r="ICW66" i="7" s="1"/>
  <c r="ICY66" i="7" s="1"/>
  <c r="IDA66" i="7" s="1"/>
  <c r="IDC66" i="7" s="1"/>
  <c r="IDE66" i="7" s="1"/>
  <c r="IDG66" i="7" s="1"/>
  <c r="IDI66" i="7" s="1"/>
  <c r="IDK66" i="7" s="1"/>
  <c r="IDM66" i="7" s="1"/>
  <c r="IDO66" i="7" s="1"/>
  <c r="IDQ66" i="7" s="1"/>
  <c r="IDS66" i="7" s="1"/>
  <c r="IDU66" i="7" s="1"/>
  <c r="IDW66" i="7" s="1"/>
  <c r="IDY66" i="7" s="1"/>
  <c r="IEA66" i="7" s="1"/>
  <c r="IEC66" i="7" s="1"/>
  <c r="IEE66" i="7" s="1"/>
  <c r="IEG66" i="7" s="1"/>
  <c r="IEI66" i="7" s="1"/>
  <c r="IEK66" i="7" s="1"/>
  <c r="IEM66" i="7" s="1"/>
  <c r="IEO66" i="7" s="1"/>
  <c r="IEQ66" i="7" s="1"/>
  <c r="IES66" i="7" s="1"/>
  <c r="IEU66" i="7" s="1"/>
  <c r="IEW66" i="7" s="1"/>
  <c r="IEY66" i="7" s="1"/>
  <c r="IFA66" i="7" s="1"/>
  <c r="IFC66" i="7" s="1"/>
  <c r="IFE66" i="7" s="1"/>
  <c r="IFG66" i="7" s="1"/>
  <c r="IFI66" i="7" s="1"/>
  <c r="IFK66" i="7" s="1"/>
  <c r="IFM66" i="7" s="1"/>
  <c r="IFO66" i="7" s="1"/>
  <c r="IFQ66" i="7" s="1"/>
  <c r="IFS66" i="7" s="1"/>
  <c r="IFU66" i="7" s="1"/>
  <c r="IFW66" i="7" s="1"/>
  <c r="IFY66" i="7" s="1"/>
  <c r="IGA66" i="7" s="1"/>
  <c r="IGC66" i="7" s="1"/>
  <c r="IGE66" i="7" s="1"/>
  <c r="IGG66" i="7" s="1"/>
  <c r="IGI66" i="7" s="1"/>
  <c r="IGK66" i="7" s="1"/>
  <c r="IGM66" i="7" s="1"/>
  <c r="IGO66" i="7" s="1"/>
  <c r="IGQ66" i="7" s="1"/>
  <c r="IGS66" i="7" s="1"/>
  <c r="IGU66" i="7" s="1"/>
  <c r="IGW66" i="7" s="1"/>
  <c r="IGY66" i="7" s="1"/>
  <c r="IHA66" i="7" s="1"/>
  <c r="IHC66" i="7" s="1"/>
  <c r="IHE66" i="7" s="1"/>
  <c r="IHG66" i="7" s="1"/>
  <c r="IHI66" i="7" s="1"/>
  <c r="IHK66" i="7" s="1"/>
  <c r="IHM66" i="7" s="1"/>
  <c r="IHO66" i="7" s="1"/>
  <c r="IHQ66" i="7" s="1"/>
  <c r="IHS66" i="7" s="1"/>
  <c r="IHU66" i="7" s="1"/>
  <c r="IHW66" i="7" s="1"/>
  <c r="IHY66" i="7" s="1"/>
  <c r="IIA66" i="7" s="1"/>
  <c r="IIC66" i="7" s="1"/>
  <c r="IIE66" i="7" s="1"/>
  <c r="IIG66" i="7" s="1"/>
  <c r="III66" i="7" s="1"/>
  <c r="IIK66" i="7" s="1"/>
  <c r="IIM66" i="7" s="1"/>
  <c r="IIO66" i="7" s="1"/>
  <c r="IIQ66" i="7" s="1"/>
  <c r="IIS66" i="7" s="1"/>
  <c r="IIU66" i="7" s="1"/>
  <c r="IIW66" i="7" s="1"/>
  <c r="IIY66" i="7" s="1"/>
  <c r="IJA66" i="7" s="1"/>
  <c r="IJC66" i="7" s="1"/>
  <c r="IJE66" i="7" s="1"/>
  <c r="IJG66" i="7" s="1"/>
  <c r="IJI66" i="7" s="1"/>
  <c r="IJK66" i="7" s="1"/>
  <c r="IJM66" i="7" s="1"/>
  <c r="IJO66" i="7" s="1"/>
  <c r="IJQ66" i="7" s="1"/>
  <c r="IJS66" i="7" s="1"/>
  <c r="IJU66" i="7" s="1"/>
  <c r="IJW66" i="7" s="1"/>
  <c r="IJY66" i="7" s="1"/>
  <c r="IKA66" i="7" s="1"/>
  <c r="IKC66" i="7" s="1"/>
  <c r="IKE66" i="7" s="1"/>
  <c r="IKG66" i="7" s="1"/>
  <c r="IKI66" i="7" s="1"/>
  <c r="IKK66" i="7" s="1"/>
  <c r="IKM66" i="7" s="1"/>
  <c r="IKO66" i="7" s="1"/>
  <c r="IKQ66" i="7" s="1"/>
  <c r="IKS66" i="7" s="1"/>
  <c r="IKU66" i="7" s="1"/>
  <c r="IKW66" i="7" s="1"/>
  <c r="IKY66" i="7" s="1"/>
  <c r="ILA66" i="7" s="1"/>
  <c r="ILC66" i="7" s="1"/>
  <c r="ILE66" i="7" s="1"/>
  <c r="ILG66" i="7" s="1"/>
  <c r="ILI66" i="7" s="1"/>
  <c r="ILK66" i="7" s="1"/>
  <c r="ILM66" i="7" s="1"/>
  <c r="ILO66" i="7" s="1"/>
  <c r="ILQ66" i="7" s="1"/>
  <c r="ILS66" i="7" s="1"/>
  <c r="ILU66" i="7" s="1"/>
  <c r="ILW66" i="7" s="1"/>
  <c r="ILY66" i="7" s="1"/>
  <c r="IMA66" i="7" s="1"/>
  <c r="IMC66" i="7" s="1"/>
  <c r="IME66" i="7" s="1"/>
  <c r="IMG66" i="7" s="1"/>
  <c r="IMI66" i="7" s="1"/>
  <c r="IMK66" i="7" s="1"/>
  <c r="IMM66" i="7" s="1"/>
  <c r="IMO66" i="7" s="1"/>
  <c r="IMQ66" i="7" s="1"/>
  <c r="IMS66" i="7" s="1"/>
  <c r="IMU66" i="7" s="1"/>
  <c r="IMW66" i="7" s="1"/>
  <c r="IMY66" i="7" s="1"/>
  <c r="INA66" i="7" s="1"/>
  <c r="INC66" i="7" s="1"/>
  <c r="INE66" i="7" s="1"/>
  <c r="ING66" i="7" s="1"/>
  <c r="INI66" i="7" s="1"/>
  <c r="INK66" i="7" s="1"/>
  <c r="INM66" i="7" s="1"/>
  <c r="INO66" i="7" s="1"/>
  <c r="INQ66" i="7" s="1"/>
  <c r="INS66" i="7" s="1"/>
  <c r="INU66" i="7" s="1"/>
  <c r="INW66" i="7" s="1"/>
  <c r="INY66" i="7" s="1"/>
  <c r="IOA66" i="7" s="1"/>
  <c r="IOC66" i="7" s="1"/>
  <c r="IOE66" i="7" s="1"/>
  <c r="IOG66" i="7" s="1"/>
  <c r="IOI66" i="7" s="1"/>
  <c r="IOK66" i="7" s="1"/>
  <c r="IOM66" i="7" s="1"/>
  <c r="IOO66" i="7" s="1"/>
  <c r="IOQ66" i="7" s="1"/>
  <c r="IOS66" i="7" s="1"/>
  <c r="IOU66" i="7" s="1"/>
  <c r="IOW66" i="7" s="1"/>
  <c r="IOY66" i="7" s="1"/>
  <c r="IPA66" i="7" s="1"/>
  <c r="IPC66" i="7" s="1"/>
  <c r="IPE66" i="7" s="1"/>
  <c r="IPG66" i="7" s="1"/>
  <c r="IPI66" i="7" s="1"/>
  <c r="IPK66" i="7" s="1"/>
  <c r="IPM66" i="7" s="1"/>
  <c r="IPO66" i="7" s="1"/>
  <c r="IPQ66" i="7" s="1"/>
  <c r="IPS66" i="7" s="1"/>
  <c r="IPU66" i="7" s="1"/>
  <c r="IPW66" i="7" s="1"/>
  <c r="IPY66" i="7" s="1"/>
  <c r="IQA66" i="7" s="1"/>
  <c r="IQC66" i="7" s="1"/>
  <c r="IQE66" i="7" s="1"/>
  <c r="IQG66" i="7" s="1"/>
  <c r="IQI66" i="7" s="1"/>
  <c r="IQK66" i="7" s="1"/>
  <c r="IQM66" i="7" s="1"/>
  <c r="IQO66" i="7" s="1"/>
  <c r="IQQ66" i="7" s="1"/>
  <c r="IQS66" i="7" s="1"/>
  <c r="IQU66" i="7" s="1"/>
  <c r="IQW66" i="7" s="1"/>
  <c r="IQY66" i="7" s="1"/>
  <c r="IRA66" i="7" s="1"/>
  <c r="IRC66" i="7" s="1"/>
  <c r="IRE66" i="7" s="1"/>
  <c r="IRG66" i="7" s="1"/>
  <c r="IRI66" i="7" s="1"/>
  <c r="IRK66" i="7" s="1"/>
  <c r="IRM66" i="7" s="1"/>
  <c r="IRO66" i="7" s="1"/>
  <c r="IRQ66" i="7" s="1"/>
  <c r="IRS66" i="7" s="1"/>
  <c r="IRU66" i="7" s="1"/>
  <c r="IRW66" i="7" s="1"/>
  <c r="IRY66" i="7" s="1"/>
  <c r="ISA66" i="7" s="1"/>
  <c r="ISC66" i="7" s="1"/>
  <c r="ISE66" i="7" s="1"/>
  <c r="ISG66" i="7" s="1"/>
  <c r="ISI66" i="7" s="1"/>
  <c r="ISK66" i="7" s="1"/>
  <c r="ISM66" i="7" s="1"/>
  <c r="ISO66" i="7" s="1"/>
  <c r="ISQ66" i="7" s="1"/>
  <c r="ISS66" i="7" s="1"/>
  <c r="ISU66" i="7" s="1"/>
  <c r="ISW66" i="7" s="1"/>
  <c r="ISY66" i="7" s="1"/>
  <c r="ITA66" i="7" s="1"/>
  <c r="ITC66" i="7" s="1"/>
  <c r="ITE66" i="7" s="1"/>
  <c r="ITG66" i="7" s="1"/>
  <c r="ITI66" i="7" s="1"/>
  <c r="ITK66" i="7" s="1"/>
  <c r="ITM66" i="7" s="1"/>
  <c r="ITO66" i="7" s="1"/>
  <c r="ITQ66" i="7" s="1"/>
  <c r="ITS66" i="7" s="1"/>
  <c r="ITU66" i="7" s="1"/>
  <c r="ITW66" i="7" s="1"/>
  <c r="ITY66" i="7" s="1"/>
  <c r="IUA66" i="7" s="1"/>
  <c r="IUC66" i="7" s="1"/>
  <c r="IUE66" i="7" s="1"/>
  <c r="IUG66" i="7" s="1"/>
  <c r="IUI66" i="7" s="1"/>
  <c r="IUK66" i="7" s="1"/>
  <c r="IUM66" i="7" s="1"/>
  <c r="IUO66" i="7" s="1"/>
  <c r="IUQ66" i="7" s="1"/>
  <c r="IUS66" i="7" s="1"/>
  <c r="IUU66" i="7" s="1"/>
  <c r="IUW66" i="7" s="1"/>
  <c r="IUY66" i="7" s="1"/>
  <c r="IVA66" i="7" s="1"/>
  <c r="IVC66" i="7" s="1"/>
  <c r="IVE66" i="7" s="1"/>
  <c r="IVG66" i="7" s="1"/>
  <c r="IVI66" i="7" s="1"/>
  <c r="IVK66" i="7" s="1"/>
  <c r="IVM66" i="7" s="1"/>
  <c r="IVO66" i="7" s="1"/>
  <c r="IVQ66" i="7" s="1"/>
  <c r="IVS66" i="7" s="1"/>
  <c r="IVU66" i="7" s="1"/>
  <c r="IVW66" i="7" s="1"/>
  <c r="IVY66" i="7" s="1"/>
  <c r="IWA66" i="7" s="1"/>
  <c r="IWC66" i="7" s="1"/>
  <c r="IWE66" i="7" s="1"/>
  <c r="IWG66" i="7" s="1"/>
  <c r="IWI66" i="7" s="1"/>
  <c r="IWK66" i="7" s="1"/>
  <c r="IWM66" i="7" s="1"/>
  <c r="IWO66" i="7" s="1"/>
  <c r="IWQ66" i="7" s="1"/>
  <c r="IWS66" i="7" s="1"/>
  <c r="IWU66" i="7" s="1"/>
  <c r="IWW66" i="7" s="1"/>
  <c r="IWY66" i="7" s="1"/>
  <c r="IXA66" i="7" s="1"/>
  <c r="IXC66" i="7" s="1"/>
  <c r="IXE66" i="7" s="1"/>
  <c r="IXG66" i="7" s="1"/>
  <c r="IXI66" i="7" s="1"/>
  <c r="IXK66" i="7" s="1"/>
  <c r="IXM66" i="7" s="1"/>
  <c r="IXO66" i="7" s="1"/>
  <c r="IXQ66" i="7" s="1"/>
  <c r="IXS66" i="7" s="1"/>
  <c r="IXU66" i="7" s="1"/>
  <c r="IXW66" i="7" s="1"/>
  <c r="IXY66" i="7" s="1"/>
  <c r="IYA66" i="7" s="1"/>
  <c r="IYC66" i="7" s="1"/>
  <c r="IYE66" i="7" s="1"/>
  <c r="IYG66" i="7" s="1"/>
  <c r="IYI66" i="7" s="1"/>
  <c r="IYK66" i="7" s="1"/>
  <c r="IYM66" i="7" s="1"/>
  <c r="IYO66" i="7" s="1"/>
  <c r="IYQ66" i="7" s="1"/>
  <c r="IYS66" i="7" s="1"/>
  <c r="IYU66" i="7" s="1"/>
  <c r="IYW66" i="7" s="1"/>
  <c r="IYY66" i="7" s="1"/>
  <c r="IZA66" i="7" s="1"/>
  <c r="IZC66" i="7" s="1"/>
  <c r="IZE66" i="7" s="1"/>
  <c r="IZG66" i="7" s="1"/>
  <c r="IZI66" i="7" s="1"/>
  <c r="IZK66" i="7" s="1"/>
  <c r="IZM66" i="7" s="1"/>
  <c r="IZO66" i="7" s="1"/>
  <c r="IZQ66" i="7" s="1"/>
  <c r="IZS66" i="7" s="1"/>
  <c r="IZU66" i="7" s="1"/>
  <c r="IZW66" i="7" s="1"/>
  <c r="IZY66" i="7" s="1"/>
  <c r="JAA66" i="7" s="1"/>
  <c r="JAC66" i="7" s="1"/>
  <c r="JAE66" i="7" s="1"/>
  <c r="JAG66" i="7" s="1"/>
  <c r="JAI66" i="7" s="1"/>
  <c r="JAK66" i="7" s="1"/>
  <c r="JAM66" i="7" s="1"/>
  <c r="JAO66" i="7" s="1"/>
  <c r="JAQ66" i="7" s="1"/>
  <c r="JAS66" i="7" s="1"/>
  <c r="JAU66" i="7" s="1"/>
  <c r="JAW66" i="7" s="1"/>
  <c r="JAY66" i="7" s="1"/>
  <c r="JBA66" i="7" s="1"/>
  <c r="JBC66" i="7" s="1"/>
  <c r="JBE66" i="7" s="1"/>
  <c r="JBG66" i="7" s="1"/>
  <c r="JBI66" i="7" s="1"/>
  <c r="JBK66" i="7" s="1"/>
  <c r="JBM66" i="7" s="1"/>
  <c r="JBO66" i="7" s="1"/>
  <c r="JBQ66" i="7" s="1"/>
  <c r="JBS66" i="7" s="1"/>
  <c r="JBU66" i="7" s="1"/>
  <c r="JBW66" i="7" s="1"/>
  <c r="JBY66" i="7" s="1"/>
  <c r="JCA66" i="7" s="1"/>
  <c r="JCC66" i="7" s="1"/>
  <c r="JCE66" i="7" s="1"/>
  <c r="JCG66" i="7" s="1"/>
  <c r="JCI66" i="7" s="1"/>
  <c r="JCK66" i="7" s="1"/>
  <c r="JCM66" i="7" s="1"/>
  <c r="JCO66" i="7" s="1"/>
  <c r="JCQ66" i="7" s="1"/>
  <c r="JCS66" i="7" s="1"/>
  <c r="JCU66" i="7" s="1"/>
  <c r="JCW66" i="7" s="1"/>
  <c r="JCY66" i="7" s="1"/>
  <c r="JDA66" i="7" s="1"/>
  <c r="JDC66" i="7" s="1"/>
  <c r="JDE66" i="7" s="1"/>
  <c r="JDG66" i="7" s="1"/>
  <c r="JDI66" i="7" s="1"/>
  <c r="JDK66" i="7" s="1"/>
  <c r="JDM66" i="7" s="1"/>
  <c r="JDO66" i="7" s="1"/>
  <c r="JDQ66" i="7" s="1"/>
  <c r="JDS66" i="7" s="1"/>
  <c r="JDU66" i="7" s="1"/>
  <c r="JDW66" i="7" s="1"/>
  <c r="JDY66" i="7" s="1"/>
  <c r="JEA66" i="7" s="1"/>
  <c r="JEC66" i="7" s="1"/>
  <c r="JEE66" i="7" s="1"/>
  <c r="JEG66" i="7" s="1"/>
  <c r="JEI66" i="7" s="1"/>
  <c r="JEK66" i="7" s="1"/>
  <c r="JEM66" i="7" s="1"/>
  <c r="JEO66" i="7" s="1"/>
  <c r="JEQ66" i="7" s="1"/>
  <c r="JES66" i="7" s="1"/>
  <c r="JEU66" i="7" s="1"/>
  <c r="JEW66" i="7" s="1"/>
  <c r="JEY66" i="7" s="1"/>
  <c r="JFA66" i="7" s="1"/>
  <c r="JFC66" i="7" s="1"/>
  <c r="JFE66" i="7" s="1"/>
  <c r="JFG66" i="7" s="1"/>
  <c r="JFI66" i="7" s="1"/>
  <c r="JFK66" i="7" s="1"/>
  <c r="JFM66" i="7" s="1"/>
  <c r="JFO66" i="7" s="1"/>
  <c r="JFQ66" i="7" s="1"/>
  <c r="JFS66" i="7" s="1"/>
  <c r="JFU66" i="7" s="1"/>
  <c r="JFW66" i="7" s="1"/>
  <c r="JFY66" i="7" s="1"/>
  <c r="JGA66" i="7" s="1"/>
  <c r="JGC66" i="7" s="1"/>
  <c r="JGE66" i="7" s="1"/>
  <c r="JGG66" i="7" s="1"/>
  <c r="JGI66" i="7" s="1"/>
  <c r="JGK66" i="7" s="1"/>
  <c r="JGM66" i="7" s="1"/>
  <c r="JGO66" i="7" s="1"/>
  <c r="JGQ66" i="7" s="1"/>
  <c r="JGS66" i="7" s="1"/>
  <c r="JGU66" i="7" s="1"/>
  <c r="JGW66" i="7" s="1"/>
  <c r="JGY66" i="7" s="1"/>
  <c r="JHA66" i="7" s="1"/>
  <c r="JHC66" i="7" s="1"/>
  <c r="JHE66" i="7" s="1"/>
  <c r="JHG66" i="7" s="1"/>
  <c r="JHI66" i="7" s="1"/>
  <c r="JHK66" i="7" s="1"/>
  <c r="JHM66" i="7" s="1"/>
  <c r="JHO66" i="7" s="1"/>
  <c r="JHQ66" i="7" s="1"/>
  <c r="JHS66" i="7" s="1"/>
  <c r="JHU66" i="7" s="1"/>
  <c r="JHW66" i="7" s="1"/>
  <c r="JHY66" i="7" s="1"/>
  <c r="JIA66" i="7" s="1"/>
  <c r="JIC66" i="7" s="1"/>
  <c r="JIE66" i="7" s="1"/>
  <c r="JIG66" i="7" s="1"/>
  <c r="JII66" i="7" s="1"/>
  <c r="JIK66" i="7" s="1"/>
  <c r="JIM66" i="7" s="1"/>
  <c r="JIO66" i="7" s="1"/>
  <c r="JIQ66" i="7" s="1"/>
  <c r="JIS66" i="7" s="1"/>
  <c r="JIU66" i="7" s="1"/>
  <c r="JIW66" i="7" s="1"/>
  <c r="JIY66" i="7" s="1"/>
  <c r="JJA66" i="7" s="1"/>
  <c r="JJC66" i="7" s="1"/>
  <c r="JJE66" i="7" s="1"/>
  <c r="JJG66" i="7" s="1"/>
  <c r="JJI66" i="7" s="1"/>
  <c r="JJK66" i="7" s="1"/>
  <c r="JJM66" i="7" s="1"/>
  <c r="JJO66" i="7" s="1"/>
  <c r="JJQ66" i="7" s="1"/>
  <c r="JJS66" i="7" s="1"/>
  <c r="JJU66" i="7" s="1"/>
  <c r="JJW66" i="7" s="1"/>
  <c r="JJY66" i="7" s="1"/>
  <c r="JKA66" i="7" s="1"/>
  <c r="JKC66" i="7" s="1"/>
  <c r="JKE66" i="7" s="1"/>
  <c r="JKG66" i="7" s="1"/>
  <c r="JKI66" i="7" s="1"/>
  <c r="JKK66" i="7" s="1"/>
  <c r="JKM66" i="7" s="1"/>
  <c r="JKO66" i="7" s="1"/>
  <c r="JKQ66" i="7" s="1"/>
  <c r="JKS66" i="7" s="1"/>
  <c r="JKU66" i="7" s="1"/>
  <c r="JKW66" i="7" s="1"/>
  <c r="JKY66" i="7" s="1"/>
  <c r="JLA66" i="7" s="1"/>
  <c r="JLC66" i="7" s="1"/>
  <c r="JLE66" i="7" s="1"/>
  <c r="JLG66" i="7" s="1"/>
  <c r="JLI66" i="7" s="1"/>
  <c r="JLK66" i="7" s="1"/>
  <c r="JLM66" i="7" s="1"/>
  <c r="JLO66" i="7" s="1"/>
  <c r="JLQ66" i="7" s="1"/>
  <c r="JLS66" i="7" s="1"/>
  <c r="JLU66" i="7" s="1"/>
  <c r="JLW66" i="7" s="1"/>
  <c r="JLY66" i="7" s="1"/>
  <c r="JMA66" i="7" s="1"/>
  <c r="JMC66" i="7" s="1"/>
  <c r="JME66" i="7" s="1"/>
  <c r="JMG66" i="7" s="1"/>
  <c r="JMI66" i="7" s="1"/>
  <c r="JMK66" i="7" s="1"/>
  <c r="JMM66" i="7" s="1"/>
  <c r="JMO66" i="7" s="1"/>
  <c r="JMQ66" i="7" s="1"/>
  <c r="JMS66" i="7" s="1"/>
  <c r="JMU66" i="7" s="1"/>
  <c r="JMW66" i="7" s="1"/>
  <c r="JMY66" i="7" s="1"/>
  <c r="JNA66" i="7" s="1"/>
  <c r="JNC66" i="7" s="1"/>
  <c r="JNE66" i="7" s="1"/>
  <c r="JNG66" i="7" s="1"/>
  <c r="JNI66" i="7" s="1"/>
  <c r="JNK66" i="7" s="1"/>
  <c r="JNM66" i="7" s="1"/>
  <c r="JNO66" i="7" s="1"/>
  <c r="JNQ66" i="7" s="1"/>
  <c r="JNS66" i="7" s="1"/>
  <c r="JNU66" i="7" s="1"/>
  <c r="JNW66" i="7" s="1"/>
  <c r="JNY66" i="7" s="1"/>
  <c r="JOA66" i="7" s="1"/>
  <c r="JOC66" i="7" s="1"/>
  <c r="JOE66" i="7" s="1"/>
  <c r="JOG66" i="7" s="1"/>
  <c r="JOI66" i="7" s="1"/>
  <c r="JOK66" i="7" s="1"/>
  <c r="JOM66" i="7" s="1"/>
  <c r="JOO66" i="7" s="1"/>
  <c r="JOQ66" i="7" s="1"/>
  <c r="JOS66" i="7" s="1"/>
  <c r="JOU66" i="7" s="1"/>
  <c r="JOW66" i="7" s="1"/>
  <c r="JOY66" i="7" s="1"/>
  <c r="JPA66" i="7" s="1"/>
  <c r="JPC66" i="7" s="1"/>
  <c r="JPE66" i="7" s="1"/>
  <c r="JPG66" i="7" s="1"/>
  <c r="JPI66" i="7" s="1"/>
  <c r="JPK66" i="7" s="1"/>
  <c r="JPM66" i="7" s="1"/>
  <c r="JPO66" i="7" s="1"/>
  <c r="JPQ66" i="7" s="1"/>
  <c r="JPS66" i="7" s="1"/>
  <c r="JPU66" i="7" s="1"/>
  <c r="JPW66" i="7" s="1"/>
  <c r="JPY66" i="7" s="1"/>
  <c r="JQA66" i="7" s="1"/>
  <c r="JQC66" i="7" s="1"/>
  <c r="JQE66" i="7" s="1"/>
  <c r="JQG66" i="7" s="1"/>
  <c r="JQI66" i="7" s="1"/>
  <c r="JQK66" i="7" s="1"/>
  <c r="JQM66" i="7" s="1"/>
  <c r="JQO66" i="7" s="1"/>
  <c r="JQQ66" i="7" s="1"/>
  <c r="JQS66" i="7" s="1"/>
  <c r="JQU66" i="7" s="1"/>
  <c r="JQW66" i="7" s="1"/>
  <c r="JQY66" i="7" s="1"/>
  <c r="JRA66" i="7" s="1"/>
  <c r="JRC66" i="7" s="1"/>
  <c r="JRE66" i="7" s="1"/>
  <c r="JRG66" i="7" s="1"/>
  <c r="JRI66" i="7" s="1"/>
  <c r="JRK66" i="7" s="1"/>
  <c r="JRM66" i="7" s="1"/>
  <c r="JRO66" i="7" s="1"/>
  <c r="JRQ66" i="7" s="1"/>
  <c r="JRS66" i="7" s="1"/>
  <c r="JRU66" i="7" s="1"/>
  <c r="JRW66" i="7" s="1"/>
  <c r="JRY66" i="7" s="1"/>
  <c r="JSA66" i="7" s="1"/>
  <c r="JSC66" i="7" s="1"/>
  <c r="JSE66" i="7" s="1"/>
  <c r="JSG66" i="7" s="1"/>
  <c r="JSI66" i="7" s="1"/>
  <c r="JSK66" i="7" s="1"/>
  <c r="JSM66" i="7" s="1"/>
  <c r="JSO66" i="7" s="1"/>
  <c r="JSQ66" i="7" s="1"/>
  <c r="JSS66" i="7" s="1"/>
  <c r="JSU66" i="7" s="1"/>
  <c r="JSW66" i="7" s="1"/>
  <c r="JSY66" i="7" s="1"/>
  <c r="JTA66" i="7" s="1"/>
  <c r="JTC66" i="7" s="1"/>
  <c r="JTE66" i="7" s="1"/>
  <c r="JTG66" i="7" s="1"/>
  <c r="JTI66" i="7" s="1"/>
  <c r="JTK66" i="7" s="1"/>
  <c r="JTM66" i="7" s="1"/>
  <c r="JTO66" i="7" s="1"/>
  <c r="JTQ66" i="7" s="1"/>
  <c r="JTS66" i="7" s="1"/>
  <c r="JTU66" i="7" s="1"/>
  <c r="JTW66" i="7" s="1"/>
  <c r="JTY66" i="7" s="1"/>
  <c r="JUA66" i="7" s="1"/>
  <c r="JUC66" i="7" s="1"/>
  <c r="JUE66" i="7" s="1"/>
  <c r="JUG66" i="7" s="1"/>
  <c r="JUI66" i="7" s="1"/>
  <c r="JUK66" i="7" s="1"/>
  <c r="JUM66" i="7" s="1"/>
  <c r="JUO66" i="7" s="1"/>
  <c r="JUQ66" i="7" s="1"/>
  <c r="JUS66" i="7" s="1"/>
  <c r="JUU66" i="7" s="1"/>
  <c r="JUW66" i="7" s="1"/>
  <c r="JUY66" i="7" s="1"/>
  <c r="JVA66" i="7" s="1"/>
  <c r="JVC66" i="7" s="1"/>
  <c r="JVE66" i="7" s="1"/>
  <c r="JVG66" i="7" s="1"/>
  <c r="JVI66" i="7" s="1"/>
  <c r="JVK66" i="7" s="1"/>
  <c r="JVM66" i="7" s="1"/>
  <c r="JVO66" i="7" s="1"/>
  <c r="JVQ66" i="7" s="1"/>
  <c r="JVS66" i="7" s="1"/>
  <c r="JVU66" i="7" s="1"/>
  <c r="JVW66" i="7" s="1"/>
  <c r="JVY66" i="7" s="1"/>
  <c r="JWA66" i="7" s="1"/>
  <c r="JWC66" i="7" s="1"/>
  <c r="JWE66" i="7" s="1"/>
  <c r="JWG66" i="7" s="1"/>
  <c r="JWI66" i="7" s="1"/>
  <c r="JWK66" i="7" s="1"/>
  <c r="JWM66" i="7" s="1"/>
  <c r="JWO66" i="7" s="1"/>
  <c r="JWQ66" i="7" s="1"/>
  <c r="JWS66" i="7" s="1"/>
  <c r="JWU66" i="7" s="1"/>
  <c r="JWW66" i="7" s="1"/>
  <c r="JWY66" i="7" s="1"/>
  <c r="JXA66" i="7" s="1"/>
  <c r="JXC66" i="7" s="1"/>
  <c r="JXE66" i="7" s="1"/>
  <c r="JXG66" i="7" s="1"/>
  <c r="JXI66" i="7" s="1"/>
  <c r="JXK66" i="7" s="1"/>
  <c r="JXM66" i="7" s="1"/>
  <c r="JXO66" i="7" s="1"/>
  <c r="JXQ66" i="7" s="1"/>
  <c r="JXS66" i="7" s="1"/>
  <c r="JXU66" i="7" s="1"/>
  <c r="JXW66" i="7" s="1"/>
  <c r="JXY66" i="7" s="1"/>
  <c r="JYA66" i="7" s="1"/>
  <c r="JYC66" i="7" s="1"/>
  <c r="JYE66" i="7" s="1"/>
  <c r="JYG66" i="7" s="1"/>
  <c r="JYI66" i="7" s="1"/>
  <c r="JYK66" i="7" s="1"/>
  <c r="JYM66" i="7" s="1"/>
  <c r="JYO66" i="7" s="1"/>
  <c r="JYQ66" i="7" s="1"/>
  <c r="JYS66" i="7" s="1"/>
  <c r="JYU66" i="7" s="1"/>
  <c r="JYW66" i="7" s="1"/>
  <c r="JYY66" i="7" s="1"/>
  <c r="JZA66" i="7" s="1"/>
  <c r="JZC66" i="7" s="1"/>
  <c r="JZE66" i="7" s="1"/>
  <c r="JZG66" i="7" s="1"/>
  <c r="JZI66" i="7" s="1"/>
  <c r="JZK66" i="7" s="1"/>
  <c r="JZM66" i="7" s="1"/>
  <c r="JZO66" i="7" s="1"/>
  <c r="JZQ66" i="7" s="1"/>
  <c r="JZS66" i="7" s="1"/>
  <c r="JZU66" i="7" s="1"/>
  <c r="JZW66" i="7" s="1"/>
  <c r="JZY66" i="7" s="1"/>
  <c r="KAA66" i="7" s="1"/>
  <c r="KAC66" i="7" s="1"/>
  <c r="KAE66" i="7" s="1"/>
  <c r="KAG66" i="7" s="1"/>
  <c r="KAI66" i="7" s="1"/>
  <c r="KAK66" i="7" s="1"/>
  <c r="KAM66" i="7" s="1"/>
  <c r="KAO66" i="7" s="1"/>
  <c r="KAQ66" i="7" s="1"/>
  <c r="KAS66" i="7" s="1"/>
  <c r="KAU66" i="7" s="1"/>
  <c r="KAW66" i="7" s="1"/>
  <c r="KAY66" i="7" s="1"/>
  <c r="KBA66" i="7" s="1"/>
  <c r="KBC66" i="7" s="1"/>
  <c r="KBE66" i="7" s="1"/>
  <c r="KBG66" i="7" s="1"/>
  <c r="KBI66" i="7" s="1"/>
  <c r="KBK66" i="7" s="1"/>
  <c r="KBM66" i="7" s="1"/>
  <c r="KBO66" i="7" s="1"/>
  <c r="KBQ66" i="7" s="1"/>
  <c r="KBS66" i="7" s="1"/>
  <c r="KBU66" i="7" s="1"/>
  <c r="KBW66" i="7" s="1"/>
  <c r="KBY66" i="7" s="1"/>
  <c r="KCA66" i="7" s="1"/>
  <c r="KCC66" i="7" s="1"/>
  <c r="KCE66" i="7" s="1"/>
  <c r="KCG66" i="7" s="1"/>
  <c r="KCI66" i="7" s="1"/>
  <c r="KCK66" i="7" s="1"/>
  <c r="KCM66" i="7" s="1"/>
  <c r="KCO66" i="7" s="1"/>
  <c r="KCQ66" i="7" s="1"/>
  <c r="KCS66" i="7" s="1"/>
  <c r="KCU66" i="7" s="1"/>
  <c r="KCW66" i="7" s="1"/>
  <c r="KCY66" i="7" s="1"/>
  <c r="KDA66" i="7" s="1"/>
  <c r="KDC66" i="7" s="1"/>
  <c r="KDE66" i="7" s="1"/>
  <c r="KDG66" i="7" s="1"/>
  <c r="KDI66" i="7" s="1"/>
  <c r="KDK66" i="7" s="1"/>
  <c r="KDM66" i="7" s="1"/>
  <c r="KDO66" i="7" s="1"/>
  <c r="KDQ66" i="7" s="1"/>
  <c r="KDS66" i="7" s="1"/>
  <c r="KDU66" i="7" s="1"/>
  <c r="KDW66" i="7" s="1"/>
  <c r="KDY66" i="7" s="1"/>
  <c r="KEA66" i="7" s="1"/>
  <c r="KEC66" i="7" s="1"/>
  <c r="KEE66" i="7" s="1"/>
  <c r="KEG66" i="7" s="1"/>
  <c r="KEI66" i="7" s="1"/>
  <c r="KEK66" i="7" s="1"/>
  <c r="KEM66" i="7" s="1"/>
  <c r="KEO66" i="7" s="1"/>
  <c r="KEQ66" i="7" s="1"/>
  <c r="KES66" i="7" s="1"/>
  <c r="KEU66" i="7" s="1"/>
  <c r="KEW66" i="7" s="1"/>
  <c r="KEY66" i="7" s="1"/>
  <c r="KFA66" i="7" s="1"/>
  <c r="KFC66" i="7" s="1"/>
  <c r="KFE66" i="7" s="1"/>
  <c r="KFG66" i="7" s="1"/>
  <c r="KFI66" i="7" s="1"/>
  <c r="KFK66" i="7" s="1"/>
  <c r="KFM66" i="7" s="1"/>
  <c r="KFO66" i="7" s="1"/>
  <c r="KFQ66" i="7" s="1"/>
  <c r="KFS66" i="7" s="1"/>
  <c r="KFU66" i="7" s="1"/>
  <c r="KFW66" i="7" s="1"/>
  <c r="KFY66" i="7" s="1"/>
  <c r="KGA66" i="7" s="1"/>
  <c r="KGC66" i="7" s="1"/>
  <c r="KGE66" i="7" s="1"/>
  <c r="KGG66" i="7" s="1"/>
  <c r="KGI66" i="7" s="1"/>
  <c r="KGK66" i="7" s="1"/>
  <c r="KGM66" i="7" s="1"/>
  <c r="KGO66" i="7" s="1"/>
  <c r="KGQ66" i="7" s="1"/>
  <c r="KGS66" i="7" s="1"/>
  <c r="KGU66" i="7" s="1"/>
  <c r="KGW66" i="7" s="1"/>
  <c r="KGY66" i="7" s="1"/>
  <c r="KHA66" i="7" s="1"/>
  <c r="KHC66" i="7" s="1"/>
  <c r="KHE66" i="7" s="1"/>
  <c r="KHG66" i="7" s="1"/>
  <c r="KHI66" i="7" s="1"/>
  <c r="KHK66" i="7" s="1"/>
  <c r="KHM66" i="7" s="1"/>
  <c r="KHO66" i="7" s="1"/>
  <c r="KHQ66" i="7" s="1"/>
  <c r="KHS66" i="7" s="1"/>
  <c r="KHU66" i="7" s="1"/>
  <c r="KHW66" i="7" s="1"/>
  <c r="KHY66" i="7" s="1"/>
  <c r="KIA66" i="7" s="1"/>
  <c r="KIC66" i="7" s="1"/>
  <c r="KIE66" i="7" s="1"/>
  <c r="KIG66" i="7" s="1"/>
  <c r="KII66" i="7" s="1"/>
  <c r="KIK66" i="7" s="1"/>
  <c r="KIM66" i="7" s="1"/>
  <c r="KIO66" i="7" s="1"/>
  <c r="KIQ66" i="7" s="1"/>
  <c r="KIS66" i="7" s="1"/>
  <c r="KIU66" i="7" s="1"/>
  <c r="KIW66" i="7" s="1"/>
  <c r="KIY66" i="7" s="1"/>
  <c r="KJA66" i="7" s="1"/>
  <c r="KJC66" i="7" s="1"/>
  <c r="KJE66" i="7" s="1"/>
  <c r="KJG66" i="7" s="1"/>
  <c r="KJI66" i="7" s="1"/>
  <c r="KJK66" i="7" s="1"/>
  <c r="KJM66" i="7" s="1"/>
  <c r="KJO66" i="7" s="1"/>
  <c r="KJQ66" i="7" s="1"/>
  <c r="KJS66" i="7" s="1"/>
  <c r="KJU66" i="7" s="1"/>
  <c r="KJW66" i="7" s="1"/>
  <c r="KJY66" i="7" s="1"/>
  <c r="KKA66" i="7" s="1"/>
  <c r="KKC66" i="7" s="1"/>
  <c r="KKE66" i="7" s="1"/>
  <c r="KKG66" i="7" s="1"/>
  <c r="KKI66" i="7" s="1"/>
  <c r="KKK66" i="7" s="1"/>
  <c r="KKM66" i="7" s="1"/>
  <c r="KKO66" i="7" s="1"/>
  <c r="KKQ66" i="7" s="1"/>
  <c r="KKS66" i="7" s="1"/>
  <c r="KKU66" i="7" s="1"/>
  <c r="KKW66" i="7" s="1"/>
  <c r="KKY66" i="7" s="1"/>
  <c r="KLA66" i="7" s="1"/>
  <c r="KLC66" i="7" s="1"/>
  <c r="KLE66" i="7" s="1"/>
  <c r="KLG66" i="7" s="1"/>
  <c r="KLI66" i="7" s="1"/>
  <c r="KLK66" i="7" s="1"/>
  <c r="KLM66" i="7" s="1"/>
  <c r="KLO66" i="7" s="1"/>
  <c r="KLQ66" i="7" s="1"/>
  <c r="KLS66" i="7" s="1"/>
  <c r="KLU66" i="7" s="1"/>
  <c r="KLW66" i="7" s="1"/>
  <c r="KLY66" i="7" s="1"/>
  <c r="KMA66" i="7" s="1"/>
  <c r="KMC66" i="7" s="1"/>
  <c r="KME66" i="7" s="1"/>
  <c r="KMG66" i="7" s="1"/>
  <c r="KMI66" i="7" s="1"/>
  <c r="KMK66" i="7" s="1"/>
  <c r="KMM66" i="7" s="1"/>
  <c r="KMO66" i="7" s="1"/>
  <c r="KMQ66" i="7" s="1"/>
  <c r="KMS66" i="7" s="1"/>
  <c r="KMU66" i="7" s="1"/>
  <c r="KMW66" i="7" s="1"/>
  <c r="KMY66" i="7" s="1"/>
  <c r="KNA66" i="7" s="1"/>
  <c r="KNC66" i="7" s="1"/>
  <c r="KNE66" i="7" s="1"/>
  <c r="KNG66" i="7" s="1"/>
  <c r="KNI66" i="7" s="1"/>
  <c r="KNK66" i="7" s="1"/>
  <c r="KNM66" i="7" s="1"/>
  <c r="KNO66" i="7" s="1"/>
  <c r="KNQ66" i="7" s="1"/>
  <c r="KNS66" i="7" s="1"/>
  <c r="KNU66" i="7" s="1"/>
  <c r="KNW66" i="7" s="1"/>
  <c r="KNY66" i="7" s="1"/>
  <c r="KOA66" i="7" s="1"/>
  <c r="KOC66" i="7" s="1"/>
  <c r="KOE66" i="7" s="1"/>
  <c r="KOG66" i="7" s="1"/>
  <c r="KOI66" i="7" s="1"/>
  <c r="KOK66" i="7" s="1"/>
  <c r="KOM66" i="7" s="1"/>
  <c r="KOO66" i="7" s="1"/>
  <c r="KOQ66" i="7" s="1"/>
  <c r="KOS66" i="7" s="1"/>
  <c r="KOU66" i="7" s="1"/>
  <c r="KOW66" i="7" s="1"/>
  <c r="KOY66" i="7" s="1"/>
  <c r="KPA66" i="7" s="1"/>
  <c r="KPC66" i="7" s="1"/>
  <c r="KPE66" i="7" s="1"/>
  <c r="KPG66" i="7" s="1"/>
  <c r="KPI66" i="7" s="1"/>
  <c r="KPK66" i="7" s="1"/>
  <c r="KPM66" i="7" s="1"/>
  <c r="KPO66" i="7" s="1"/>
  <c r="KPQ66" i="7" s="1"/>
  <c r="KPS66" i="7" s="1"/>
  <c r="KPU66" i="7" s="1"/>
  <c r="KPW66" i="7" s="1"/>
  <c r="KPY66" i="7" s="1"/>
  <c r="KQA66" i="7" s="1"/>
  <c r="KQC66" i="7" s="1"/>
  <c r="KQE66" i="7" s="1"/>
  <c r="KQG66" i="7" s="1"/>
  <c r="KQI66" i="7" s="1"/>
  <c r="KQK66" i="7" s="1"/>
  <c r="KQM66" i="7" s="1"/>
  <c r="KQO66" i="7" s="1"/>
  <c r="KQQ66" i="7" s="1"/>
  <c r="KQS66" i="7" s="1"/>
  <c r="KQU66" i="7" s="1"/>
  <c r="KQW66" i="7" s="1"/>
  <c r="KQY66" i="7" s="1"/>
  <c r="KRA66" i="7" s="1"/>
  <c r="KRC66" i="7" s="1"/>
  <c r="KRE66" i="7" s="1"/>
  <c r="KRG66" i="7" s="1"/>
  <c r="KRI66" i="7" s="1"/>
  <c r="KRK66" i="7" s="1"/>
  <c r="KRM66" i="7" s="1"/>
  <c r="KRO66" i="7" s="1"/>
  <c r="KRQ66" i="7" s="1"/>
  <c r="KRS66" i="7" s="1"/>
  <c r="KRU66" i="7" s="1"/>
  <c r="KRW66" i="7" s="1"/>
  <c r="KRY66" i="7" s="1"/>
  <c r="KSA66" i="7" s="1"/>
  <c r="KSC66" i="7" s="1"/>
  <c r="KSE66" i="7" s="1"/>
  <c r="KSG66" i="7" s="1"/>
  <c r="KSI66" i="7" s="1"/>
  <c r="KSK66" i="7" s="1"/>
  <c r="KSM66" i="7" s="1"/>
  <c r="KSO66" i="7" s="1"/>
  <c r="KSQ66" i="7" s="1"/>
  <c r="KSS66" i="7" s="1"/>
  <c r="KSU66" i="7" s="1"/>
  <c r="KSW66" i="7" s="1"/>
  <c r="KSY66" i="7" s="1"/>
  <c r="KTA66" i="7" s="1"/>
  <c r="KTC66" i="7" s="1"/>
  <c r="KTE66" i="7" s="1"/>
  <c r="KTG66" i="7" s="1"/>
  <c r="KTI66" i="7" s="1"/>
  <c r="KTK66" i="7" s="1"/>
  <c r="KTM66" i="7" s="1"/>
  <c r="KTO66" i="7" s="1"/>
  <c r="KTQ66" i="7" s="1"/>
  <c r="KTS66" i="7" s="1"/>
  <c r="KTU66" i="7" s="1"/>
  <c r="KTW66" i="7" s="1"/>
  <c r="KTY66" i="7" s="1"/>
  <c r="KUA66" i="7" s="1"/>
  <c r="KUC66" i="7" s="1"/>
  <c r="KUE66" i="7" s="1"/>
  <c r="KUG66" i="7" s="1"/>
  <c r="KUI66" i="7" s="1"/>
  <c r="KUK66" i="7" s="1"/>
  <c r="KUM66" i="7" s="1"/>
  <c r="KUO66" i="7" s="1"/>
  <c r="KUQ66" i="7" s="1"/>
  <c r="KUS66" i="7" s="1"/>
  <c r="KUU66" i="7" s="1"/>
  <c r="KUW66" i="7" s="1"/>
  <c r="KUY66" i="7" s="1"/>
  <c r="KVA66" i="7" s="1"/>
  <c r="KVC66" i="7" s="1"/>
  <c r="KVE66" i="7" s="1"/>
  <c r="KVG66" i="7" s="1"/>
  <c r="KVI66" i="7" s="1"/>
  <c r="KVK66" i="7" s="1"/>
  <c r="KVM66" i="7" s="1"/>
  <c r="KVO66" i="7" s="1"/>
  <c r="KVQ66" i="7" s="1"/>
  <c r="KVS66" i="7" s="1"/>
  <c r="KVU66" i="7" s="1"/>
  <c r="KVW66" i="7" s="1"/>
  <c r="KVY66" i="7" s="1"/>
  <c r="KWA66" i="7" s="1"/>
  <c r="KWC66" i="7" s="1"/>
  <c r="KWE66" i="7" s="1"/>
  <c r="KWG66" i="7" s="1"/>
  <c r="KWI66" i="7" s="1"/>
  <c r="KWK66" i="7" s="1"/>
  <c r="KWM66" i="7" s="1"/>
  <c r="KWO66" i="7" s="1"/>
  <c r="KWQ66" i="7" s="1"/>
  <c r="KWS66" i="7" s="1"/>
  <c r="KWU66" i="7" s="1"/>
  <c r="KWW66" i="7" s="1"/>
  <c r="KWY66" i="7" s="1"/>
  <c r="KXA66" i="7" s="1"/>
  <c r="KXC66" i="7" s="1"/>
  <c r="KXE66" i="7" s="1"/>
  <c r="KXG66" i="7" s="1"/>
  <c r="KXI66" i="7" s="1"/>
  <c r="KXK66" i="7" s="1"/>
  <c r="KXM66" i="7" s="1"/>
  <c r="KXO66" i="7" s="1"/>
  <c r="KXQ66" i="7" s="1"/>
  <c r="KXS66" i="7" s="1"/>
  <c r="KXU66" i="7" s="1"/>
  <c r="KXW66" i="7" s="1"/>
  <c r="KXY66" i="7" s="1"/>
  <c r="KYA66" i="7" s="1"/>
  <c r="KYC66" i="7" s="1"/>
  <c r="KYE66" i="7" s="1"/>
  <c r="KYG66" i="7" s="1"/>
  <c r="KYI66" i="7" s="1"/>
  <c r="KYK66" i="7" s="1"/>
  <c r="KYM66" i="7" s="1"/>
  <c r="KYO66" i="7" s="1"/>
  <c r="KYQ66" i="7" s="1"/>
  <c r="KYS66" i="7" s="1"/>
  <c r="KYU66" i="7" s="1"/>
  <c r="KYW66" i="7" s="1"/>
  <c r="KYY66" i="7" s="1"/>
  <c r="KZA66" i="7" s="1"/>
  <c r="KZC66" i="7" s="1"/>
  <c r="KZE66" i="7" s="1"/>
  <c r="KZG66" i="7" s="1"/>
  <c r="KZI66" i="7" s="1"/>
  <c r="KZK66" i="7" s="1"/>
  <c r="KZM66" i="7" s="1"/>
  <c r="KZO66" i="7" s="1"/>
  <c r="KZQ66" i="7" s="1"/>
  <c r="KZS66" i="7" s="1"/>
  <c r="KZU66" i="7" s="1"/>
  <c r="KZW66" i="7" s="1"/>
  <c r="KZY66" i="7" s="1"/>
  <c r="LAA66" i="7" s="1"/>
  <c r="LAC66" i="7" s="1"/>
  <c r="LAE66" i="7" s="1"/>
  <c r="LAG66" i="7" s="1"/>
  <c r="LAI66" i="7" s="1"/>
  <c r="LAK66" i="7" s="1"/>
  <c r="LAM66" i="7" s="1"/>
  <c r="LAO66" i="7" s="1"/>
  <c r="LAQ66" i="7" s="1"/>
  <c r="LAS66" i="7" s="1"/>
  <c r="LAU66" i="7" s="1"/>
  <c r="LAW66" i="7" s="1"/>
  <c r="LAY66" i="7" s="1"/>
  <c r="LBA66" i="7" s="1"/>
  <c r="LBC66" i="7" s="1"/>
  <c r="LBE66" i="7" s="1"/>
  <c r="LBG66" i="7" s="1"/>
  <c r="LBI66" i="7" s="1"/>
  <c r="LBK66" i="7" s="1"/>
  <c r="LBM66" i="7" s="1"/>
  <c r="LBO66" i="7" s="1"/>
  <c r="LBQ66" i="7" s="1"/>
  <c r="LBS66" i="7" s="1"/>
  <c r="LBU66" i="7" s="1"/>
  <c r="LBW66" i="7" s="1"/>
  <c r="LBY66" i="7" s="1"/>
  <c r="LCA66" i="7" s="1"/>
  <c r="LCC66" i="7" s="1"/>
  <c r="LCE66" i="7" s="1"/>
  <c r="LCG66" i="7" s="1"/>
  <c r="LCI66" i="7" s="1"/>
  <c r="LCK66" i="7" s="1"/>
  <c r="LCM66" i="7" s="1"/>
  <c r="LCO66" i="7" s="1"/>
  <c r="LCQ66" i="7" s="1"/>
  <c r="LCS66" i="7" s="1"/>
  <c r="LCU66" i="7" s="1"/>
  <c r="LCW66" i="7" s="1"/>
  <c r="LCY66" i="7" s="1"/>
  <c r="LDA66" i="7" s="1"/>
  <c r="LDC66" i="7" s="1"/>
  <c r="LDE66" i="7" s="1"/>
  <c r="LDG66" i="7" s="1"/>
  <c r="LDI66" i="7" s="1"/>
  <c r="LDK66" i="7" s="1"/>
  <c r="LDM66" i="7" s="1"/>
  <c r="LDO66" i="7" s="1"/>
  <c r="LDQ66" i="7" s="1"/>
  <c r="LDS66" i="7" s="1"/>
  <c r="LDU66" i="7" s="1"/>
  <c r="LDW66" i="7" s="1"/>
  <c r="LDY66" i="7" s="1"/>
  <c r="LEA66" i="7" s="1"/>
  <c r="LEC66" i="7" s="1"/>
  <c r="LEE66" i="7" s="1"/>
  <c r="LEG66" i="7" s="1"/>
  <c r="LEI66" i="7" s="1"/>
  <c r="LEK66" i="7" s="1"/>
  <c r="LEM66" i="7" s="1"/>
  <c r="LEO66" i="7" s="1"/>
  <c r="LEQ66" i="7" s="1"/>
  <c r="LES66" i="7" s="1"/>
  <c r="LEU66" i="7" s="1"/>
  <c r="LEW66" i="7" s="1"/>
  <c r="LEY66" i="7" s="1"/>
  <c r="LFA66" i="7" s="1"/>
  <c r="LFC66" i="7" s="1"/>
  <c r="LFE66" i="7" s="1"/>
  <c r="LFG66" i="7" s="1"/>
  <c r="LFI66" i="7" s="1"/>
  <c r="LFK66" i="7" s="1"/>
  <c r="LFM66" i="7" s="1"/>
  <c r="LFO66" i="7" s="1"/>
  <c r="LFQ66" i="7" s="1"/>
  <c r="LFS66" i="7" s="1"/>
  <c r="LFU66" i="7" s="1"/>
  <c r="LFW66" i="7" s="1"/>
  <c r="LFY66" i="7" s="1"/>
  <c r="LGA66" i="7" s="1"/>
  <c r="LGC66" i="7" s="1"/>
  <c r="LGE66" i="7" s="1"/>
  <c r="LGG66" i="7" s="1"/>
  <c r="LGI66" i="7" s="1"/>
  <c r="LGK66" i="7" s="1"/>
  <c r="LGM66" i="7" s="1"/>
  <c r="LGO66" i="7" s="1"/>
  <c r="LGQ66" i="7" s="1"/>
  <c r="LGS66" i="7" s="1"/>
  <c r="LGU66" i="7" s="1"/>
  <c r="LGW66" i="7" s="1"/>
  <c r="LGY66" i="7" s="1"/>
  <c r="LHA66" i="7" s="1"/>
  <c r="LHC66" i="7" s="1"/>
  <c r="LHE66" i="7" s="1"/>
  <c r="LHG66" i="7" s="1"/>
  <c r="LHI66" i="7" s="1"/>
  <c r="LHK66" i="7" s="1"/>
  <c r="LHM66" i="7" s="1"/>
  <c r="LHO66" i="7" s="1"/>
  <c r="LHQ66" i="7" s="1"/>
  <c r="LHS66" i="7" s="1"/>
  <c r="LHU66" i="7" s="1"/>
  <c r="LHW66" i="7" s="1"/>
  <c r="LHY66" i="7" s="1"/>
  <c r="LIA66" i="7" s="1"/>
  <c r="LIC66" i="7" s="1"/>
  <c r="LIE66" i="7" s="1"/>
  <c r="LIG66" i="7" s="1"/>
  <c r="LII66" i="7" s="1"/>
  <c r="LIK66" i="7" s="1"/>
  <c r="LIM66" i="7" s="1"/>
  <c r="LIO66" i="7" s="1"/>
  <c r="LIQ66" i="7" s="1"/>
  <c r="LIS66" i="7" s="1"/>
  <c r="LIU66" i="7" s="1"/>
  <c r="LIW66" i="7" s="1"/>
  <c r="LIY66" i="7" s="1"/>
  <c r="LJA66" i="7" s="1"/>
  <c r="LJC66" i="7" s="1"/>
  <c r="LJE66" i="7" s="1"/>
  <c r="LJG66" i="7" s="1"/>
  <c r="LJI66" i="7" s="1"/>
  <c r="LJK66" i="7" s="1"/>
  <c r="LJM66" i="7" s="1"/>
  <c r="LJO66" i="7" s="1"/>
  <c r="LJQ66" i="7" s="1"/>
  <c r="LJS66" i="7" s="1"/>
  <c r="LJU66" i="7" s="1"/>
  <c r="LJW66" i="7" s="1"/>
  <c r="LJY66" i="7" s="1"/>
  <c r="LKA66" i="7" s="1"/>
  <c r="LKC66" i="7" s="1"/>
  <c r="LKE66" i="7" s="1"/>
  <c r="LKG66" i="7" s="1"/>
  <c r="LKI66" i="7" s="1"/>
  <c r="LKK66" i="7" s="1"/>
  <c r="LKM66" i="7" s="1"/>
  <c r="LKO66" i="7" s="1"/>
  <c r="LKQ66" i="7" s="1"/>
  <c r="LKS66" i="7" s="1"/>
  <c r="LKU66" i="7" s="1"/>
  <c r="LKW66" i="7" s="1"/>
  <c r="LKY66" i="7" s="1"/>
  <c r="LLA66" i="7" s="1"/>
  <c r="LLC66" i="7" s="1"/>
  <c r="LLE66" i="7" s="1"/>
  <c r="LLG66" i="7" s="1"/>
  <c r="LLI66" i="7" s="1"/>
  <c r="LLK66" i="7" s="1"/>
  <c r="LLM66" i="7" s="1"/>
  <c r="LLO66" i="7" s="1"/>
  <c r="LLQ66" i="7" s="1"/>
  <c r="LLS66" i="7" s="1"/>
  <c r="LLU66" i="7" s="1"/>
  <c r="LLW66" i="7" s="1"/>
  <c r="LLY66" i="7" s="1"/>
  <c r="LMA66" i="7" s="1"/>
  <c r="LMC66" i="7" s="1"/>
  <c r="LME66" i="7" s="1"/>
  <c r="LMG66" i="7" s="1"/>
  <c r="LMI66" i="7" s="1"/>
  <c r="LMK66" i="7" s="1"/>
  <c r="LMM66" i="7" s="1"/>
  <c r="LMO66" i="7" s="1"/>
  <c r="LMQ66" i="7" s="1"/>
  <c r="LMS66" i="7" s="1"/>
  <c r="LMU66" i="7" s="1"/>
  <c r="LMW66" i="7" s="1"/>
  <c r="LMY66" i="7" s="1"/>
  <c r="LNA66" i="7" s="1"/>
  <c r="LNC66" i="7" s="1"/>
  <c r="LNE66" i="7" s="1"/>
  <c r="LNG66" i="7" s="1"/>
  <c r="LNI66" i="7" s="1"/>
  <c r="LNK66" i="7" s="1"/>
  <c r="LNM66" i="7" s="1"/>
  <c r="LNO66" i="7" s="1"/>
  <c r="LNQ66" i="7" s="1"/>
  <c r="LNS66" i="7" s="1"/>
  <c r="LNU66" i="7" s="1"/>
  <c r="LNW66" i="7" s="1"/>
  <c r="LNY66" i="7" s="1"/>
  <c r="LOA66" i="7" s="1"/>
  <c r="LOC66" i="7" s="1"/>
  <c r="LOE66" i="7" s="1"/>
  <c r="LOG66" i="7" s="1"/>
  <c r="LOI66" i="7" s="1"/>
  <c r="LOK66" i="7" s="1"/>
  <c r="LOM66" i="7" s="1"/>
  <c r="LOO66" i="7" s="1"/>
  <c r="LOQ66" i="7" s="1"/>
  <c r="LOS66" i="7" s="1"/>
  <c r="LOU66" i="7" s="1"/>
  <c r="LOW66" i="7" s="1"/>
  <c r="LOY66" i="7" s="1"/>
  <c r="LPA66" i="7" s="1"/>
  <c r="LPC66" i="7" s="1"/>
  <c r="LPE66" i="7" s="1"/>
  <c r="LPG66" i="7" s="1"/>
  <c r="LPI66" i="7" s="1"/>
  <c r="LPK66" i="7" s="1"/>
  <c r="LPM66" i="7" s="1"/>
  <c r="LPO66" i="7" s="1"/>
  <c r="LPQ66" i="7" s="1"/>
  <c r="LPS66" i="7" s="1"/>
  <c r="LPU66" i="7" s="1"/>
  <c r="LPW66" i="7" s="1"/>
  <c r="LPY66" i="7" s="1"/>
  <c r="LQA66" i="7" s="1"/>
  <c r="LQC66" i="7" s="1"/>
  <c r="LQE66" i="7" s="1"/>
  <c r="LQG66" i="7" s="1"/>
  <c r="LQI66" i="7" s="1"/>
  <c r="LQK66" i="7" s="1"/>
  <c r="LQM66" i="7" s="1"/>
  <c r="LQO66" i="7" s="1"/>
  <c r="LQQ66" i="7" s="1"/>
  <c r="LQS66" i="7" s="1"/>
  <c r="LQU66" i="7" s="1"/>
  <c r="LQW66" i="7" s="1"/>
  <c r="LQY66" i="7" s="1"/>
  <c r="LRA66" i="7" s="1"/>
  <c r="LRC66" i="7" s="1"/>
  <c r="LRE66" i="7" s="1"/>
  <c r="LRG66" i="7" s="1"/>
  <c r="LRI66" i="7" s="1"/>
  <c r="LRK66" i="7" s="1"/>
  <c r="LRM66" i="7" s="1"/>
  <c r="LRO66" i="7" s="1"/>
  <c r="LRQ66" i="7" s="1"/>
  <c r="LRS66" i="7" s="1"/>
  <c r="LRU66" i="7" s="1"/>
  <c r="LRW66" i="7" s="1"/>
  <c r="LRY66" i="7" s="1"/>
  <c r="LSA66" i="7" s="1"/>
  <c r="LSC66" i="7" s="1"/>
  <c r="LSE66" i="7" s="1"/>
  <c r="LSG66" i="7" s="1"/>
  <c r="LSI66" i="7" s="1"/>
  <c r="LSK66" i="7" s="1"/>
  <c r="LSM66" i="7" s="1"/>
  <c r="LSO66" i="7" s="1"/>
  <c r="LSQ66" i="7" s="1"/>
  <c r="LSS66" i="7" s="1"/>
  <c r="LSU66" i="7" s="1"/>
  <c r="LSW66" i="7" s="1"/>
  <c r="LSY66" i="7" s="1"/>
  <c r="LTA66" i="7" s="1"/>
  <c r="LTC66" i="7" s="1"/>
  <c r="LTE66" i="7" s="1"/>
  <c r="LTG66" i="7" s="1"/>
  <c r="LTI66" i="7" s="1"/>
  <c r="LTK66" i="7" s="1"/>
  <c r="LTM66" i="7" s="1"/>
  <c r="LTO66" i="7" s="1"/>
  <c r="LTQ66" i="7" s="1"/>
  <c r="LTS66" i="7" s="1"/>
  <c r="LTU66" i="7" s="1"/>
  <c r="LTW66" i="7" s="1"/>
  <c r="LTY66" i="7" s="1"/>
  <c r="LUA66" i="7" s="1"/>
  <c r="LUC66" i="7" s="1"/>
  <c r="LUE66" i="7" s="1"/>
  <c r="LUG66" i="7" s="1"/>
  <c r="LUI66" i="7" s="1"/>
  <c r="LUK66" i="7" s="1"/>
  <c r="LUM66" i="7" s="1"/>
  <c r="LUO66" i="7" s="1"/>
  <c r="LUQ66" i="7" s="1"/>
  <c r="LUS66" i="7" s="1"/>
  <c r="LUU66" i="7" s="1"/>
  <c r="LUW66" i="7" s="1"/>
  <c r="LUY66" i="7" s="1"/>
  <c r="LVA66" i="7" s="1"/>
  <c r="LVC66" i="7" s="1"/>
  <c r="LVE66" i="7" s="1"/>
  <c r="LVG66" i="7" s="1"/>
  <c r="LVI66" i="7" s="1"/>
  <c r="LVK66" i="7" s="1"/>
  <c r="LVM66" i="7" s="1"/>
  <c r="LVO66" i="7" s="1"/>
  <c r="LVQ66" i="7" s="1"/>
  <c r="LVS66" i="7" s="1"/>
  <c r="LVU66" i="7" s="1"/>
  <c r="LVW66" i="7" s="1"/>
  <c r="LVY66" i="7" s="1"/>
  <c r="LWA66" i="7" s="1"/>
  <c r="LWC66" i="7" s="1"/>
  <c r="LWE66" i="7" s="1"/>
  <c r="LWG66" i="7" s="1"/>
  <c r="LWI66" i="7" s="1"/>
  <c r="LWK66" i="7" s="1"/>
  <c r="LWM66" i="7" s="1"/>
  <c r="LWO66" i="7" s="1"/>
  <c r="LWQ66" i="7" s="1"/>
  <c r="LWS66" i="7" s="1"/>
  <c r="LWU66" i="7" s="1"/>
  <c r="LWW66" i="7" s="1"/>
  <c r="LWY66" i="7" s="1"/>
  <c r="LXA66" i="7" s="1"/>
  <c r="LXC66" i="7" s="1"/>
  <c r="LXE66" i="7" s="1"/>
  <c r="LXG66" i="7" s="1"/>
  <c r="LXI66" i="7" s="1"/>
  <c r="LXK66" i="7" s="1"/>
  <c r="LXM66" i="7" s="1"/>
  <c r="LXO66" i="7" s="1"/>
  <c r="LXQ66" i="7" s="1"/>
  <c r="LXS66" i="7" s="1"/>
  <c r="LXU66" i="7" s="1"/>
  <c r="LXW66" i="7" s="1"/>
  <c r="LXY66" i="7" s="1"/>
  <c r="LYA66" i="7" s="1"/>
  <c r="LYC66" i="7" s="1"/>
  <c r="LYE66" i="7" s="1"/>
  <c r="LYG66" i="7" s="1"/>
  <c r="LYI66" i="7" s="1"/>
  <c r="LYK66" i="7" s="1"/>
  <c r="LYM66" i="7" s="1"/>
  <c r="LYO66" i="7" s="1"/>
  <c r="LYQ66" i="7" s="1"/>
  <c r="LYS66" i="7" s="1"/>
  <c r="LYU66" i="7" s="1"/>
  <c r="LYW66" i="7" s="1"/>
  <c r="LYY66" i="7" s="1"/>
  <c r="LZA66" i="7" s="1"/>
  <c r="LZC66" i="7" s="1"/>
  <c r="LZE66" i="7" s="1"/>
  <c r="LZG66" i="7" s="1"/>
  <c r="LZI66" i="7" s="1"/>
  <c r="LZK66" i="7" s="1"/>
  <c r="LZM66" i="7" s="1"/>
  <c r="LZO66" i="7" s="1"/>
  <c r="LZQ66" i="7" s="1"/>
  <c r="LZS66" i="7" s="1"/>
  <c r="LZU66" i="7" s="1"/>
  <c r="LZW66" i="7" s="1"/>
  <c r="LZY66" i="7" s="1"/>
  <c r="MAA66" i="7" s="1"/>
  <c r="MAC66" i="7" s="1"/>
  <c r="MAE66" i="7" s="1"/>
  <c r="MAG66" i="7" s="1"/>
  <c r="MAI66" i="7" s="1"/>
  <c r="MAK66" i="7" s="1"/>
  <c r="MAM66" i="7" s="1"/>
  <c r="MAO66" i="7" s="1"/>
  <c r="MAQ66" i="7" s="1"/>
  <c r="MAS66" i="7" s="1"/>
  <c r="MAU66" i="7" s="1"/>
  <c r="MAW66" i="7" s="1"/>
  <c r="MAY66" i="7" s="1"/>
  <c r="MBA66" i="7" s="1"/>
  <c r="MBC66" i="7" s="1"/>
  <c r="MBE66" i="7" s="1"/>
  <c r="MBG66" i="7" s="1"/>
  <c r="MBI66" i="7" s="1"/>
  <c r="MBK66" i="7" s="1"/>
  <c r="MBM66" i="7" s="1"/>
  <c r="MBO66" i="7" s="1"/>
  <c r="MBQ66" i="7" s="1"/>
  <c r="MBS66" i="7" s="1"/>
  <c r="MBU66" i="7" s="1"/>
  <c r="MBW66" i="7" s="1"/>
  <c r="MBY66" i="7" s="1"/>
  <c r="MCA66" i="7" s="1"/>
  <c r="MCC66" i="7" s="1"/>
  <c r="MCE66" i="7" s="1"/>
  <c r="MCG66" i="7" s="1"/>
  <c r="MCI66" i="7" s="1"/>
  <c r="MCK66" i="7" s="1"/>
  <c r="MCM66" i="7" s="1"/>
  <c r="MCO66" i="7" s="1"/>
  <c r="MCQ66" i="7" s="1"/>
  <c r="MCS66" i="7" s="1"/>
  <c r="MCU66" i="7" s="1"/>
  <c r="MCW66" i="7" s="1"/>
  <c r="MCY66" i="7" s="1"/>
  <c r="MDA66" i="7" s="1"/>
  <c r="MDC66" i="7" s="1"/>
  <c r="MDE66" i="7" s="1"/>
  <c r="MDG66" i="7" s="1"/>
  <c r="MDI66" i="7" s="1"/>
  <c r="MDK66" i="7" s="1"/>
  <c r="MDM66" i="7" s="1"/>
  <c r="MDO66" i="7" s="1"/>
  <c r="MDQ66" i="7" s="1"/>
  <c r="MDS66" i="7" s="1"/>
  <c r="MDU66" i="7" s="1"/>
  <c r="MDW66" i="7" s="1"/>
  <c r="MDY66" i="7" s="1"/>
  <c r="MEA66" i="7" s="1"/>
  <c r="MEC66" i="7" s="1"/>
  <c r="MEE66" i="7" s="1"/>
  <c r="MEG66" i="7" s="1"/>
  <c r="MEI66" i="7" s="1"/>
  <c r="MEK66" i="7" s="1"/>
  <c r="MEM66" i="7" s="1"/>
  <c r="MEO66" i="7" s="1"/>
  <c r="MEQ66" i="7" s="1"/>
  <c r="MES66" i="7" s="1"/>
  <c r="MEU66" i="7" s="1"/>
  <c r="MEW66" i="7" s="1"/>
  <c r="MEY66" i="7" s="1"/>
  <c r="MFA66" i="7" s="1"/>
  <c r="MFC66" i="7" s="1"/>
  <c r="MFE66" i="7" s="1"/>
  <c r="MFG66" i="7" s="1"/>
  <c r="MFI66" i="7" s="1"/>
  <c r="MFK66" i="7" s="1"/>
  <c r="MFM66" i="7" s="1"/>
  <c r="MFO66" i="7" s="1"/>
  <c r="MFQ66" i="7" s="1"/>
  <c r="MFS66" i="7" s="1"/>
  <c r="MFU66" i="7" s="1"/>
  <c r="MFW66" i="7" s="1"/>
  <c r="MFY66" i="7" s="1"/>
  <c r="MGA66" i="7" s="1"/>
  <c r="MGC66" i="7" s="1"/>
  <c r="MGE66" i="7" s="1"/>
  <c r="MGG66" i="7" s="1"/>
  <c r="MGI66" i="7" s="1"/>
  <c r="MGK66" i="7" s="1"/>
  <c r="MGM66" i="7" s="1"/>
  <c r="MGO66" i="7" s="1"/>
  <c r="MGQ66" i="7" s="1"/>
  <c r="MGS66" i="7" s="1"/>
  <c r="MGU66" i="7" s="1"/>
  <c r="MGW66" i="7" s="1"/>
  <c r="MGY66" i="7" s="1"/>
  <c r="MHA66" i="7" s="1"/>
  <c r="MHC66" i="7" s="1"/>
  <c r="MHE66" i="7" s="1"/>
  <c r="MHG66" i="7" s="1"/>
  <c r="MHI66" i="7" s="1"/>
  <c r="MHK66" i="7" s="1"/>
  <c r="MHM66" i="7" s="1"/>
  <c r="MHO66" i="7" s="1"/>
  <c r="MHQ66" i="7" s="1"/>
  <c r="MHS66" i="7" s="1"/>
  <c r="MHU66" i="7" s="1"/>
  <c r="MHW66" i="7" s="1"/>
  <c r="MHY66" i="7" s="1"/>
  <c r="MIA66" i="7" s="1"/>
  <c r="MIC66" i="7" s="1"/>
  <c r="MIE66" i="7" s="1"/>
  <c r="MIG66" i="7" s="1"/>
  <c r="MII66" i="7" s="1"/>
  <c r="MIK66" i="7" s="1"/>
  <c r="MIM66" i="7" s="1"/>
  <c r="MIO66" i="7" s="1"/>
  <c r="MIQ66" i="7" s="1"/>
  <c r="MIS66" i="7" s="1"/>
  <c r="MIU66" i="7" s="1"/>
  <c r="MIW66" i="7" s="1"/>
  <c r="MIY66" i="7" s="1"/>
  <c r="MJA66" i="7" s="1"/>
  <c r="MJC66" i="7" s="1"/>
  <c r="MJE66" i="7" s="1"/>
  <c r="MJG66" i="7" s="1"/>
  <c r="MJI66" i="7" s="1"/>
  <c r="MJK66" i="7" s="1"/>
  <c r="MJM66" i="7" s="1"/>
  <c r="MJO66" i="7" s="1"/>
  <c r="MJQ66" i="7" s="1"/>
  <c r="MJS66" i="7" s="1"/>
  <c r="MJU66" i="7" s="1"/>
  <c r="MJW66" i="7" s="1"/>
  <c r="MJY66" i="7" s="1"/>
  <c r="MKA66" i="7" s="1"/>
  <c r="MKC66" i="7" s="1"/>
  <c r="MKE66" i="7" s="1"/>
  <c r="MKG66" i="7" s="1"/>
  <c r="MKI66" i="7" s="1"/>
  <c r="MKK66" i="7" s="1"/>
  <c r="MKM66" i="7" s="1"/>
  <c r="MKO66" i="7" s="1"/>
  <c r="MKQ66" i="7" s="1"/>
  <c r="MKS66" i="7" s="1"/>
  <c r="MKU66" i="7" s="1"/>
  <c r="MKW66" i="7" s="1"/>
  <c r="MKY66" i="7" s="1"/>
  <c r="MLA66" i="7" s="1"/>
  <c r="MLC66" i="7" s="1"/>
  <c r="MLE66" i="7" s="1"/>
  <c r="MLG66" i="7" s="1"/>
  <c r="MLI66" i="7" s="1"/>
  <c r="MLK66" i="7" s="1"/>
  <c r="MLM66" i="7" s="1"/>
  <c r="MLO66" i="7" s="1"/>
  <c r="MLQ66" i="7" s="1"/>
  <c r="MLS66" i="7" s="1"/>
  <c r="MLU66" i="7" s="1"/>
  <c r="MLW66" i="7" s="1"/>
  <c r="MLY66" i="7" s="1"/>
  <c r="MMA66" i="7" s="1"/>
  <c r="MMC66" i="7" s="1"/>
  <c r="MME66" i="7" s="1"/>
  <c r="MMG66" i="7" s="1"/>
  <c r="MMI66" i="7" s="1"/>
  <c r="MMK66" i="7" s="1"/>
  <c r="MMM66" i="7" s="1"/>
  <c r="MMO66" i="7" s="1"/>
  <c r="MMQ66" i="7" s="1"/>
  <c r="MMS66" i="7" s="1"/>
  <c r="MMU66" i="7" s="1"/>
  <c r="MMW66" i="7" s="1"/>
  <c r="MMY66" i="7" s="1"/>
  <c r="MNA66" i="7" s="1"/>
  <c r="MNC66" i="7" s="1"/>
  <c r="MNE66" i="7" s="1"/>
  <c r="MNG66" i="7" s="1"/>
  <c r="MNI66" i="7" s="1"/>
  <c r="MNK66" i="7" s="1"/>
  <c r="MNM66" i="7" s="1"/>
  <c r="MNO66" i="7" s="1"/>
  <c r="MNQ66" i="7" s="1"/>
  <c r="MNS66" i="7" s="1"/>
  <c r="MNU66" i="7" s="1"/>
  <c r="MNW66" i="7" s="1"/>
  <c r="MNY66" i="7" s="1"/>
  <c r="MOA66" i="7" s="1"/>
  <c r="MOC66" i="7" s="1"/>
  <c r="MOE66" i="7" s="1"/>
  <c r="MOG66" i="7" s="1"/>
  <c r="MOI66" i="7" s="1"/>
  <c r="MOK66" i="7" s="1"/>
  <c r="MOM66" i="7" s="1"/>
  <c r="MOO66" i="7" s="1"/>
  <c r="MOQ66" i="7" s="1"/>
  <c r="MOS66" i="7" s="1"/>
  <c r="MOU66" i="7" s="1"/>
  <c r="MOW66" i="7" s="1"/>
  <c r="MOY66" i="7" s="1"/>
  <c r="MPA66" i="7" s="1"/>
  <c r="MPC66" i="7" s="1"/>
  <c r="MPE66" i="7" s="1"/>
  <c r="MPG66" i="7" s="1"/>
  <c r="MPI66" i="7" s="1"/>
  <c r="MPK66" i="7" s="1"/>
  <c r="MPM66" i="7" s="1"/>
  <c r="MPO66" i="7" s="1"/>
  <c r="MPQ66" i="7" s="1"/>
  <c r="MPS66" i="7" s="1"/>
  <c r="MPU66" i="7" s="1"/>
  <c r="MPW66" i="7" s="1"/>
  <c r="MPY66" i="7" s="1"/>
  <c r="MQA66" i="7" s="1"/>
  <c r="MQC66" i="7" s="1"/>
  <c r="MQE66" i="7" s="1"/>
  <c r="MQG66" i="7" s="1"/>
  <c r="MQI66" i="7" s="1"/>
  <c r="MQK66" i="7" s="1"/>
  <c r="MQM66" i="7" s="1"/>
  <c r="MQO66" i="7" s="1"/>
  <c r="MQQ66" i="7" s="1"/>
  <c r="MQS66" i="7" s="1"/>
  <c r="MQU66" i="7" s="1"/>
  <c r="MQW66" i="7" s="1"/>
  <c r="MQY66" i="7" s="1"/>
  <c r="MRA66" i="7" s="1"/>
  <c r="MRC66" i="7" s="1"/>
  <c r="MRE66" i="7" s="1"/>
  <c r="MRG66" i="7" s="1"/>
  <c r="MRI66" i="7" s="1"/>
  <c r="MRK66" i="7" s="1"/>
  <c r="MRM66" i="7" s="1"/>
  <c r="MRO66" i="7" s="1"/>
  <c r="MRQ66" i="7" s="1"/>
  <c r="MRS66" i="7" s="1"/>
  <c r="MRU66" i="7" s="1"/>
  <c r="MRW66" i="7" s="1"/>
  <c r="MRY66" i="7" s="1"/>
  <c r="MSA66" i="7" s="1"/>
  <c r="MSC66" i="7" s="1"/>
  <c r="MSE66" i="7" s="1"/>
  <c r="MSG66" i="7" s="1"/>
  <c r="MSI66" i="7" s="1"/>
  <c r="MSK66" i="7" s="1"/>
  <c r="MSM66" i="7" s="1"/>
  <c r="MSO66" i="7" s="1"/>
  <c r="MSQ66" i="7" s="1"/>
  <c r="MSS66" i="7" s="1"/>
  <c r="MSU66" i="7" s="1"/>
  <c r="MSW66" i="7" s="1"/>
  <c r="MSY66" i="7" s="1"/>
  <c r="MTA66" i="7" s="1"/>
  <c r="MTC66" i="7" s="1"/>
  <c r="MTE66" i="7" s="1"/>
  <c r="MTG66" i="7" s="1"/>
  <c r="MTI66" i="7" s="1"/>
  <c r="MTK66" i="7" s="1"/>
  <c r="MTM66" i="7" s="1"/>
  <c r="MTO66" i="7" s="1"/>
  <c r="MTQ66" i="7" s="1"/>
  <c r="MTS66" i="7" s="1"/>
  <c r="MTU66" i="7" s="1"/>
  <c r="MTW66" i="7" s="1"/>
  <c r="MTY66" i="7" s="1"/>
  <c r="MUA66" i="7" s="1"/>
  <c r="MUC66" i="7" s="1"/>
  <c r="MUE66" i="7" s="1"/>
  <c r="MUG66" i="7" s="1"/>
  <c r="MUI66" i="7" s="1"/>
  <c r="MUK66" i="7" s="1"/>
  <c r="MUM66" i="7" s="1"/>
  <c r="MUO66" i="7" s="1"/>
  <c r="MUQ66" i="7" s="1"/>
  <c r="MUS66" i="7" s="1"/>
  <c r="MUU66" i="7" s="1"/>
  <c r="MUW66" i="7" s="1"/>
  <c r="MUY66" i="7" s="1"/>
  <c r="MVA66" i="7" s="1"/>
  <c r="MVC66" i="7" s="1"/>
  <c r="MVE66" i="7" s="1"/>
  <c r="MVG66" i="7" s="1"/>
  <c r="MVI66" i="7" s="1"/>
  <c r="MVK66" i="7" s="1"/>
  <c r="MVM66" i="7" s="1"/>
  <c r="MVO66" i="7" s="1"/>
  <c r="MVQ66" i="7" s="1"/>
  <c r="MVS66" i="7" s="1"/>
  <c r="MVU66" i="7" s="1"/>
  <c r="MVW66" i="7" s="1"/>
  <c r="MVY66" i="7" s="1"/>
  <c r="MWA66" i="7" s="1"/>
  <c r="MWC66" i="7" s="1"/>
  <c r="MWE66" i="7" s="1"/>
  <c r="MWG66" i="7" s="1"/>
  <c r="MWI66" i="7" s="1"/>
  <c r="MWK66" i="7" s="1"/>
  <c r="MWM66" i="7" s="1"/>
  <c r="MWO66" i="7" s="1"/>
  <c r="MWQ66" i="7" s="1"/>
  <c r="MWS66" i="7" s="1"/>
  <c r="MWU66" i="7" s="1"/>
  <c r="MWW66" i="7" s="1"/>
  <c r="MWY66" i="7" s="1"/>
  <c r="MXA66" i="7" s="1"/>
  <c r="MXC66" i="7" s="1"/>
  <c r="MXE66" i="7" s="1"/>
  <c r="MXG66" i="7" s="1"/>
  <c r="MXI66" i="7" s="1"/>
  <c r="MXK66" i="7" s="1"/>
  <c r="MXM66" i="7" s="1"/>
  <c r="MXO66" i="7" s="1"/>
  <c r="MXQ66" i="7" s="1"/>
  <c r="MXS66" i="7" s="1"/>
  <c r="MXU66" i="7" s="1"/>
  <c r="MXW66" i="7" s="1"/>
  <c r="MXY66" i="7" s="1"/>
  <c r="MYA66" i="7" s="1"/>
  <c r="MYC66" i="7" s="1"/>
  <c r="MYE66" i="7" s="1"/>
  <c r="MYG66" i="7" s="1"/>
  <c r="MYI66" i="7" s="1"/>
  <c r="MYK66" i="7" s="1"/>
  <c r="MYM66" i="7" s="1"/>
  <c r="MYO66" i="7" s="1"/>
  <c r="MYQ66" i="7" s="1"/>
  <c r="MYS66" i="7" s="1"/>
  <c r="MYU66" i="7" s="1"/>
  <c r="MYW66" i="7" s="1"/>
  <c r="MYY66" i="7" s="1"/>
  <c r="MZA66" i="7" s="1"/>
  <c r="MZC66" i="7" s="1"/>
  <c r="MZE66" i="7" s="1"/>
  <c r="MZG66" i="7" s="1"/>
  <c r="MZI66" i="7" s="1"/>
  <c r="MZK66" i="7" s="1"/>
  <c r="MZM66" i="7" s="1"/>
  <c r="MZO66" i="7" s="1"/>
  <c r="MZQ66" i="7" s="1"/>
  <c r="MZS66" i="7" s="1"/>
  <c r="MZU66" i="7" s="1"/>
  <c r="MZW66" i="7" s="1"/>
  <c r="MZY66" i="7" s="1"/>
  <c r="NAA66" i="7" s="1"/>
  <c r="NAC66" i="7" s="1"/>
  <c r="NAE66" i="7" s="1"/>
  <c r="NAG66" i="7" s="1"/>
  <c r="NAI66" i="7" s="1"/>
  <c r="NAK66" i="7" s="1"/>
  <c r="NAM66" i="7" s="1"/>
  <c r="NAO66" i="7" s="1"/>
  <c r="NAQ66" i="7" s="1"/>
  <c r="NAS66" i="7" s="1"/>
  <c r="NAU66" i="7" s="1"/>
  <c r="NAW66" i="7" s="1"/>
  <c r="NAY66" i="7" s="1"/>
  <c r="NBA66" i="7" s="1"/>
  <c r="NBC66" i="7" s="1"/>
  <c r="NBE66" i="7" s="1"/>
  <c r="NBG66" i="7" s="1"/>
  <c r="NBI66" i="7" s="1"/>
  <c r="NBK66" i="7" s="1"/>
  <c r="NBM66" i="7" s="1"/>
  <c r="NBO66" i="7" s="1"/>
  <c r="NBQ66" i="7" s="1"/>
  <c r="NBS66" i="7" s="1"/>
  <c r="NBU66" i="7" s="1"/>
  <c r="NBW66" i="7" s="1"/>
  <c r="NBY66" i="7" s="1"/>
  <c r="NCA66" i="7" s="1"/>
  <c r="NCC66" i="7" s="1"/>
  <c r="NCE66" i="7" s="1"/>
  <c r="NCG66" i="7" s="1"/>
  <c r="NCI66" i="7" s="1"/>
  <c r="NCK66" i="7" s="1"/>
  <c r="NCM66" i="7" s="1"/>
  <c r="NCO66" i="7" s="1"/>
  <c r="NCQ66" i="7" s="1"/>
  <c r="NCS66" i="7" s="1"/>
  <c r="NCU66" i="7" s="1"/>
  <c r="NCW66" i="7" s="1"/>
  <c r="NCY66" i="7" s="1"/>
  <c r="NDA66" i="7" s="1"/>
  <c r="NDC66" i="7" s="1"/>
  <c r="NDE66" i="7" s="1"/>
  <c r="NDG66" i="7" s="1"/>
  <c r="NDI66" i="7" s="1"/>
  <c r="NDK66" i="7" s="1"/>
  <c r="NDM66" i="7" s="1"/>
  <c r="NDO66" i="7" s="1"/>
  <c r="NDQ66" i="7" s="1"/>
  <c r="NDS66" i="7" s="1"/>
  <c r="NDU66" i="7" s="1"/>
  <c r="NDW66" i="7" s="1"/>
  <c r="NDY66" i="7" s="1"/>
  <c r="NEA66" i="7" s="1"/>
  <c r="NEC66" i="7" s="1"/>
  <c r="NEE66" i="7" s="1"/>
  <c r="NEG66" i="7" s="1"/>
  <c r="NEI66" i="7" s="1"/>
  <c r="NEK66" i="7" s="1"/>
  <c r="NEM66" i="7" s="1"/>
  <c r="NEO66" i="7" s="1"/>
  <c r="NEQ66" i="7" s="1"/>
  <c r="NES66" i="7" s="1"/>
  <c r="NEU66" i="7" s="1"/>
  <c r="NEW66" i="7" s="1"/>
  <c r="NEY66" i="7" s="1"/>
  <c r="NFA66" i="7" s="1"/>
  <c r="NFC66" i="7" s="1"/>
  <c r="NFE66" i="7" s="1"/>
  <c r="NFG66" i="7" s="1"/>
  <c r="NFI66" i="7" s="1"/>
  <c r="NFK66" i="7" s="1"/>
  <c r="NFM66" i="7" s="1"/>
  <c r="NFO66" i="7" s="1"/>
  <c r="NFQ66" i="7" s="1"/>
  <c r="NFS66" i="7" s="1"/>
  <c r="NFU66" i="7" s="1"/>
  <c r="NFW66" i="7" s="1"/>
  <c r="NFY66" i="7" s="1"/>
  <c r="NGA66" i="7" s="1"/>
  <c r="NGC66" i="7" s="1"/>
  <c r="NGE66" i="7" s="1"/>
  <c r="NGG66" i="7" s="1"/>
  <c r="NGI66" i="7" s="1"/>
  <c r="NGK66" i="7" s="1"/>
  <c r="NGM66" i="7" s="1"/>
  <c r="NGO66" i="7" s="1"/>
  <c r="NGQ66" i="7" s="1"/>
  <c r="NGS66" i="7" s="1"/>
  <c r="NGU66" i="7" s="1"/>
  <c r="NGW66" i="7" s="1"/>
  <c r="NGY66" i="7" s="1"/>
  <c r="NHA66" i="7" s="1"/>
  <c r="NHC66" i="7" s="1"/>
  <c r="NHE66" i="7" s="1"/>
  <c r="NHG66" i="7" s="1"/>
  <c r="NHI66" i="7" s="1"/>
  <c r="NHK66" i="7" s="1"/>
  <c r="NHM66" i="7" s="1"/>
  <c r="NHO66" i="7" s="1"/>
  <c r="NHQ66" i="7" s="1"/>
  <c r="NHS66" i="7" s="1"/>
  <c r="NHU66" i="7" s="1"/>
  <c r="NHW66" i="7" s="1"/>
  <c r="NHY66" i="7" s="1"/>
  <c r="NIA66" i="7" s="1"/>
  <c r="NIC66" i="7" s="1"/>
  <c r="NIE66" i="7" s="1"/>
  <c r="NIG66" i="7" s="1"/>
  <c r="NII66" i="7" s="1"/>
  <c r="NIK66" i="7" s="1"/>
  <c r="NIM66" i="7" s="1"/>
  <c r="NIO66" i="7" s="1"/>
  <c r="NIQ66" i="7" s="1"/>
  <c r="NIS66" i="7" s="1"/>
  <c r="NIU66" i="7" s="1"/>
  <c r="NIW66" i="7" s="1"/>
  <c r="NIY66" i="7" s="1"/>
  <c r="NJA66" i="7" s="1"/>
  <c r="NJC66" i="7" s="1"/>
  <c r="NJE66" i="7" s="1"/>
  <c r="NJG66" i="7" s="1"/>
  <c r="NJI66" i="7" s="1"/>
  <c r="NJK66" i="7" s="1"/>
  <c r="NJM66" i="7" s="1"/>
  <c r="NJO66" i="7" s="1"/>
  <c r="NJQ66" i="7" s="1"/>
  <c r="NJS66" i="7" s="1"/>
  <c r="NJU66" i="7" s="1"/>
  <c r="NJW66" i="7" s="1"/>
  <c r="NJY66" i="7" s="1"/>
  <c r="NKA66" i="7" s="1"/>
  <c r="NKC66" i="7" s="1"/>
  <c r="NKE66" i="7" s="1"/>
  <c r="NKG66" i="7" s="1"/>
  <c r="NKI66" i="7" s="1"/>
  <c r="NKK66" i="7" s="1"/>
  <c r="NKM66" i="7" s="1"/>
  <c r="NKO66" i="7" s="1"/>
  <c r="NKQ66" i="7" s="1"/>
  <c r="NKS66" i="7" s="1"/>
  <c r="NKU66" i="7" s="1"/>
  <c r="NKW66" i="7" s="1"/>
  <c r="NKY66" i="7" s="1"/>
  <c r="NLA66" i="7" s="1"/>
  <c r="NLC66" i="7" s="1"/>
  <c r="NLE66" i="7" s="1"/>
  <c r="NLG66" i="7" s="1"/>
  <c r="NLI66" i="7" s="1"/>
  <c r="NLK66" i="7" s="1"/>
  <c r="NLM66" i="7" s="1"/>
  <c r="NLO66" i="7" s="1"/>
  <c r="NLQ66" i="7" s="1"/>
  <c r="NLS66" i="7" s="1"/>
  <c r="NLU66" i="7" s="1"/>
  <c r="NLW66" i="7" s="1"/>
  <c r="NLY66" i="7" s="1"/>
  <c r="NMA66" i="7" s="1"/>
  <c r="NMC66" i="7" s="1"/>
  <c r="NME66" i="7" s="1"/>
  <c r="NMG66" i="7" s="1"/>
  <c r="NMI66" i="7" s="1"/>
  <c r="NMK66" i="7" s="1"/>
  <c r="NMM66" i="7" s="1"/>
  <c r="NMO66" i="7" s="1"/>
  <c r="NMQ66" i="7" s="1"/>
  <c r="NMS66" i="7" s="1"/>
  <c r="NMU66" i="7" s="1"/>
  <c r="NMW66" i="7" s="1"/>
  <c r="NMY66" i="7" s="1"/>
  <c r="NNA66" i="7" s="1"/>
  <c r="NNC66" i="7" s="1"/>
  <c r="NNE66" i="7" s="1"/>
  <c r="NNG66" i="7" s="1"/>
  <c r="NNI66" i="7" s="1"/>
  <c r="NNK66" i="7" s="1"/>
  <c r="NNM66" i="7" s="1"/>
  <c r="NNO66" i="7" s="1"/>
  <c r="NNQ66" i="7" s="1"/>
  <c r="NNS66" i="7" s="1"/>
  <c r="NNU66" i="7" s="1"/>
  <c r="NNW66" i="7" s="1"/>
  <c r="NNY66" i="7" s="1"/>
  <c r="NOA66" i="7" s="1"/>
  <c r="NOC66" i="7" s="1"/>
  <c r="NOE66" i="7" s="1"/>
  <c r="NOG66" i="7" s="1"/>
  <c r="NOI66" i="7" s="1"/>
  <c r="NOK66" i="7" s="1"/>
  <c r="NOM66" i="7" s="1"/>
  <c r="NOO66" i="7" s="1"/>
  <c r="NOQ66" i="7" s="1"/>
  <c r="NOS66" i="7" s="1"/>
  <c r="NOU66" i="7" s="1"/>
  <c r="NOW66" i="7" s="1"/>
  <c r="NOY66" i="7" s="1"/>
  <c r="NPA66" i="7" s="1"/>
  <c r="NPC66" i="7" s="1"/>
  <c r="NPE66" i="7" s="1"/>
  <c r="NPG66" i="7" s="1"/>
  <c r="NPI66" i="7" s="1"/>
  <c r="NPK66" i="7" s="1"/>
  <c r="NPM66" i="7" s="1"/>
  <c r="NPO66" i="7" s="1"/>
  <c r="NPQ66" i="7" s="1"/>
  <c r="NPS66" i="7" s="1"/>
  <c r="NPU66" i="7" s="1"/>
  <c r="NPW66" i="7" s="1"/>
  <c r="NPY66" i="7" s="1"/>
  <c r="NQA66" i="7" s="1"/>
  <c r="NQC66" i="7" s="1"/>
  <c r="NQE66" i="7" s="1"/>
  <c r="NQG66" i="7" s="1"/>
  <c r="NQI66" i="7" s="1"/>
  <c r="NQK66" i="7" s="1"/>
  <c r="NQM66" i="7" s="1"/>
  <c r="NQO66" i="7" s="1"/>
  <c r="NQQ66" i="7" s="1"/>
  <c r="NQS66" i="7" s="1"/>
  <c r="NQU66" i="7" s="1"/>
  <c r="NQW66" i="7" s="1"/>
  <c r="NQY66" i="7" s="1"/>
  <c r="NRA66" i="7" s="1"/>
  <c r="NRC66" i="7" s="1"/>
  <c r="NRE66" i="7" s="1"/>
  <c r="NRG66" i="7" s="1"/>
  <c r="NRI66" i="7" s="1"/>
  <c r="NRK66" i="7" s="1"/>
  <c r="NRM66" i="7" s="1"/>
  <c r="NRO66" i="7" s="1"/>
  <c r="NRQ66" i="7" s="1"/>
  <c r="NRS66" i="7" s="1"/>
  <c r="NRU66" i="7" s="1"/>
  <c r="NRW66" i="7" s="1"/>
  <c r="NRY66" i="7" s="1"/>
  <c r="NSA66" i="7" s="1"/>
  <c r="NSC66" i="7" s="1"/>
  <c r="NSE66" i="7" s="1"/>
  <c r="NSG66" i="7" s="1"/>
  <c r="NSI66" i="7" s="1"/>
  <c r="NSK66" i="7" s="1"/>
  <c r="NSM66" i="7" s="1"/>
  <c r="NSO66" i="7" s="1"/>
  <c r="NSQ66" i="7" s="1"/>
  <c r="NSS66" i="7" s="1"/>
  <c r="NSU66" i="7" s="1"/>
  <c r="NSW66" i="7" s="1"/>
  <c r="NSY66" i="7" s="1"/>
  <c r="NTA66" i="7" s="1"/>
  <c r="NTC66" i="7" s="1"/>
  <c r="NTE66" i="7" s="1"/>
  <c r="NTG66" i="7" s="1"/>
  <c r="NTI66" i="7" s="1"/>
  <c r="NTK66" i="7" s="1"/>
  <c r="NTM66" i="7" s="1"/>
  <c r="NTO66" i="7" s="1"/>
  <c r="NTQ66" i="7" s="1"/>
  <c r="NTS66" i="7" s="1"/>
  <c r="NTU66" i="7" s="1"/>
  <c r="NTW66" i="7" s="1"/>
  <c r="NTY66" i="7" s="1"/>
  <c r="NUA66" i="7" s="1"/>
  <c r="NUC66" i="7" s="1"/>
  <c r="NUE66" i="7" s="1"/>
  <c r="NUG66" i="7" s="1"/>
  <c r="NUI66" i="7" s="1"/>
  <c r="NUK66" i="7" s="1"/>
  <c r="NUM66" i="7" s="1"/>
  <c r="NUO66" i="7" s="1"/>
  <c r="NUQ66" i="7" s="1"/>
  <c r="NUS66" i="7" s="1"/>
  <c r="NUU66" i="7" s="1"/>
  <c r="NUW66" i="7" s="1"/>
  <c r="NUY66" i="7" s="1"/>
  <c r="NVA66" i="7" s="1"/>
  <c r="NVC66" i="7" s="1"/>
  <c r="NVE66" i="7" s="1"/>
  <c r="NVG66" i="7" s="1"/>
  <c r="NVI66" i="7" s="1"/>
  <c r="NVK66" i="7" s="1"/>
  <c r="NVM66" i="7" s="1"/>
  <c r="NVO66" i="7" s="1"/>
  <c r="NVQ66" i="7" s="1"/>
  <c r="NVS66" i="7" s="1"/>
  <c r="NVU66" i="7" s="1"/>
  <c r="NVW66" i="7" s="1"/>
  <c r="NVY66" i="7" s="1"/>
  <c r="NWA66" i="7" s="1"/>
  <c r="NWC66" i="7" s="1"/>
  <c r="NWE66" i="7" s="1"/>
  <c r="NWG66" i="7" s="1"/>
  <c r="NWI66" i="7" s="1"/>
  <c r="NWK66" i="7" s="1"/>
  <c r="NWM66" i="7" s="1"/>
  <c r="NWO66" i="7" s="1"/>
  <c r="NWQ66" i="7" s="1"/>
  <c r="NWS66" i="7" s="1"/>
  <c r="NWU66" i="7" s="1"/>
  <c r="NWW66" i="7" s="1"/>
  <c r="NWY66" i="7" s="1"/>
  <c r="NXA66" i="7" s="1"/>
  <c r="NXC66" i="7" s="1"/>
  <c r="NXE66" i="7" s="1"/>
  <c r="NXG66" i="7" s="1"/>
  <c r="NXI66" i="7" s="1"/>
  <c r="NXK66" i="7" s="1"/>
  <c r="NXM66" i="7" s="1"/>
  <c r="NXO66" i="7" s="1"/>
  <c r="NXQ66" i="7" s="1"/>
  <c r="NXS66" i="7" s="1"/>
  <c r="NXU66" i="7" s="1"/>
  <c r="NXW66" i="7" s="1"/>
  <c r="NXY66" i="7" s="1"/>
  <c r="NYA66" i="7" s="1"/>
  <c r="NYC66" i="7" s="1"/>
  <c r="NYE66" i="7" s="1"/>
  <c r="NYG66" i="7" s="1"/>
  <c r="NYI66" i="7" s="1"/>
  <c r="NYK66" i="7" s="1"/>
  <c r="NYM66" i="7" s="1"/>
  <c r="NYO66" i="7" s="1"/>
  <c r="NYQ66" i="7" s="1"/>
  <c r="NYS66" i="7" s="1"/>
  <c r="NYU66" i="7" s="1"/>
  <c r="NYW66" i="7" s="1"/>
  <c r="NYY66" i="7" s="1"/>
  <c r="NZA66" i="7" s="1"/>
  <c r="NZC66" i="7" s="1"/>
  <c r="NZE66" i="7" s="1"/>
  <c r="NZG66" i="7" s="1"/>
  <c r="NZI66" i="7" s="1"/>
  <c r="NZK66" i="7" s="1"/>
  <c r="NZM66" i="7" s="1"/>
  <c r="NZO66" i="7" s="1"/>
  <c r="NZQ66" i="7" s="1"/>
  <c r="NZS66" i="7" s="1"/>
  <c r="NZU66" i="7" s="1"/>
  <c r="NZW66" i="7" s="1"/>
  <c r="NZY66" i="7" s="1"/>
  <c r="OAA66" i="7" s="1"/>
  <c r="OAC66" i="7" s="1"/>
  <c r="OAE66" i="7" s="1"/>
  <c r="OAG66" i="7" s="1"/>
  <c r="OAI66" i="7" s="1"/>
  <c r="OAK66" i="7" s="1"/>
  <c r="OAM66" i="7" s="1"/>
  <c r="OAO66" i="7" s="1"/>
  <c r="OAQ66" i="7" s="1"/>
  <c r="OAS66" i="7" s="1"/>
  <c r="OAU66" i="7" s="1"/>
  <c r="OAW66" i="7" s="1"/>
  <c r="OAY66" i="7" s="1"/>
  <c r="OBA66" i="7" s="1"/>
  <c r="OBC66" i="7" s="1"/>
  <c r="OBE66" i="7" s="1"/>
  <c r="OBG66" i="7" s="1"/>
  <c r="OBI66" i="7" s="1"/>
  <c r="OBK66" i="7" s="1"/>
  <c r="OBM66" i="7" s="1"/>
  <c r="OBO66" i="7" s="1"/>
  <c r="OBQ66" i="7" s="1"/>
  <c r="OBS66" i="7" s="1"/>
  <c r="OBU66" i="7" s="1"/>
  <c r="OBW66" i="7" s="1"/>
  <c r="OBY66" i="7" s="1"/>
  <c r="OCA66" i="7" s="1"/>
  <c r="OCC66" i="7" s="1"/>
  <c r="OCE66" i="7" s="1"/>
  <c r="OCG66" i="7" s="1"/>
  <c r="OCI66" i="7" s="1"/>
  <c r="OCK66" i="7" s="1"/>
  <c r="OCM66" i="7" s="1"/>
  <c r="OCO66" i="7" s="1"/>
  <c r="OCQ66" i="7" s="1"/>
  <c r="OCS66" i="7" s="1"/>
  <c r="OCU66" i="7" s="1"/>
  <c r="OCW66" i="7" s="1"/>
  <c r="OCY66" i="7" s="1"/>
  <c r="ODA66" i="7" s="1"/>
  <c r="ODC66" i="7" s="1"/>
  <c r="ODE66" i="7" s="1"/>
  <c r="ODG66" i="7" s="1"/>
  <c r="ODI66" i="7" s="1"/>
  <c r="ODK66" i="7" s="1"/>
  <c r="ODM66" i="7" s="1"/>
  <c r="ODO66" i="7" s="1"/>
  <c r="ODQ66" i="7" s="1"/>
  <c r="ODS66" i="7" s="1"/>
  <c r="ODU66" i="7" s="1"/>
  <c r="ODW66" i="7" s="1"/>
  <c r="ODY66" i="7" s="1"/>
  <c r="OEA66" i="7" s="1"/>
  <c r="OEC66" i="7" s="1"/>
  <c r="OEE66" i="7" s="1"/>
  <c r="OEG66" i="7" s="1"/>
  <c r="OEI66" i="7" s="1"/>
  <c r="OEK66" i="7" s="1"/>
  <c r="OEM66" i="7" s="1"/>
  <c r="OEO66" i="7" s="1"/>
  <c r="OEQ66" i="7" s="1"/>
  <c r="OES66" i="7" s="1"/>
  <c r="OEU66" i="7" s="1"/>
  <c r="OEW66" i="7" s="1"/>
  <c r="OEY66" i="7" s="1"/>
  <c r="OFA66" i="7" s="1"/>
  <c r="OFC66" i="7" s="1"/>
  <c r="OFE66" i="7" s="1"/>
  <c r="OFG66" i="7" s="1"/>
  <c r="OFI66" i="7" s="1"/>
  <c r="OFK66" i="7" s="1"/>
  <c r="OFM66" i="7" s="1"/>
  <c r="OFO66" i="7" s="1"/>
  <c r="OFQ66" i="7" s="1"/>
  <c r="OFS66" i="7" s="1"/>
  <c r="OFU66" i="7" s="1"/>
  <c r="OFW66" i="7" s="1"/>
  <c r="OFY66" i="7" s="1"/>
  <c r="OGA66" i="7" s="1"/>
  <c r="OGC66" i="7" s="1"/>
  <c r="OGE66" i="7" s="1"/>
  <c r="OGG66" i="7" s="1"/>
  <c r="OGI66" i="7" s="1"/>
  <c r="OGK66" i="7" s="1"/>
  <c r="OGM66" i="7" s="1"/>
  <c r="OGO66" i="7" s="1"/>
  <c r="OGQ66" i="7" s="1"/>
  <c r="OGS66" i="7" s="1"/>
  <c r="OGU66" i="7" s="1"/>
  <c r="OGW66" i="7" s="1"/>
  <c r="OGY66" i="7" s="1"/>
  <c r="OHA66" i="7" s="1"/>
  <c r="OHC66" i="7" s="1"/>
  <c r="OHE66" i="7" s="1"/>
  <c r="OHG66" i="7" s="1"/>
  <c r="OHI66" i="7" s="1"/>
  <c r="OHK66" i="7" s="1"/>
  <c r="OHM66" i="7" s="1"/>
  <c r="OHO66" i="7" s="1"/>
  <c r="OHQ66" i="7" s="1"/>
  <c r="OHS66" i="7" s="1"/>
  <c r="OHU66" i="7" s="1"/>
  <c r="OHW66" i="7" s="1"/>
  <c r="OHY66" i="7" s="1"/>
  <c r="OIA66" i="7" s="1"/>
  <c r="OIC66" i="7" s="1"/>
  <c r="OIE66" i="7" s="1"/>
  <c r="OIG66" i="7" s="1"/>
  <c r="OII66" i="7" s="1"/>
  <c r="OIK66" i="7" s="1"/>
  <c r="OIM66" i="7" s="1"/>
  <c r="OIO66" i="7" s="1"/>
  <c r="OIQ66" i="7" s="1"/>
  <c r="OIS66" i="7" s="1"/>
  <c r="OIU66" i="7" s="1"/>
  <c r="OIW66" i="7" s="1"/>
  <c r="OIY66" i="7" s="1"/>
  <c r="OJA66" i="7" s="1"/>
  <c r="OJC66" i="7" s="1"/>
  <c r="OJE66" i="7" s="1"/>
  <c r="OJG66" i="7" s="1"/>
  <c r="OJI66" i="7" s="1"/>
  <c r="OJK66" i="7" s="1"/>
  <c r="OJM66" i="7" s="1"/>
  <c r="OJO66" i="7" s="1"/>
  <c r="OJQ66" i="7" s="1"/>
  <c r="OJS66" i="7" s="1"/>
  <c r="OJU66" i="7" s="1"/>
  <c r="OJW66" i="7" s="1"/>
  <c r="OJY66" i="7" s="1"/>
  <c r="OKA66" i="7" s="1"/>
  <c r="OKC66" i="7" s="1"/>
  <c r="OKE66" i="7" s="1"/>
  <c r="OKG66" i="7" s="1"/>
  <c r="OKI66" i="7" s="1"/>
  <c r="OKK66" i="7" s="1"/>
  <c r="OKM66" i="7" s="1"/>
  <c r="OKO66" i="7" s="1"/>
  <c r="OKQ66" i="7" s="1"/>
  <c r="OKS66" i="7" s="1"/>
  <c r="OKU66" i="7" s="1"/>
  <c r="OKW66" i="7" s="1"/>
  <c r="OKY66" i="7" s="1"/>
  <c r="OLA66" i="7" s="1"/>
  <c r="OLC66" i="7" s="1"/>
  <c r="OLE66" i="7" s="1"/>
  <c r="OLG66" i="7" s="1"/>
  <c r="OLI66" i="7" s="1"/>
  <c r="OLK66" i="7" s="1"/>
  <c r="OLM66" i="7" s="1"/>
  <c r="OLO66" i="7" s="1"/>
  <c r="OLQ66" i="7" s="1"/>
  <c r="OLS66" i="7" s="1"/>
  <c r="OLU66" i="7" s="1"/>
  <c r="OLW66" i="7" s="1"/>
  <c r="OLY66" i="7" s="1"/>
  <c r="OMA66" i="7" s="1"/>
  <c r="OMC66" i="7" s="1"/>
  <c r="OME66" i="7" s="1"/>
  <c r="OMG66" i="7" s="1"/>
  <c r="OMI66" i="7" s="1"/>
  <c r="OMK66" i="7" s="1"/>
  <c r="OMM66" i="7" s="1"/>
  <c r="OMO66" i="7" s="1"/>
  <c r="OMQ66" i="7" s="1"/>
  <c r="OMS66" i="7" s="1"/>
  <c r="OMU66" i="7" s="1"/>
  <c r="OMW66" i="7" s="1"/>
  <c r="OMY66" i="7" s="1"/>
  <c r="ONA66" i="7" s="1"/>
  <c r="ONC66" i="7" s="1"/>
  <c r="ONE66" i="7" s="1"/>
  <c r="ONG66" i="7" s="1"/>
  <c r="ONI66" i="7" s="1"/>
  <c r="ONK66" i="7" s="1"/>
  <c r="ONM66" i="7" s="1"/>
  <c r="ONO66" i="7" s="1"/>
  <c r="ONQ66" i="7" s="1"/>
  <c r="ONS66" i="7" s="1"/>
  <c r="ONU66" i="7" s="1"/>
  <c r="ONW66" i="7" s="1"/>
  <c r="ONY66" i="7" s="1"/>
  <c r="OOA66" i="7" s="1"/>
  <c r="OOC66" i="7" s="1"/>
  <c r="OOE66" i="7" s="1"/>
  <c r="OOG66" i="7" s="1"/>
  <c r="OOI66" i="7" s="1"/>
  <c r="OOK66" i="7" s="1"/>
  <c r="OOM66" i="7" s="1"/>
  <c r="OOO66" i="7" s="1"/>
  <c r="OOQ66" i="7" s="1"/>
  <c r="OOS66" i="7" s="1"/>
  <c r="OOU66" i="7" s="1"/>
  <c r="OOW66" i="7" s="1"/>
  <c r="OOY66" i="7" s="1"/>
  <c r="OPA66" i="7" s="1"/>
  <c r="OPC66" i="7" s="1"/>
  <c r="OPE66" i="7" s="1"/>
  <c r="OPG66" i="7" s="1"/>
  <c r="OPI66" i="7" s="1"/>
  <c r="OPK66" i="7" s="1"/>
  <c r="OPM66" i="7" s="1"/>
  <c r="OPO66" i="7" s="1"/>
  <c r="OPQ66" i="7" s="1"/>
  <c r="OPS66" i="7" s="1"/>
  <c r="OPU66" i="7" s="1"/>
  <c r="OPW66" i="7" s="1"/>
  <c r="OPY66" i="7" s="1"/>
  <c r="OQA66" i="7" s="1"/>
  <c r="OQC66" i="7" s="1"/>
  <c r="OQE66" i="7" s="1"/>
  <c r="OQG66" i="7" s="1"/>
  <c r="OQI66" i="7" s="1"/>
  <c r="OQK66" i="7" s="1"/>
  <c r="OQM66" i="7" s="1"/>
  <c r="OQO66" i="7" s="1"/>
  <c r="OQQ66" i="7" s="1"/>
  <c r="OQS66" i="7" s="1"/>
  <c r="OQU66" i="7" s="1"/>
  <c r="OQW66" i="7" s="1"/>
  <c r="OQY66" i="7" s="1"/>
  <c r="ORA66" i="7" s="1"/>
  <c r="ORC66" i="7" s="1"/>
  <c r="ORE66" i="7" s="1"/>
  <c r="ORG66" i="7" s="1"/>
  <c r="ORI66" i="7" s="1"/>
  <c r="ORK66" i="7" s="1"/>
  <c r="ORM66" i="7" s="1"/>
  <c r="ORO66" i="7" s="1"/>
  <c r="ORQ66" i="7" s="1"/>
  <c r="ORS66" i="7" s="1"/>
  <c r="ORU66" i="7" s="1"/>
  <c r="ORW66" i="7" s="1"/>
  <c r="ORY66" i="7" s="1"/>
  <c r="OSA66" i="7" s="1"/>
  <c r="OSC66" i="7" s="1"/>
  <c r="OSE66" i="7" s="1"/>
  <c r="OSG66" i="7" s="1"/>
  <c r="OSI66" i="7" s="1"/>
  <c r="OSK66" i="7" s="1"/>
  <c r="OSM66" i="7" s="1"/>
  <c r="OSO66" i="7" s="1"/>
  <c r="OSQ66" i="7" s="1"/>
  <c r="OSS66" i="7" s="1"/>
  <c r="OSU66" i="7" s="1"/>
  <c r="OSW66" i="7" s="1"/>
  <c r="OSY66" i="7" s="1"/>
  <c r="OTA66" i="7" s="1"/>
  <c r="OTC66" i="7" s="1"/>
  <c r="OTE66" i="7" s="1"/>
  <c r="OTG66" i="7" s="1"/>
  <c r="OTI66" i="7" s="1"/>
  <c r="OTK66" i="7" s="1"/>
  <c r="OTM66" i="7" s="1"/>
  <c r="OTO66" i="7" s="1"/>
  <c r="OTQ66" i="7" s="1"/>
  <c r="OTS66" i="7" s="1"/>
  <c r="OTU66" i="7" s="1"/>
  <c r="OTW66" i="7" s="1"/>
  <c r="OTY66" i="7" s="1"/>
  <c r="OUA66" i="7" s="1"/>
  <c r="OUC66" i="7" s="1"/>
  <c r="OUE66" i="7" s="1"/>
  <c r="OUG66" i="7" s="1"/>
  <c r="OUI66" i="7" s="1"/>
  <c r="OUK66" i="7" s="1"/>
  <c r="OUM66" i="7" s="1"/>
  <c r="OUO66" i="7" s="1"/>
  <c r="OUQ66" i="7" s="1"/>
  <c r="OUS66" i="7" s="1"/>
  <c r="OUU66" i="7" s="1"/>
  <c r="OUW66" i="7" s="1"/>
  <c r="OUY66" i="7" s="1"/>
  <c r="OVA66" i="7" s="1"/>
  <c r="OVC66" i="7" s="1"/>
  <c r="OVE66" i="7" s="1"/>
  <c r="OVG66" i="7" s="1"/>
  <c r="OVI66" i="7" s="1"/>
  <c r="OVK66" i="7" s="1"/>
  <c r="OVM66" i="7" s="1"/>
  <c r="OVO66" i="7" s="1"/>
  <c r="OVQ66" i="7" s="1"/>
  <c r="OVS66" i="7" s="1"/>
  <c r="OVU66" i="7" s="1"/>
  <c r="OVW66" i="7" s="1"/>
  <c r="OVY66" i="7" s="1"/>
  <c r="OWA66" i="7" s="1"/>
  <c r="OWC66" i="7" s="1"/>
  <c r="OWE66" i="7" s="1"/>
  <c r="OWG66" i="7" s="1"/>
  <c r="OWI66" i="7" s="1"/>
  <c r="OWK66" i="7" s="1"/>
  <c r="OWM66" i="7" s="1"/>
  <c r="OWO66" i="7" s="1"/>
  <c r="OWQ66" i="7" s="1"/>
  <c r="OWS66" i="7" s="1"/>
  <c r="OWU66" i="7" s="1"/>
  <c r="OWW66" i="7" s="1"/>
  <c r="OWY66" i="7" s="1"/>
  <c r="OXA66" i="7" s="1"/>
  <c r="OXC66" i="7" s="1"/>
  <c r="OXE66" i="7" s="1"/>
  <c r="OXG66" i="7" s="1"/>
  <c r="OXI66" i="7" s="1"/>
  <c r="OXK66" i="7" s="1"/>
  <c r="OXM66" i="7" s="1"/>
  <c r="OXO66" i="7" s="1"/>
  <c r="OXQ66" i="7" s="1"/>
  <c r="OXS66" i="7" s="1"/>
  <c r="OXU66" i="7" s="1"/>
  <c r="OXW66" i="7" s="1"/>
  <c r="OXY66" i="7" s="1"/>
  <c r="OYA66" i="7" s="1"/>
  <c r="OYC66" i="7" s="1"/>
  <c r="OYE66" i="7" s="1"/>
  <c r="OYG66" i="7" s="1"/>
  <c r="OYI66" i="7" s="1"/>
  <c r="OYK66" i="7" s="1"/>
  <c r="OYM66" i="7" s="1"/>
  <c r="OYO66" i="7" s="1"/>
  <c r="OYQ66" i="7" s="1"/>
  <c r="OYS66" i="7" s="1"/>
  <c r="OYU66" i="7" s="1"/>
  <c r="OYW66" i="7" s="1"/>
  <c r="OYY66" i="7" s="1"/>
  <c r="OZA66" i="7" s="1"/>
  <c r="OZC66" i="7" s="1"/>
  <c r="OZE66" i="7" s="1"/>
  <c r="OZG66" i="7" s="1"/>
  <c r="OZI66" i="7" s="1"/>
  <c r="OZK66" i="7" s="1"/>
  <c r="OZM66" i="7" s="1"/>
  <c r="OZO66" i="7" s="1"/>
  <c r="OZQ66" i="7" s="1"/>
  <c r="OZS66" i="7" s="1"/>
  <c r="OZU66" i="7" s="1"/>
  <c r="OZW66" i="7" s="1"/>
  <c r="OZY66" i="7" s="1"/>
  <c r="PAA66" i="7" s="1"/>
  <c r="PAC66" i="7" s="1"/>
  <c r="PAE66" i="7" s="1"/>
  <c r="PAG66" i="7" s="1"/>
  <c r="PAI66" i="7" s="1"/>
  <c r="PAK66" i="7" s="1"/>
  <c r="PAM66" i="7" s="1"/>
  <c r="PAO66" i="7" s="1"/>
  <c r="PAQ66" i="7" s="1"/>
  <c r="PAS66" i="7" s="1"/>
  <c r="PAU66" i="7" s="1"/>
  <c r="PAW66" i="7" s="1"/>
  <c r="PAY66" i="7" s="1"/>
  <c r="PBA66" i="7" s="1"/>
  <c r="PBC66" i="7" s="1"/>
  <c r="PBE66" i="7" s="1"/>
  <c r="PBG66" i="7" s="1"/>
  <c r="PBI66" i="7" s="1"/>
  <c r="PBK66" i="7" s="1"/>
  <c r="PBM66" i="7" s="1"/>
  <c r="PBO66" i="7" s="1"/>
  <c r="PBQ66" i="7" s="1"/>
  <c r="PBS66" i="7" s="1"/>
  <c r="PBU66" i="7" s="1"/>
  <c r="PBW66" i="7" s="1"/>
  <c r="PBY66" i="7" s="1"/>
  <c r="PCA66" i="7" s="1"/>
  <c r="PCC66" i="7" s="1"/>
  <c r="PCE66" i="7" s="1"/>
  <c r="PCG66" i="7" s="1"/>
  <c r="PCI66" i="7" s="1"/>
  <c r="PCK66" i="7" s="1"/>
  <c r="PCM66" i="7" s="1"/>
  <c r="PCO66" i="7" s="1"/>
  <c r="PCQ66" i="7" s="1"/>
  <c r="PCS66" i="7" s="1"/>
  <c r="PCU66" i="7" s="1"/>
  <c r="PCW66" i="7" s="1"/>
  <c r="PCY66" i="7" s="1"/>
  <c r="PDA66" i="7" s="1"/>
  <c r="PDC66" i="7" s="1"/>
  <c r="PDE66" i="7" s="1"/>
  <c r="PDG66" i="7" s="1"/>
  <c r="PDI66" i="7" s="1"/>
  <c r="PDK66" i="7" s="1"/>
  <c r="PDM66" i="7" s="1"/>
  <c r="PDO66" i="7" s="1"/>
  <c r="PDQ66" i="7" s="1"/>
  <c r="PDS66" i="7" s="1"/>
  <c r="PDU66" i="7" s="1"/>
  <c r="PDW66" i="7" s="1"/>
  <c r="PDY66" i="7" s="1"/>
  <c r="PEA66" i="7" s="1"/>
  <c r="PEC66" i="7" s="1"/>
  <c r="PEE66" i="7" s="1"/>
  <c r="PEG66" i="7" s="1"/>
  <c r="PEI66" i="7" s="1"/>
  <c r="PEK66" i="7" s="1"/>
  <c r="PEM66" i="7" s="1"/>
  <c r="PEO66" i="7" s="1"/>
  <c r="PEQ66" i="7" s="1"/>
  <c r="PES66" i="7" s="1"/>
  <c r="PEU66" i="7" s="1"/>
  <c r="PEW66" i="7" s="1"/>
  <c r="PEY66" i="7" s="1"/>
  <c r="PFA66" i="7" s="1"/>
  <c r="PFC66" i="7" s="1"/>
  <c r="PFE66" i="7" s="1"/>
  <c r="PFG66" i="7" s="1"/>
  <c r="PFI66" i="7" s="1"/>
  <c r="PFK66" i="7" s="1"/>
  <c r="PFM66" i="7" s="1"/>
  <c r="PFO66" i="7" s="1"/>
  <c r="PFQ66" i="7" s="1"/>
  <c r="PFS66" i="7" s="1"/>
  <c r="PFU66" i="7" s="1"/>
  <c r="PFW66" i="7" s="1"/>
  <c r="PFY66" i="7" s="1"/>
  <c r="PGA66" i="7" s="1"/>
  <c r="PGC66" i="7" s="1"/>
  <c r="PGE66" i="7" s="1"/>
  <c r="PGG66" i="7" s="1"/>
  <c r="PGI66" i="7" s="1"/>
  <c r="PGK66" i="7" s="1"/>
  <c r="PGM66" i="7" s="1"/>
  <c r="PGO66" i="7" s="1"/>
  <c r="PGQ66" i="7" s="1"/>
  <c r="PGS66" i="7" s="1"/>
  <c r="PGU66" i="7" s="1"/>
  <c r="PGW66" i="7" s="1"/>
  <c r="PGY66" i="7" s="1"/>
  <c r="PHA66" i="7" s="1"/>
  <c r="PHC66" i="7" s="1"/>
  <c r="PHE66" i="7" s="1"/>
  <c r="PHG66" i="7" s="1"/>
  <c r="PHI66" i="7" s="1"/>
  <c r="PHK66" i="7" s="1"/>
  <c r="PHM66" i="7" s="1"/>
  <c r="PHO66" i="7" s="1"/>
  <c r="PHQ66" i="7" s="1"/>
  <c r="PHS66" i="7" s="1"/>
  <c r="PHU66" i="7" s="1"/>
  <c r="PHW66" i="7" s="1"/>
  <c r="PHY66" i="7" s="1"/>
  <c r="PIA66" i="7" s="1"/>
  <c r="PIC66" i="7" s="1"/>
  <c r="PIE66" i="7" s="1"/>
  <c r="PIG66" i="7" s="1"/>
  <c r="PII66" i="7" s="1"/>
  <c r="PIK66" i="7" s="1"/>
  <c r="PIM66" i="7" s="1"/>
  <c r="PIO66" i="7" s="1"/>
  <c r="PIQ66" i="7" s="1"/>
  <c r="PIS66" i="7" s="1"/>
  <c r="PIU66" i="7" s="1"/>
  <c r="PIW66" i="7" s="1"/>
  <c r="PIY66" i="7" s="1"/>
  <c r="PJA66" i="7" s="1"/>
  <c r="PJC66" i="7" s="1"/>
  <c r="PJE66" i="7" s="1"/>
  <c r="PJG66" i="7" s="1"/>
  <c r="PJI66" i="7" s="1"/>
  <c r="PJK66" i="7" s="1"/>
  <c r="PJM66" i="7" s="1"/>
  <c r="PJO66" i="7" s="1"/>
  <c r="PJQ66" i="7" s="1"/>
  <c r="PJS66" i="7" s="1"/>
  <c r="PJU66" i="7" s="1"/>
  <c r="PJW66" i="7" s="1"/>
  <c r="PJY66" i="7" s="1"/>
  <c r="PKA66" i="7" s="1"/>
  <c r="PKC66" i="7" s="1"/>
  <c r="PKE66" i="7" s="1"/>
  <c r="PKG66" i="7" s="1"/>
  <c r="PKI66" i="7" s="1"/>
  <c r="PKK66" i="7" s="1"/>
  <c r="PKM66" i="7" s="1"/>
  <c r="PKO66" i="7" s="1"/>
  <c r="PKQ66" i="7" s="1"/>
  <c r="PKS66" i="7" s="1"/>
  <c r="PKU66" i="7" s="1"/>
  <c r="PKW66" i="7" s="1"/>
  <c r="PKY66" i="7" s="1"/>
  <c r="PLA66" i="7" s="1"/>
  <c r="PLC66" i="7" s="1"/>
  <c r="PLE66" i="7" s="1"/>
  <c r="PLG66" i="7" s="1"/>
  <c r="PLI66" i="7" s="1"/>
  <c r="PLK66" i="7" s="1"/>
  <c r="PLM66" i="7" s="1"/>
  <c r="PLO66" i="7" s="1"/>
  <c r="PLQ66" i="7" s="1"/>
  <c r="PLS66" i="7" s="1"/>
  <c r="PLU66" i="7" s="1"/>
  <c r="PLW66" i="7" s="1"/>
  <c r="PLY66" i="7" s="1"/>
  <c r="PMA66" i="7" s="1"/>
  <c r="PMC66" i="7" s="1"/>
  <c r="PME66" i="7" s="1"/>
  <c r="PMG66" i="7" s="1"/>
  <c r="PMI66" i="7" s="1"/>
  <c r="PMK66" i="7" s="1"/>
  <c r="PMM66" i="7" s="1"/>
  <c r="PMO66" i="7" s="1"/>
  <c r="PMQ66" i="7" s="1"/>
  <c r="PMS66" i="7" s="1"/>
  <c r="PMU66" i="7" s="1"/>
  <c r="PMW66" i="7" s="1"/>
  <c r="PMY66" i="7" s="1"/>
  <c r="PNA66" i="7" s="1"/>
  <c r="PNC66" i="7" s="1"/>
  <c r="PNE66" i="7" s="1"/>
  <c r="PNG66" i="7" s="1"/>
  <c r="PNI66" i="7" s="1"/>
  <c r="PNK66" i="7" s="1"/>
  <c r="PNM66" i="7" s="1"/>
  <c r="PNO66" i="7" s="1"/>
  <c r="PNQ66" i="7" s="1"/>
  <c r="PNS66" i="7" s="1"/>
  <c r="PNU66" i="7" s="1"/>
  <c r="PNW66" i="7" s="1"/>
  <c r="PNY66" i="7" s="1"/>
  <c r="POA66" i="7" s="1"/>
  <c r="POC66" i="7" s="1"/>
  <c r="POE66" i="7" s="1"/>
  <c r="POG66" i="7" s="1"/>
  <c r="POI66" i="7" s="1"/>
  <c r="POK66" i="7" s="1"/>
  <c r="POM66" i="7" s="1"/>
  <c r="POO66" i="7" s="1"/>
  <c r="POQ66" i="7" s="1"/>
  <c r="POS66" i="7" s="1"/>
  <c r="POU66" i="7" s="1"/>
  <c r="POW66" i="7" s="1"/>
  <c r="POY66" i="7" s="1"/>
  <c r="PPA66" i="7" s="1"/>
  <c r="PPC66" i="7" s="1"/>
  <c r="PPE66" i="7" s="1"/>
  <c r="PPG66" i="7" s="1"/>
  <c r="PPI66" i="7" s="1"/>
  <c r="PPK66" i="7" s="1"/>
  <c r="PPM66" i="7" s="1"/>
  <c r="PPO66" i="7" s="1"/>
  <c r="PPQ66" i="7" s="1"/>
  <c r="PPS66" i="7" s="1"/>
  <c r="PPU66" i="7" s="1"/>
  <c r="PPW66" i="7" s="1"/>
  <c r="PPY66" i="7" s="1"/>
  <c r="PQA66" i="7" s="1"/>
  <c r="PQC66" i="7" s="1"/>
  <c r="PQE66" i="7" s="1"/>
  <c r="PQG66" i="7" s="1"/>
  <c r="PQI66" i="7" s="1"/>
  <c r="PQK66" i="7" s="1"/>
  <c r="PQM66" i="7" s="1"/>
  <c r="PQO66" i="7" s="1"/>
  <c r="PQQ66" i="7" s="1"/>
  <c r="PQS66" i="7" s="1"/>
  <c r="PQU66" i="7" s="1"/>
  <c r="PQW66" i="7" s="1"/>
  <c r="PQY66" i="7" s="1"/>
  <c r="PRA66" i="7" s="1"/>
  <c r="PRC66" i="7" s="1"/>
  <c r="PRE66" i="7" s="1"/>
  <c r="PRG66" i="7" s="1"/>
  <c r="PRI66" i="7" s="1"/>
  <c r="PRK66" i="7" s="1"/>
  <c r="PRM66" i="7" s="1"/>
  <c r="PRO66" i="7" s="1"/>
  <c r="PRQ66" i="7" s="1"/>
  <c r="PRS66" i="7" s="1"/>
  <c r="PRU66" i="7" s="1"/>
  <c r="PRW66" i="7" s="1"/>
  <c r="PRY66" i="7" s="1"/>
  <c r="PSA66" i="7" s="1"/>
  <c r="PSC66" i="7" s="1"/>
  <c r="PSE66" i="7" s="1"/>
  <c r="PSG66" i="7" s="1"/>
  <c r="PSI66" i="7" s="1"/>
  <c r="PSK66" i="7" s="1"/>
  <c r="PSM66" i="7" s="1"/>
  <c r="PSO66" i="7" s="1"/>
  <c r="PSQ66" i="7" s="1"/>
  <c r="PSS66" i="7" s="1"/>
  <c r="PSU66" i="7" s="1"/>
  <c r="PSW66" i="7" s="1"/>
  <c r="PSY66" i="7" s="1"/>
  <c r="PTA66" i="7" s="1"/>
  <c r="PTC66" i="7" s="1"/>
  <c r="PTE66" i="7" s="1"/>
  <c r="PTG66" i="7" s="1"/>
  <c r="PTI66" i="7" s="1"/>
  <c r="PTK66" i="7" s="1"/>
  <c r="PTM66" i="7" s="1"/>
  <c r="PTO66" i="7" s="1"/>
  <c r="PTQ66" i="7" s="1"/>
  <c r="PTS66" i="7" s="1"/>
  <c r="PTU66" i="7" s="1"/>
  <c r="PTW66" i="7" s="1"/>
  <c r="PTY66" i="7" s="1"/>
  <c r="PUA66" i="7" s="1"/>
  <c r="PUC66" i="7" s="1"/>
  <c r="PUE66" i="7" s="1"/>
  <c r="PUG66" i="7" s="1"/>
  <c r="PUI66" i="7" s="1"/>
  <c r="PUK66" i="7" s="1"/>
  <c r="PUM66" i="7" s="1"/>
  <c r="PUO66" i="7" s="1"/>
  <c r="PUQ66" i="7" s="1"/>
  <c r="PUS66" i="7" s="1"/>
  <c r="PUU66" i="7" s="1"/>
  <c r="PUW66" i="7" s="1"/>
  <c r="PUY66" i="7" s="1"/>
  <c r="PVA66" i="7" s="1"/>
  <c r="PVC66" i="7" s="1"/>
  <c r="PVE66" i="7" s="1"/>
  <c r="PVG66" i="7" s="1"/>
  <c r="PVI66" i="7" s="1"/>
  <c r="PVK66" i="7" s="1"/>
  <c r="PVM66" i="7" s="1"/>
  <c r="PVO66" i="7" s="1"/>
  <c r="PVQ66" i="7" s="1"/>
  <c r="PVS66" i="7" s="1"/>
  <c r="PVU66" i="7" s="1"/>
  <c r="PVW66" i="7" s="1"/>
  <c r="PVY66" i="7" s="1"/>
  <c r="PWA66" i="7" s="1"/>
  <c r="PWC66" i="7" s="1"/>
  <c r="PWE66" i="7" s="1"/>
  <c r="PWG66" i="7" s="1"/>
  <c r="PWI66" i="7" s="1"/>
  <c r="PWK66" i="7" s="1"/>
  <c r="PWM66" i="7" s="1"/>
  <c r="PWO66" i="7" s="1"/>
  <c r="PWQ66" i="7" s="1"/>
  <c r="PWS66" i="7" s="1"/>
  <c r="PWU66" i="7" s="1"/>
  <c r="PWW66" i="7" s="1"/>
  <c r="PWY66" i="7" s="1"/>
  <c r="PXA66" i="7" s="1"/>
  <c r="PXC66" i="7" s="1"/>
  <c r="PXE66" i="7" s="1"/>
  <c r="PXG66" i="7" s="1"/>
  <c r="PXI66" i="7" s="1"/>
  <c r="PXK66" i="7" s="1"/>
  <c r="PXM66" i="7" s="1"/>
  <c r="PXO66" i="7" s="1"/>
  <c r="PXQ66" i="7" s="1"/>
  <c r="PXS66" i="7" s="1"/>
  <c r="PXU66" i="7" s="1"/>
  <c r="PXW66" i="7" s="1"/>
  <c r="PXY66" i="7" s="1"/>
  <c r="PYA66" i="7" s="1"/>
  <c r="PYC66" i="7" s="1"/>
  <c r="PYE66" i="7" s="1"/>
  <c r="PYG66" i="7" s="1"/>
  <c r="PYI66" i="7" s="1"/>
  <c r="PYK66" i="7" s="1"/>
  <c r="PYM66" i="7" s="1"/>
  <c r="PYO66" i="7" s="1"/>
  <c r="PYQ66" i="7" s="1"/>
  <c r="PYS66" i="7" s="1"/>
  <c r="PYU66" i="7" s="1"/>
  <c r="PYW66" i="7" s="1"/>
  <c r="PYY66" i="7" s="1"/>
  <c r="PZA66" i="7" s="1"/>
  <c r="PZC66" i="7" s="1"/>
  <c r="PZE66" i="7" s="1"/>
  <c r="PZG66" i="7" s="1"/>
  <c r="PZI66" i="7" s="1"/>
  <c r="PZK66" i="7" s="1"/>
  <c r="PZM66" i="7" s="1"/>
  <c r="PZO66" i="7" s="1"/>
  <c r="PZQ66" i="7" s="1"/>
  <c r="PZS66" i="7" s="1"/>
  <c r="PZU66" i="7" s="1"/>
  <c r="PZW66" i="7" s="1"/>
  <c r="PZY66" i="7" s="1"/>
  <c r="QAA66" i="7" s="1"/>
  <c r="QAC66" i="7" s="1"/>
  <c r="QAE66" i="7" s="1"/>
  <c r="QAG66" i="7" s="1"/>
  <c r="QAI66" i="7" s="1"/>
  <c r="QAK66" i="7" s="1"/>
  <c r="QAM66" i="7" s="1"/>
  <c r="QAO66" i="7" s="1"/>
  <c r="QAQ66" i="7" s="1"/>
  <c r="QAS66" i="7" s="1"/>
  <c r="QAU66" i="7" s="1"/>
  <c r="QAW66" i="7" s="1"/>
  <c r="QAY66" i="7" s="1"/>
  <c r="QBA66" i="7" s="1"/>
  <c r="QBC66" i="7" s="1"/>
  <c r="QBE66" i="7" s="1"/>
  <c r="QBG66" i="7" s="1"/>
  <c r="QBI66" i="7" s="1"/>
  <c r="QBK66" i="7" s="1"/>
  <c r="QBM66" i="7" s="1"/>
  <c r="QBO66" i="7" s="1"/>
  <c r="QBQ66" i="7" s="1"/>
  <c r="QBS66" i="7" s="1"/>
  <c r="QBU66" i="7" s="1"/>
  <c r="QBW66" i="7" s="1"/>
  <c r="QBY66" i="7" s="1"/>
  <c r="QCA66" i="7" s="1"/>
  <c r="QCC66" i="7" s="1"/>
  <c r="QCE66" i="7" s="1"/>
  <c r="QCG66" i="7" s="1"/>
  <c r="QCI66" i="7" s="1"/>
  <c r="QCK66" i="7" s="1"/>
  <c r="QCM66" i="7" s="1"/>
  <c r="QCO66" i="7" s="1"/>
  <c r="QCQ66" i="7" s="1"/>
  <c r="QCS66" i="7" s="1"/>
  <c r="QCU66" i="7" s="1"/>
  <c r="QCW66" i="7" s="1"/>
  <c r="QCY66" i="7" s="1"/>
  <c r="QDA66" i="7" s="1"/>
  <c r="QDC66" i="7" s="1"/>
  <c r="QDE66" i="7" s="1"/>
  <c r="QDG66" i="7" s="1"/>
  <c r="QDI66" i="7" s="1"/>
  <c r="QDK66" i="7" s="1"/>
  <c r="QDM66" i="7" s="1"/>
  <c r="QDO66" i="7" s="1"/>
  <c r="QDQ66" i="7" s="1"/>
  <c r="QDS66" i="7" s="1"/>
  <c r="QDU66" i="7" s="1"/>
  <c r="QDW66" i="7" s="1"/>
  <c r="QDY66" i="7" s="1"/>
  <c r="QEA66" i="7" s="1"/>
  <c r="QEC66" i="7" s="1"/>
  <c r="QEE66" i="7" s="1"/>
  <c r="QEG66" i="7" s="1"/>
  <c r="QEI66" i="7" s="1"/>
  <c r="QEK66" i="7" s="1"/>
  <c r="QEM66" i="7" s="1"/>
  <c r="QEO66" i="7" s="1"/>
  <c r="QEQ66" i="7" s="1"/>
  <c r="QES66" i="7" s="1"/>
  <c r="QEU66" i="7" s="1"/>
  <c r="QEW66" i="7" s="1"/>
  <c r="QEY66" i="7" s="1"/>
  <c r="QFA66" i="7" s="1"/>
  <c r="QFC66" i="7" s="1"/>
  <c r="QFE66" i="7" s="1"/>
  <c r="QFG66" i="7" s="1"/>
  <c r="QFI66" i="7" s="1"/>
  <c r="QFK66" i="7" s="1"/>
  <c r="QFM66" i="7" s="1"/>
  <c r="QFO66" i="7" s="1"/>
  <c r="QFQ66" i="7" s="1"/>
  <c r="QFS66" i="7" s="1"/>
  <c r="QFU66" i="7" s="1"/>
  <c r="QFW66" i="7" s="1"/>
  <c r="QFY66" i="7" s="1"/>
  <c r="QGA66" i="7" s="1"/>
  <c r="QGC66" i="7" s="1"/>
  <c r="QGE66" i="7" s="1"/>
  <c r="QGG66" i="7" s="1"/>
  <c r="QGI66" i="7" s="1"/>
  <c r="QGK66" i="7" s="1"/>
  <c r="QGM66" i="7" s="1"/>
  <c r="QGO66" i="7" s="1"/>
  <c r="QGQ66" i="7" s="1"/>
  <c r="QGS66" i="7" s="1"/>
  <c r="QGU66" i="7" s="1"/>
  <c r="QGW66" i="7" s="1"/>
  <c r="QGY66" i="7" s="1"/>
  <c r="QHA66" i="7" s="1"/>
  <c r="QHC66" i="7" s="1"/>
  <c r="QHE66" i="7" s="1"/>
  <c r="QHG66" i="7" s="1"/>
  <c r="QHI66" i="7" s="1"/>
  <c r="QHK66" i="7" s="1"/>
  <c r="QHM66" i="7" s="1"/>
  <c r="QHO66" i="7" s="1"/>
  <c r="QHQ66" i="7" s="1"/>
  <c r="QHS66" i="7" s="1"/>
  <c r="QHU66" i="7" s="1"/>
  <c r="QHW66" i="7" s="1"/>
  <c r="QHY66" i="7" s="1"/>
  <c r="QIA66" i="7" s="1"/>
  <c r="QIC66" i="7" s="1"/>
  <c r="QIE66" i="7" s="1"/>
  <c r="QIG66" i="7" s="1"/>
  <c r="QII66" i="7" s="1"/>
  <c r="QIK66" i="7" s="1"/>
  <c r="QIM66" i="7" s="1"/>
  <c r="QIO66" i="7" s="1"/>
  <c r="QIQ66" i="7" s="1"/>
  <c r="QIS66" i="7" s="1"/>
  <c r="QIU66" i="7" s="1"/>
  <c r="QIW66" i="7" s="1"/>
  <c r="QIY66" i="7" s="1"/>
  <c r="QJA66" i="7" s="1"/>
  <c r="QJC66" i="7" s="1"/>
  <c r="QJE66" i="7" s="1"/>
  <c r="QJG66" i="7" s="1"/>
  <c r="QJI66" i="7" s="1"/>
  <c r="QJK66" i="7" s="1"/>
  <c r="QJM66" i="7" s="1"/>
  <c r="QJO66" i="7" s="1"/>
  <c r="QJQ66" i="7" s="1"/>
  <c r="QJS66" i="7" s="1"/>
  <c r="QJU66" i="7" s="1"/>
  <c r="QJW66" i="7" s="1"/>
  <c r="QJY66" i="7" s="1"/>
  <c r="QKA66" i="7" s="1"/>
  <c r="QKC66" i="7" s="1"/>
  <c r="QKE66" i="7" s="1"/>
  <c r="QKG66" i="7" s="1"/>
  <c r="QKI66" i="7" s="1"/>
  <c r="QKK66" i="7" s="1"/>
  <c r="QKM66" i="7" s="1"/>
  <c r="QKO66" i="7" s="1"/>
  <c r="QKQ66" i="7" s="1"/>
  <c r="QKS66" i="7" s="1"/>
  <c r="QKU66" i="7" s="1"/>
  <c r="QKW66" i="7" s="1"/>
  <c r="QKY66" i="7" s="1"/>
  <c r="QLA66" i="7" s="1"/>
  <c r="QLC66" i="7" s="1"/>
  <c r="QLE66" i="7" s="1"/>
  <c r="QLG66" i="7" s="1"/>
  <c r="QLI66" i="7" s="1"/>
  <c r="QLK66" i="7" s="1"/>
  <c r="QLM66" i="7" s="1"/>
  <c r="QLO66" i="7" s="1"/>
  <c r="QLQ66" i="7" s="1"/>
  <c r="QLS66" i="7" s="1"/>
  <c r="QLU66" i="7" s="1"/>
  <c r="QLW66" i="7" s="1"/>
  <c r="QLY66" i="7" s="1"/>
  <c r="QMA66" i="7" s="1"/>
  <c r="QMC66" i="7" s="1"/>
  <c r="QME66" i="7" s="1"/>
  <c r="QMG66" i="7" s="1"/>
  <c r="QMI66" i="7" s="1"/>
  <c r="QMK66" i="7" s="1"/>
  <c r="QMM66" i="7" s="1"/>
  <c r="QMO66" i="7" s="1"/>
  <c r="QMQ66" i="7" s="1"/>
  <c r="QMS66" i="7" s="1"/>
  <c r="QMU66" i="7" s="1"/>
  <c r="QMW66" i="7" s="1"/>
  <c r="QMY66" i="7" s="1"/>
  <c r="QNA66" i="7" s="1"/>
  <c r="QNC66" i="7" s="1"/>
  <c r="QNE66" i="7" s="1"/>
  <c r="QNG66" i="7" s="1"/>
  <c r="QNI66" i="7" s="1"/>
  <c r="QNK66" i="7" s="1"/>
  <c r="QNM66" i="7" s="1"/>
  <c r="QNO66" i="7" s="1"/>
  <c r="QNQ66" i="7" s="1"/>
  <c r="QNS66" i="7" s="1"/>
  <c r="QNU66" i="7" s="1"/>
  <c r="QNW66" i="7" s="1"/>
  <c r="QNY66" i="7" s="1"/>
  <c r="QOA66" i="7" s="1"/>
  <c r="QOC66" i="7" s="1"/>
  <c r="QOE66" i="7" s="1"/>
  <c r="QOG66" i="7" s="1"/>
  <c r="QOI66" i="7" s="1"/>
  <c r="QOK66" i="7" s="1"/>
  <c r="QOM66" i="7" s="1"/>
  <c r="QOO66" i="7" s="1"/>
  <c r="QOQ66" i="7" s="1"/>
  <c r="QOS66" i="7" s="1"/>
  <c r="QOU66" i="7" s="1"/>
  <c r="QOW66" i="7" s="1"/>
  <c r="QOY66" i="7" s="1"/>
  <c r="QPA66" i="7" s="1"/>
  <c r="QPC66" i="7" s="1"/>
  <c r="QPE66" i="7" s="1"/>
  <c r="QPG66" i="7" s="1"/>
  <c r="QPI66" i="7" s="1"/>
  <c r="QPK66" i="7" s="1"/>
  <c r="QPM66" i="7" s="1"/>
  <c r="QPO66" i="7" s="1"/>
  <c r="QPQ66" i="7" s="1"/>
  <c r="QPS66" i="7" s="1"/>
  <c r="QPU66" i="7" s="1"/>
  <c r="QPW66" i="7" s="1"/>
  <c r="QPY66" i="7" s="1"/>
  <c r="QQA66" i="7" s="1"/>
  <c r="QQC66" i="7" s="1"/>
  <c r="QQE66" i="7" s="1"/>
  <c r="QQG66" i="7" s="1"/>
  <c r="QQI66" i="7" s="1"/>
  <c r="QQK66" i="7" s="1"/>
  <c r="QQM66" i="7" s="1"/>
  <c r="QQO66" i="7" s="1"/>
  <c r="QQQ66" i="7" s="1"/>
  <c r="QQS66" i="7" s="1"/>
  <c r="QQU66" i="7" s="1"/>
  <c r="QQW66" i="7" s="1"/>
  <c r="QQY66" i="7" s="1"/>
  <c r="QRA66" i="7" s="1"/>
  <c r="QRC66" i="7" s="1"/>
  <c r="QRE66" i="7" s="1"/>
  <c r="QRG66" i="7" s="1"/>
  <c r="QRI66" i="7" s="1"/>
  <c r="QRK66" i="7" s="1"/>
  <c r="QRM66" i="7" s="1"/>
  <c r="QRO66" i="7" s="1"/>
  <c r="QRQ66" i="7" s="1"/>
  <c r="QRS66" i="7" s="1"/>
  <c r="QRU66" i="7" s="1"/>
  <c r="QRW66" i="7" s="1"/>
  <c r="QRY66" i="7" s="1"/>
  <c r="QSA66" i="7" s="1"/>
  <c r="QSC66" i="7" s="1"/>
  <c r="QSE66" i="7" s="1"/>
  <c r="QSG66" i="7" s="1"/>
  <c r="QSI66" i="7" s="1"/>
  <c r="QSK66" i="7" s="1"/>
  <c r="QSM66" i="7" s="1"/>
  <c r="QSO66" i="7" s="1"/>
  <c r="QSQ66" i="7" s="1"/>
  <c r="QSS66" i="7" s="1"/>
  <c r="QSU66" i="7" s="1"/>
  <c r="QSW66" i="7" s="1"/>
  <c r="QSY66" i="7" s="1"/>
  <c r="QTA66" i="7" s="1"/>
  <c r="QTC66" i="7" s="1"/>
  <c r="QTE66" i="7" s="1"/>
  <c r="QTG66" i="7" s="1"/>
  <c r="QTI66" i="7" s="1"/>
  <c r="QTK66" i="7" s="1"/>
  <c r="QTM66" i="7" s="1"/>
  <c r="QTO66" i="7" s="1"/>
  <c r="QTQ66" i="7" s="1"/>
  <c r="QTS66" i="7" s="1"/>
  <c r="QTU66" i="7" s="1"/>
  <c r="QTW66" i="7" s="1"/>
  <c r="QTY66" i="7" s="1"/>
  <c r="QUA66" i="7" s="1"/>
  <c r="QUC66" i="7" s="1"/>
  <c r="QUE66" i="7" s="1"/>
  <c r="QUG66" i="7" s="1"/>
  <c r="QUI66" i="7" s="1"/>
  <c r="QUK66" i="7" s="1"/>
  <c r="QUM66" i="7" s="1"/>
  <c r="QUO66" i="7" s="1"/>
  <c r="QUQ66" i="7" s="1"/>
  <c r="QUS66" i="7" s="1"/>
  <c r="QUU66" i="7" s="1"/>
  <c r="QUW66" i="7" s="1"/>
  <c r="QUY66" i="7" s="1"/>
  <c r="QVA66" i="7" s="1"/>
  <c r="QVC66" i="7" s="1"/>
  <c r="QVE66" i="7" s="1"/>
  <c r="QVG66" i="7" s="1"/>
  <c r="QVI66" i="7" s="1"/>
  <c r="QVK66" i="7" s="1"/>
  <c r="QVM66" i="7" s="1"/>
  <c r="QVO66" i="7" s="1"/>
  <c r="QVQ66" i="7" s="1"/>
  <c r="QVS66" i="7" s="1"/>
  <c r="QVU66" i="7" s="1"/>
  <c r="QVW66" i="7" s="1"/>
  <c r="QVY66" i="7" s="1"/>
  <c r="QWA66" i="7" s="1"/>
  <c r="QWC66" i="7" s="1"/>
  <c r="QWE66" i="7" s="1"/>
  <c r="QWG66" i="7" s="1"/>
  <c r="QWI66" i="7" s="1"/>
  <c r="QWK66" i="7" s="1"/>
  <c r="QWM66" i="7" s="1"/>
  <c r="QWO66" i="7" s="1"/>
  <c r="QWQ66" i="7" s="1"/>
  <c r="QWS66" i="7" s="1"/>
  <c r="QWU66" i="7" s="1"/>
  <c r="QWW66" i="7" s="1"/>
  <c r="QWY66" i="7" s="1"/>
  <c r="QXA66" i="7" s="1"/>
  <c r="QXC66" i="7" s="1"/>
  <c r="QXE66" i="7" s="1"/>
  <c r="QXG66" i="7" s="1"/>
  <c r="QXI66" i="7" s="1"/>
  <c r="QXK66" i="7" s="1"/>
  <c r="QXM66" i="7" s="1"/>
  <c r="QXO66" i="7" s="1"/>
  <c r="QXQ66" i="7" s="1"/>
  <c r="QXS66" i="7" s="1"/>
  <c r="QXU66" i="7" s="1"/>
  <c r="QXW66" i="7" s="1"/>
  <c r="QXY66" i="7" s="1"/>
  <c r="QYA66" i="7" s="1"/>
  <c r="QYC66" i="7" s="1"/>
  <c r="QYE66" i="7" s="1"/>
  <c r="QYG66" i="7" s="1"/>
  <c r="QYI66" i="7" s="1"/>
  <c r="QYK66" i="7" s="1"/>
  <c r="QYM66" i="7" s="1"/>
  <c r="QYO66" i="7" s="1"/>
  <c r="QYQ66" i="7" s="1"/>
  <c r="QYS66" i="7" s="1"/>
  <c r="QYU66" i="7" s="1"/>
  <c r="QYW66" i="7" s="1"/>
  <c r="QYY66" i="7" s="1"/>
  <c r="QZA66" i="7" s="1"/>
  <c r="QZC66" i="7" s="1"/>
  <c r="QZE66" i="7" s="1"/>
  <c r="QZG66" i="7" s="1"/>
  <c r="QZI66" i="7" s="1"/>
  <c r="QZK66" i="7" s="1"/>
  <c r="QZM66" i="7" s="1"/>
  <c r="QZO66" i="7" s="1"/>
  <c r="QZQ66" i="7" s="1"/>
  <c r="QZS66" i="7" s="1"/>
  <c r="QZU66" i="7" s="1"/>
  <c r="QZW66" i="7" s="1"/>
  <c r="QZY66" i="7" s="1"/>
  <c r="RAA66" i="7" s="1"/>
  <c r="RAC66" i="7" s="1"/>
  <c r="RAE66" i="7" s="1"/>
  <c r="RAG66" i="7" s="1"/>
  <c r="RAI66" i="7" s="1"/>
  <c r="RAK66" i="7" s="1"/>
  <c r="RAM66" i="7" s="1"/>
  <c r="RAO66" i="7" s="1"/>
  <c r="RAQ66" i="7" s="1"/>
  <c r="RAS66" i="7" s="1"/>
  <c r="RAU66" i="7" s="1"/>
  <c r="RAW66" i="7" s="1"/>
  <c r="RAY66" i="7" s="1"/>
  <c r="RBA66" i="7" s="1"/>
  <c r="RBC66" i="7" s="1"/>
  <c r="RBE66" i="7" s="1"/>
  <c r="RBG66" i="7" s="1"/>
  <c r="RBI66" i="7" s="1"/>
  <c r="RBK66" i="7" s="1"/>
  <c r="RBM66" i="7" s="1"/>
  <c r="RBO66" i="7" s="1"/>
  <c r="RBQ66" i="7" s="1"/>
  <c r="RBS66" i="7" s="1"/>
  <c r="RBU66" i="7" s="1"/>
  <c r="RBW66" i="7" s="1"/>
  <c r="RBY66" i="7" s="1"/>
  <c r="RCA66" i="7" s="1"/>
  <c r="RCC66" i="7" s="1"/>
  <c r="RCE66" i="7" s="1"/>
  <c r="RCG66" i="7" s="1"/>
  <c r="RCI66" i="7" s="1"/>
  <c r="RCK66" i="7" s="1"/>
  <c r="RCM66" i="7" s="1"/>
  <c r="RCO66" i="7" s="1"/>
  <c r="RCQ66" i="7" s="1"/>
  <c r="RCS66" i="7" s="1"/>
  <c r="RCU66" i="7" s="1"/>
  <c r="RCW66" i="7" s="1"/>
  <c r="RCY66" i="7" s="1"/>
  <c r="RDA66" i="7" s="1"/>
  <c r="RDC66" i="7" s="1"/>
  <c r="RDE66" i="7" s="1"/>
  <c r="RDG66" i="7" s="1"/>
  <c r="RDI66" i="7" s="1"/>
  <c r="RDK66" i="7" s="1"/>
  <c r="RDM66" i="7" s="1"/>
  <c r="RDO66" i="7" s="1"/>
  <c r="RDQ66" i="7" s="1"/>
  <c r="RDS66" i="7" s="1"/>
  <c r="RDU66" i="7" s="1"/>
  <c r="RDW66" i="7" s="1"/>
  <c r="RDY66" i="7" s="1"/>
  <c r="REA66" i="7" s="1"/>
  <c r="REC66" i="7" s="1"/>
  <c r="REE66" i="7" s="1"/>
  <c r="REG66" i="7" s="1"/>
  <c r="REI66" i="7" s="1"/>
  <c r="REK66" i="7" s="1"/>
  <c r="REM66" i="7" s="1"/>
  <c r="REO66" i="7" s="1"/>
  <c r="REQ66" i="7" s="1"/>
  <c r="RES66" i="7" s="1"/>
  <c r="REU66" i="7" s="1"/>
  <c r="REW66" i="7" s="1"/>
  <c r="REY66" i="7" s="1"/>
  <c r="RFA66" i="7" s="1"/>
  <c r="RFC66" i="7" s="1"/>
  <c r="RFE66" i="7" s="1"/>
  <c r="RFG66" i="7" s="1"/>
  <c r="RFI66" i="7" s="1"/>
  <c r="RFK66" i="7" s="1"/>
  <c r="RFM66" i="7" s="1"/>
  <c r="RFO66" i="7" s="1"/>
  <c r="RFQ66" i="7" s="1"/>
  <c r="RFS66" i="7" s="1"/>
  <c r="RFU66" i="7" s="1"/>
  <c r="RFW66" i="7" s="1"/>
  <c r="RFY66" i="7" s="1"/>
  <c r="RGA66" i="7" s="1"/>
  <c r="RGC66" i="7" s="1"/>
  <c r="RGE66" i="7" s="1"/>
  <c r="RGG66" i="7" s="1"/>
  <c r="RGI66" i="7" s="1"/>
  <c r="RGK66" i="7" s="1"/>
  <c r="RGM66" i="7" s="1"/>
  <c r="RGO66" i="7" s="1"/>
  <c r="RGQ66" i="7" s="1"/>
  <c r="RGS66" i="7" s="1"/>
  <c r="RGU66" i="7" s="1"/>
  <c r="RGW66" i="7" s="1"/>
  <c r="RGY66" i="7" s="1"/>
  <c r="RHA66" i="7" s="1"/>
  <c r="RHC66" i="7" s="1"/>
  <c r="RHE66" i="7" s="1"/>
  <c r="RHG66" i="7" s="1"/>
  <c r="RHI66" i="7" s="1"/>
  <c r="RHK66" i="7" s="1"/>
  <c r="RHM66" i="7" s="1"/>
  <c r="RHO66" i="7" s="1"/>
  <c r="RHQ66" i="7" s="1"/>
  <c r="RHS66" i="7" s="1"/>
  <c r="RHU66" i="7" s="1"/>
  <c r="RHW66" i="7" s="1"/>
  <c r="RHY66" i="7" s="1"/>
  <c r="RIA66" i="7" s="1"/>
  <c r="RIC66" i="7" s="1"/>
  <c r="RIE66" i="7" s="1"/>
  <c r="RIG66" i="7" s="1"/>
  <c r="RII66" i="7" s="1"/>
  <c r="RIK66" i="7" s="1"/>
  <c r="RIM66" i="7" s="1"/>
  <c r="RIO66" i="7" s="1"/>
  <c r="RIQ66" i="7" s="1"/>
  <c r="RIS66" i="7" s="1"/>
  <c r="RIU66" i="7" s="1"/>
  <c r="RIW66" i="7" s="1"/>
  <c r="RIY66" i="7" s="1"/>
  <c r="RJA66" i="7" s="1"/>
  <c r="RJC66" i="7" s="1"/>
  <c r="RJE66" i="7" s="1"/>
  <c r="RJG66" i="7" s="1"/>
  <c r="RJI66" i="7" s="1"/>
  <c r="RJK66" i="7" s="1"/>
  <c r="RJM66" i="7" s="1"/>
  <c r="RJO66" i="7" s="1"/>
  <c r="RJQ66" i="7" s="1"/>
  <c r="RJS66" i="7" s="1"/>
  <c r="RJU66" i="7" s="1"/>
  <c r="RJW66" i="7" s="1"/>
  <c r="RJY66" i="7" s="1"/>
  <c r="RKA66" i="7" s="1"/>
  <c r="RKC66" i="7" s="1"/>
  <c r="RKE66" i="7" s="1"/>
  <c r="RKG66" i="7" s="1"/>
  <c r="RKI66" i="7" s="1"/>
  <c r="RKK66" i="7" s="1"/>
  <c r="RKM66" i="7" s="1"/>
  <c r="RKO66" i="7" s="1"/>
  <c r="RKQ66" i="7" s="1"/>
  <c r="RKS66" i="7" s="1"/>
  <c r="RKU66" i="7" s="1"/>
  <c r="RKW66" i="7" s="1"/>
  <c r="RKY66" i="7" s="1"/>
  <c r="RLA66" i="7" s="1"/>
  <c r="RLC66" i="7" s="1"/>
  <c r="RLE66" i="7" s="1"/>
  <c r="RLG66" i="7" s="1"/>
  <c r="RLI66" i="7" s="1"/>
  <c r="RLK66" i="7" s="1"/>
  <c r="RLM66" i="7" s="1"/>
  <c r="RLO66" i="7" s="1"/>
  <c r="RLQ66" i="7" s="1"/>
  <c r="RLS66" i="7" s="1"/>
  <c r="RLU66" i="7" s="1"/>
  <c r="RLW66" i="7" s="1"/>
  <c r="RLY66" i="7" s="1"/>
  <c r="RMA66" i="7" s="1"/>
  <c r="RMC66" i="7" s="1"/>
  <c r="RME66" i="7" s="1"/>
  <c r="RMG66" i="7" s="1"/>
  <c r="RMI66" i="7" s="1"/>
  <c r="RMK66" i="7" s="1"/>
  <c r="RMM66" i="7" s="1"/>
  <c r="RMO66" i="7" s="1"/>
  <c r="RMQ66" i="7" s="1"/>
  <c r="RMS66" i="7" s="1"/>
  <c r="RMU66" i="7" s="1"/>
  <c r="RMW66" i="7" s="1"/>
  <c r="RMY66" i="7" s="1"/>
  <c r="RNA66" i="7" s="1"/>
  <c r="RNC66" i="7" s="1"/>
  <c r="RNE66" i="7" s="1"/>
  <c r="RNG66" i="7" s="1"/>
  <c r="RNI66" i="7" s="1"/>
  <c r="RNK66" i="7" s="1"/>
  <c r="RNM66" i="7" s="1"/>
  <c r="RNO66" i="7" s="1"/>
  <c r="RNQ66" i="7" s="1"/>
  <c r="RNS66" i="7" s="1"/>
  <c r="RNU66" i="7" s="1"/>
  <c r="RNW66" i="7" s="1"/>
  <c r="RNY66" i="7" s="1"/>
  <c r="ROA66" i="7" s="1"/>
  <c r="ROC66" i="7" s="1"/>
  <c r="ROE66" i="7" s="1"/>
  <c r="ROG66" i="7" s="1"/>
  <c r="ROI66" i="7" s="1"/>
  <c r="ROK66" i="7" s="1"/>
  <c r="ROM66" i="7" s="1"/>
  <c r="ROO66" i="7" s="1"/>
  <c r="ROQ66" i="7" s="1"/>
  <c r="ROS66" i="7" s="1"/>
  <c r="ROU66" i="7" s="1"/>
  <c r="ROW66" i="7" s="1"/>
  <c r="ROY66" i="7" s="1"/>
  <c r="RPA66" i="7" s="1"/>
  <c r="RPC66" i="7" s="1"/>
  <c r="RPE66" i="7" s="1"/>
  <c r="RPG66" i="7" s="1"/>
  <c r="RPI66" i="7" s="1"/>
  <c r="RPK66" i="7" s="1"/>
  <c r="RPM66" i="7" s="1"/>
  <c r="RPO66" i="7" s="1"/>
  <c r="RPQ66" i="7" s="1"/>
  <c r="RPS66" i="7" s="1"/>
  <c r="RPU66" i="7" s="1"/>
  <c r="RPW66" i="7" s="1"/>
  <c r="RPY66" i="7" s="1"/>
  <c r="RQA66" i="7" s="1"/>
  <c r="RQC66" i="7" s="1"/>
  <c r="RQE66" i="7" s="1"/>
  <c r="RQG66" i="7" s="1"/>
  <c r="RQI66" i="7" s="1"/>
  <c r="RQK66" i="7" s="1"/>
  <c r="RQM66" i="7" s="1"/>
  <c r="RQO66" i="7" s="1"/>
  <c r="RQQ66" i="7" s="1"/>
  <c r="RQS66" i="7" s="1"/>
  <c r="RQU66" i="7" s="1"/>
  <c r="RQW66" i="7" s="1"/>
  <c r="RQY66" i="7" s="1"/>
  <c r="RRA66" i="7" s="1"/>
  <c r="RRC66" i="7" s="1"/>
  <c r="RRE66" i="7" s="1"/>
  <c r="RRG66" i="7" s="1"/>
  <c r="RRI66" i="7" s="1"/>
  <c r="RRK66" i="7" s="1"/>
  <c r="RRM66" i="7" s="1"/>
  <c r="RRO66" i="7" s="1"/>
  <c r="RRQ66" i="7" s="1"/>
  <c r="RRS66" i="7" s="1"/>
  <c r="RRU66" i="7" s="1"/>
  <c r="RRW66" i="7" s="1"/>
  <c r="RRY66" i="7" s="1"/>
  <c r="RSA66" i="7" s="1"/>
  <c r="RSC66" i="7" s="1"/>
  <c r="RSE66" i="7" s="1"/>
  <c r="RSG66" i="7" s="1"/>
  <c r="RSI66" i="7" s="1"/>
  <c r="RSK66" i="7" s="1"/>
  <c r="RSM66" i="7" s="1"/>
  <c r="RSO66" i="7" s="1"/>
  <c r="RSQ66" i="7" s="1"/>
  <c r="RSS66" i="7" s="1"/>
  <c r="RSU66" i="7" s="1"/>
  <c r="RSW66" i="7" s="1"/>
  <c r="RSY66" i="7" s="1"/>
  <c r="RTA66" i="7" s="1"/>
  <c r="RTC66" i="7" s="1"/>
  <c r="RTE66" i="7" s="1"/>
  <c r="RTG66" i="7" s="1"/>
  <c r="RTI66" i="7" s="1"/>
  <c r="RTK66" i="7" s="1"/>
  <c r="RTM66" i="7" s="1"/>
  <c r="RTO66" i="7" s="1"/>
  <c r="RTQ66" i="7" s="1"/>
  <c r="RTS66" i="7" s="1"/>
  <c r="RTU66" i="7" s="1"/>
  <c r="RTW66" i="7" s="1"/>
  <c r="RTY66" i="7" s="1"/>
  <c r="RUA66" i="7" s="1"/>
  <c r="RUC66" i="7" s="1"/>
  <c r="RUE66" i="7" s="1"/>
  <c r="RUG66" i="7" s="1"/>
  <c r="RUI66" i="7" s="1"/>
  <c r="RUK66" i="7" s="1"/>
  <c r="RUM66" i="7" s="1"/>
  <c r="RUO66" i="7" s="1"/>
  <c r="RUQ66" i="7" s="1"/>
  <c r="RUS66" i="7" s="1"/>
  <c r="RUU66" i="7" s="1"/>
  <c r="RUW66" i="7" s="1"/>
  <c r="RUY66" i="7" s="1"/>
  <c r="RVA66" i="7" s="1"/>
  <c r="RVC66" i="7" s="1"/>
  <c r="RVE66" i="7" s="1"/>
  <c r="RVG66" i="7" s="1"/>
  <c r="RVI66" i="7" s="1"/>
  <c r="RVK66" i="7" s="1"/>
  <c r="RVM66" i="7" s="1"/>
  <c r="RVO66" i="7" s="1"/>
  <c r="RVQ66" i="7" s="1"/>
  <c r="RVS66" i="7" s="1"/>
  <c r="RVU66" i="7" s="1"/>
  <c r="RVW66" i="7" s="1"/>
  <c r="RVY66" i="7" s="1"/>
  <c r="RWA66" i="7" s="1"/>
  <c r="RWC66" i="7" s="1"/>
  <c r="RWE66" i="7" s="1"/>
  <c r="RWG66" i="7" s="1"/>
  <c r="RWI66" i="7" s="1"/>
  <c r="RWK66" i="7" s="1"/>
  <c r="RWM66" i="7" s="1"/>
  <c r="RWO66" i="7" s="1"/>
  <c r="RWQ66" i="7" s="1"/>
  <c r="RWS66" i="7" s="1"/>
  <c r="RWU66" i="7" s="1"/>
  <c r="RWW66" i="7" s="1"/>
  <c r="RWY66" i="7" s="1"/>
  <c r="RXA66" i="7" s="1"/>
  <c r="RXC66" i="7" s="1"/>
  <c r="RXE66" i="7" s="1"/>
  <c r="RXG66" i="7" s="1"/>
  <c r="RXI66" i="7" s="1"/>
  <c r="RXK66" i="7" s="1"/>
  <c r="RXM66" i="7" s="1"/>
  <c r="RXO66" i="7" s="1"/>
  <c r="RXQ66" i="7" s="1"/>
  <c r="RXS66" i="7" s="1"/>
  <c r="RXU66" i="7" s="1"/>
  <c r="RXW66" i="7" s="1"/>
  <c r="RXY66" i="7" s="1"/>
  <c r="RYA66" i="7" s="1"/>
  <c r="RYC66" i="7" s="1"/>
  <c r="RYE66" i="7" s="1"/>
  <c r="RYG66" i="7" s="1"/>
  <c r="RYI66" i="7" s="1"/>
  <c r="RYK66" i="7" s="1"/>
  <c r="RYM66" i="7" s="1"/>
  <c r="RYO66" i="7" s="1"/>
  <c r="RYQ66" i="7" s="1"/>
  <c r="RYS66" i="7" s="1"/>
  <c r="RYU66" i="7" s="1"/>
  <c r="RYW66" i="7" s="1"/>
  <c r="RYY66" i="7" s="1"/>
  <c r="RZA66" i="7" s="1"/>
  <c r="RZC66" i="7" s="1"/>
  <c r="RZE66" i="7" s="1"/>
  <c r="RZG66" i="7" s="1"/>
  <c r="RZI66" i="7" s="1"/>
  <c r="RZK66" i="7" s="1"/>
  <c r="RZM66" i="7" s="1"/>
  <c r="RZO66" i="7" s="1"/>
  <c r="RZQ66" i="7" s="1"/>
  <c r="RZS66" i="7" s="1"/>
  <c r="RZU66" i="7" s="1"/>
  <c r="RZW66" i="7" s="1"/>
  <c r="RZY66" i="7" s="1"/>
  <c r="SAA66" i="7" s="1"/>
  <c r="SAC66" i="7" s="1"/>
  <c r="SAE66" i="7" s="1"/>
  <c r="SAG66" i="7" s="1"/>
  <c r="SAI66" i="7" s="1"/>
  <c r="SAK66" i="7" s="1"/>
  <c r="SAM66" i="7" s="1"/>
  <c r="SAO66" i="7" s="1"/>
  <c r="SAQ66" i="7" s="1"/>
  <c r="SAS66" i="7" s="1"/>
  <c r="SAU66" i="7" s="1"/>
  <c r="SAW66" i="7" s="1"/>
  <c r="SAY66" i="7" s="1"/>
  <c r="SBA66" i="7" s="1"/>
  <c r="SBC66" i="7" s="1"/>
  <c r="SBE66" i="7" s="1"/>
  <c r="SBG66" i="7" s="1"/>
  <c r="SBI66" i="7" s="1"/>
  <c r="SBK66" i="7" s="1"/>
  <c r="SBM66" i="7" s="1"/>
  <c r="SBO66" i="7" s="1"/>
  <c r="SBQ66" i="7" s="1"/>
  <c r="SBS66" i="7" s="1"/>
  <c r="SBU66" i="7" s="1"/>
  <c r="SBW66" i="7" s="1"/>
  <c r="SBY66" i="7" s="1"/>
  <c r="SCA66" i="7" s="1"/>
  <c r="SCC66" i="7" s="1"/>
  <c r="SCE66" i="7" s="1"/>
  <c r="SCG66" i="7" s="1"/>
  <c r="SCI66" i="7" s="1"/>
  <c r="SCK66" i="7" s="1"/>
  <c r="SCM66" i="7" s="1"/>
  <c r="SCO66" i="7" s="1"/>
  <c r="SCQ66" i="7" s="1"/>
  <c r="SCS66" i="7" s="1"/>
  <c r="SCU66" i="7" s="1"/>
  <c r="SCW66" i="7" s="1"/>
  <c r="SCY66" i="7" s="1"/>
  <c r="SDA66" i="7" s="1"/>
  <c r="SDC66" i="7" s="1"/>
  <c r="SDE66" i="7" s="1"/>
  <c r="SDG66" i="7" s="1"/>
  <c r="SDI66" i="7" s="1"/>
  <c r="SDK66" i="7" s="1"/>
  <c r="SDM66" i="7" s="1"/>
  <c r="SDO66" i="7" s="1"/>
  <c r="SDQ66" i="7" s="1"/>
  <c r="SDS66" i="7" s="1"/>
  <c r="SDU66" i="7" s="1"/>
  <c r="SDW66" i="7" s="1"/>
  <c r="SDY66" i="7" s="1"/>
  <c r="SEA66" i="7" s="1"/>
  <c r="SEC66" i="7" s="1"/>
  <c r="SEE66" i="7" s="1"/>
  <c r="SEG66" i="7" s="1"/>
  <c r="SEI66" i="7" s="1"/>
  <c r="SEK66" i="7" s="1"/>
  <c r="SEM66" i="7" s="1"/>
  <c r="SEO66" i="7" s="1"/>
  <c r="SEQ66" i="7" s="1"/>
  <c r="SES66" i="7" s="1"/>
  <c r="SEU66" i="7" s="1"/>
  <c r="SEW66" i="7" s="1"/>
  <c r="SEY66" i="7" s="1"/>
  <c r="SFA66" i="7" s="1"/>
  <c r="SFC66" i="7" s="1"/>
  <c r="SFE66" i="7" s="1"/>
  <c r="SFG66" i="7" s="1"/>
  <c r="SFI66" i="7" s="1"/>
  <c r="SFK66" i="7" s="1"/>
  <c r="SFM66" i="7" s="1"/>
  <c r="SFO66" i="7" s="1"/>
  <c r="SFQ66" i="7" s="1"/>
  <c r="SFS66" i="7" s="1"/>
  <c r="SFU66" i="7" s="1"/>
  <c r="SFW66" i="7" s="1"/>
  <c r="SFY66" i="7" s="1"/>
  <c r="SGA66" i="7" s="1"/>
  <c r="SGC66" i="7" s="1"/>
  <c r="SGE66" i="7" s="1"/>
  <c r="SGG66" i="7" s="1"/>
  <c r="SGI66" i="7" s="1"/>
  <c r="SGK66" i="7" s="1"/>
  <c r="SGM66" i="7" s="1"/>
  <c r="SGO66" i="7" s="1"/>
  <c r="SGQ66" i="7" s="1"/>
  <c r="SGS66" i="7" s="1"/>
  <c r="SGU66" i="7" s="1"/>
  <c r="SGW66" i="7" s="1"/>
  <c r="SGY66" i="7" s="1"/>
  <c r="SHA66" i="7" s="1"/>
  <c r="SHC66" i="7" s="1"/>
  <c r="SHE66" i="7" s="1"/>
  <c r="SHG66" i="7" s="1"/>
  <c r="SHI66" i="7" s="1"/>
  <c r="SHK66" i="7" s="1"/>
  <c r="SHM66" i="7" s="1"/>
  <c r="SHO66" i="7" s="1"/>
  <c r="SHQ66" i="7" s="1"/>
  <c r="SHS66" i="7" s="1"/>
  <c r="SHU66" i="7" s="1"/>
  <c r="SHW66" i="7" s="1"/>
  <c r="SHY66" i="7" s="1"/>
  <c r="SIA66" i="7" s="1"/>
  <c r="SIC66" i="7" s="1"/>
  <c r="SIE66" i="7" s="1"/>
  <c r="SIG66" i="7" s="1"/>
  <c r="SII66" i="7" s="1"/>
  <c r="SIK66" i="7" s="1"/>
  <c r="SIM66" i="7" s="1"/>
  <c r="SIO66" i="7" s="1"/>
  <c r="SIQ66" i="7" s="1"/>
  <c r="SIS66" i="7" s="1"/>
  <c r="SIU66" i="7" s="1"/>
  <c r="SIW66" i="7" s="1"/>
  <c r="SIY66" i="7" s="1"/>
  <c r="SJA66" i="7" s="1"/>
  <c r="SJC66" i="7" s="1"/>
  <c r="SJE66" i="7" s="1"/>
  <c r="SJG66" i="7" s="1"/>
  <c r="SJI66" i="7" s="1"/>
  <c r="SJK66" i="7" s="1"/>
  <c r="SJM66" i="7" s="1"/>
  <c r="SJO66" i="7" s="1"/>
  <c r="SJQ66" i="7" s="1"/>
  <c r="SJS66" i="7" s="1"/>
  <c r="SJU66" i="7" s="1"/>
  <c r="SJW66" i="7" s="1"/>
  <c r="SJY66" i="7" s="1"/>
  <c r="SKA66" i="7" s="1"/>
  <c r="SKC66" i="7" s="1"/>
  <c r="SKE66" i="7" s="1"/>
  <c r="SKG66" i="7" s="1"/>
  <c r="SKI66" i="7" s="1"/>
  <c r="SKK66" i="7" s="1"/>
  <c r="SKM66" i="7" s="1"/>
  <c r="SKO66" i="7" s="1"/>
  <c r="SKQ66" i="7" s="1"/>
  <c r="SKS66" i="7" s="1"/>
  <c r="SKU66" i="7" s="1"/>
  <c r="SKW66" i="7" s="1"/>
  <c r="SKY66" i="7" s="1"/>
  <c r="SLA66" i="7" s="1"/>
  <c r="SLC66" i="7" s="1"/>
  <c r="SLE66" i="7" s="1"/>
  <c r="SLG66" i="7" s="1"/>
  <c r="SLI66" i="7" s="1"/>
  <c r="SLK66" i="7" s="1"/>
  <c r="SLM66" i="7" s="1"/>
  <c r="SLO66" i="7" s="1"/>
  <c r="SLQ66" i="7" s="1"/>
  <c r="SLS66" i="7" s="1"/>
  <c r="SLU66" i="7" s="1"/>
  <c r="SLW66" i="7" s="1"/>
  <c r="SLY66" i="7" s="1"/>
  <c r="SMA66" i="7" s="1"/>
  <c r="SMC66" i="7" s="1"/>
  <c r="SME66" i="7" s="1"/>
  <c r="SMG66" i="7" s="1"/>
  <c r="SMI66" i="7" s="1"/>
  <c r="SMK66" i="7" s="1"/>
  <c r="SMM66" i="7" s="1"/>
  <c r="SMO66" i="7" s="1"/>
  <c r="SMQ66" i="7" s="1"/>
  <c r="SMS66" i="7" s="1"/>
  <c r="SMU66" i="7" s="1"/>
  <c r="SMW66" i="7" s="1"/>
  <c r="SMY66" i="7" s="1"/>
  <c r="SNA66" i="7" s="1"/>
  <c r="SNC66" i="7" s="1"/>
  <c r="SNE66" i="7" s="1"/>
  <c r="SNG66" i="7" s="1"/>
  <c r="SNI66" i="7" s="1"/>
  <c r="SNK66" i="7" s="1"/>
  <c r="SNM66" i="7" s="1"/>
  <c r="SNO66" i="7" s="1"/>
  <c r="SNQ66" i="7" s="1"/>
  <c r="SNS66" i="7" s="1"/>
  <c r="SNU66" i="7" s="1"/>
  <c r="SNW66" i="7" s="1"/>
  <c r="SNY66" i="7" s="1"/>
  <c r="SOA66" i="7" s="1"/>
  <c r="SOC66" i="7" s="1"/>
  <c r="SOE66" i="7" s="1"/>
  <c r="SOG66" i="7" s="1"/>
  <c r="SOI66" i="7" s="1"/>
  <c r="SOK66" i="7" s="1"/>
  <c r="SOM66" i="7" s="1"/>
  <c r="SOO66" i="7" s="1"/>
  <c r="SOQ66" i="7" s="1"/>
  <c r="SOS66" i="7" s="1"/>
  <c r="SOU66" i="7" s="1"/>
  <c r="SOW66" i="7" s="1"/>
  <c r="SOY66" i="7" s="1"/>
  <c r="SPA66" i="7" s="1"/>
  <c r="SPC66" i="7" s="1"/>
  <c r="SPE66" i="7" s="1"/>
  <c r="SPG66" i="7" s="1"/>
  <c r="SPI66" i="7" s="1"/>
  <c r="SPK66" i="7" s="1"/>
  <c r="SPM66" i="7" s="1"/>
  <c r="SPO66" i="7" s="1"/>
  <c r="SPQ66" i="7" s="1"/>
  <c r="SPS66" i="7" s="1"/>
  <c r="SPU66" i="7" s="1"/>
  <c r="SPW66" i="7" s="1"/>
  <c r="SPY66" i="7" s="1"/>
  <c r="SQA66" i="7" s="1"/>
  <c r="SQC66" i="7" s="1"/>
  <c r="SQE66" i="7" s="1"/>
  <c r="SQG66" i="7" s="1"/>
  <c r="SQI66" i="7" s="1"/>
  <c r="SQK66" i="7" s="1"/>
  <c r="SQM66" i="7" s="1"/>
  <c r="SQO66" i="7" s="1"/>
  <c r="SQQ66" i="7" s="1"/>
  <c r="SQS66" i="7" s="1"/>
  <c r="SQU66" i="7" s="1"/>
  <c r="SQW66" i="7" s="1"/>
  <c r="SQY66" i="7" s="1"/>
  <c r="SRA66" i="7" s="1"/>
  <c r="SRC66" i="7" s="1"/>
  <c r="SRE66" i="7" s="1"/>
  <c r="SRG66" i="7" s="1"/>
  <c r="SRI66" i="7" s="1"/>
  <c r="SRK66" i="7" s="1"/>
  <c r="SRM66" i="7" s="1"/>
  <c r="SRO66" i="7" s="1"/>
  <c r="SRQ66" i="7" s="1"/>
  <c r="SRS66" i="7" s="1"/>
  <c r="SRU66" i="7" s="1"/>
  <c r="SRW66" i="7" s="1"/>
  <c r="SRY66" i="7" s="1"/>
  <c r="SSA66" i="7" s="1"/>
  <c r="SSC66" i="7" s="1"/>
  <c r="SSE66" i="7" s="1"/>
  <c r="SSG66" i="7" s="1"/>
  <c r="SSI66" i="7" s="1"/>
  <c r="SSK66" i="7" s="1"/>
  <c r="SSM66" i="7" s="1"/>
  <c r="SSO66" i="7" s="1"/>
  <c r="SSQ66" i="7" s="1"/>
  <c r="SSS66" i="7" s="1"/>
  <c r="SSU66" i="7" s="1"/>
  <c r="SSW66" i="7" s="1"/>
  <c r="SSY66" i="7" s="1"/>
  <c r="STA66" i="7" s="1"/>
  <c r="STC66" i="7" s="1"/>
  <c r="STE66" i="7" s="1"/>
  <c r="STG66" i="7" s="1"/>
  <c r="STI66" i="7" s="1"/>
  <c r="STK66" i="7" s="1"/>
  <c r="STM66" i="7" s="1"/>
  <c r="STO66" i="7" s="1"/>
  <c r="STQ66" i="7" s="1"/>
  <c r="STS66" i="7" s="1"/>
  <c r="STU66" i="7" s="1"/>
  <c r="STW66" i="7" s="1"/>
  <c r="STY66" i="7" s="1"/>
  <c r="SUA66" i="7" s="1"/>
  <c r="SUC66" i="7" s="1"/>
  <c r="SUE66" i="7" s="1"/>
  <c r="SUG66" i="7" s="1"/>
  <c r="SUI66" i="7" s="1"/>
  <c r="SUK66" i="7" s="1"/>
  <c r="SUM66" i="7" s="1"/>
  <c r="SUO66" i="7" s="1"/>
  <c r="SUQ66" i="7" s="1"/>
  <c r="SUS66" i="7" s="1"/>
  <c r="SUU66" i="7" s="1"/>
  <c r="SUW66" i="7" s="1"/>
  <c r="SUY66" i="7" s="1"/>
  <c r="SVA66" i="7" s="1"/>
  <c r="SVC66" i="7" s="1"/>
  <c r="SVE66" i="7" s="1"/>
  <c r="SVG66" i="7" s="1"/>
  <c r="SVI66" i="7" s="1"/>
  <c r="SVK66" i="7" s="1"/>
  <c r="SVM66" i="7" s="1"/>
  <c r="SVO66" i="7" s="1"/>
  <c r="SVQ66" i="7" s="1"/>
  <c r="SVS66" i="7" s="1"/>
  <c r="SVU66" i="7" s="1"/>
  <c r="SVW66" i="7" s="1"/>
  <c r="SVY66" i="7" s="1"/>
  <c r="SWA66" i="7" s="1"/>
  <c r="SWC66" i="7" s="1"/>
  <c r="SWE66" i="7" s="1"/>
  <c r="SWG66" i="7" s="1"/>
  <c r="SWI66" i="7" s="1"/>
  <c r="SWK66" i="7" s="1"/>
  <c r="SWM66" i="7" s="1"/>
  <c r="SWO66" i="7" s="1"/>
  <c r="SWQ66" i="7" s="1"/>
  <c r="SWS66" i="7" s="1"/>
  <c r="SWU66" i="7" s="1"/>
  <c r="SWW66" i="7" s="1"/>
  <c r="SWY66" i="7" s="1"/>
  <c r="SXA66" i="7" s="1"/>
  <c r="SXC66" i="7" s="1"/>
  <c r="SXE66" i="7" s="1"/>
  <c r="SXG66" i="7" s="1"/>
  <c r="SXI66" i="7" s="1"/>
  <c r="SXK66" i="7" s="1"/>
  <c r="SXM66" i="7" s="1"/>
  <c r="SXO66" i="7" s="1"/>
  <c r="SXQ66" i="7" s="1"/>
  <c r="SXS66" i="7" s="1"/>
  <c r="SXU66" i="7" s="1"/>
  <c r="SXW66" i="7" s="1"/>
  <c r="SXY66" i="7" s="1"/>
  <c r="SYA66" i="7" s="1"/>
  <c r="SYC66" i="7" s="1"/>
  <c r="SYE66" i="7" s="1"/>
  <c r="SYG66" i="7" s="1"/>
  <c r="SYI66" i="7" s="1"/>
  <c r="SYK66" i="7" s="1"/>
  <c r="SYM66" i="7" s="1"/>
  <c r="SYO66" i="7" s="1"/>
  <c r="SYQ66" i="7" s="1"/>
  <c r="SYS66" i="7" s="1"/>
  <c r="SYU66" i="7" s="1"/>
  <c r="SYW66" i="7" s="1"/>
  <c r="SYY66" i="7" s="1"/>
  <c r="SZA66" i="7" s="1"/>
  <c r="SZC66" i="7" s="1"/>
  <c r="SZE66" i="7" s="1"/>
  <c r="SZG66" i="7" s="1"/>
  <c r="SZI66" i="7" s="1"/>
  <c r="SZK66" i="7" s="1"/>
  <c r="SZM66" i="7" s="1"/>
  <c r="SZO66" i="7" s="1"/>
  <c r="SZQ66" i="7" s="1"/>
  <c r="SZS66" i="7" s="1"/>
  <c r="SZU66" i="7" s="1"/>
  <c r="SZW66" i="7" s="1"/>
  <c r="SZY66" i="7" s="1"/>
  <c r="TAA66" i="7" s="1"/>
  <c r="TAC66" i="7" s="1"/>
  <c r="TAE66" i="7" s="1"/>
  <c r="TAG66" i="7" s="1"/>
  <c r="TAI66" i="7" s="1"/>
  <c r="TAK66" i="7" s="1"/>
  <c r="TAM66" i="7" s="1"/>
  <c r="TAO66" i="7" s="1"/>
  <c r="TAQ66" i="7" s="1"/>
  <c r="TAS66" i="7" s="1"/>
  <c r="TAU66" i="7" s="1"/>
  <c r="TAW66" i="7" s="1"/>
  <c r="TAY66" i="7" s="1"/>
  <c r="TBA66" i="7" s="1"/>
  <c r="TBC66" i="7" s="1"/>
  <c r="TBE66" i="7" s="1"/>
  <c r="TBG66" i="7" s="1"/>
  <c r="TBI66" i="7" s="1"/>
  <c r="TBK66" i="7" s="1"/>
  <c r="TBM66" i="7" s="1"/>
  <c r="TBO66" i="7" s="1"/>
  <c r="TBQ66" i="7" s="1"/>
  <c r="TBS66" i="7" s="1"/>
  <c r="TBU66" i="7" s="1"/>
  <c r="TBW66" i="7" s="1"/>
  <c r="TBY66" i="7" s="1"/>
  <c r="TCA66" i="7" s="1"/>
  <c r="TCC66" i="7" s="1"/>
  <c r="TCE66" i="7" s="1"/>
  <c r="TCG66" i="7" s="1"/>
  <c r="TCI66" i="7" s="1"/>
  <c r="TCK66" i="7" s="1"/>
  <c r="TCM66" i="7" s="1"/>
  <c r="TCO66" i="7" s="1"/>
  <c r="TCQ66" i="7" s="1"/>
  <c r="TCS66" i="7" s="1"/>
  <c r="TCU66" i="7" s="1"/>
  <c r="TCW66" i="7" s="1"/>
  <c r="TCY66" i="7" s="1"/>
  <c r="TDA66" i="7" s="1"/>
  <c r="TDC66" i="7" s="1"/>
  <c r="TDE66" i="7" s="1"/>
  <c r="TDG66" i="7" s="1"/>
  <c r="TDI66" i="7" s="1"/>
  <c r="TDK66" i="7" s="1"/>
  <c r="TDM66" i="7" s="1"/>
  <c r="TDO66" i="7" s="1"/>
  <c r="TDQ66" i="7" s="1"/>
  <c r="TDS66" i="7" s="1"/>
  <c r="TDU66" i="7" s="1"/>
  <c r="TDW66" i="7" s="1"/>
  <c r="TDY66" i="7" s="1"/>
  <c r="TEA66" i="7" s="1"/>
  <c r="TEC66" i="7" s="1"/>
  <c r="TEE66" i="7" s="1"/>
  <c r="TEG66" i="7" s="1"/>
  <c r="TEI66" i="7" s="1"/>
  <c r="TEK66" i="7" s="1"/>
  <c r="TEM66" i="7" s="1"/>
  <c r="TEO66" i="7" s="1"/>
  <c r="TEQ66" i="7" s="1"/>
  <c r="TES66" i="7" s="1"/>
  <c r="TEU66" i="7" s="1"/>
  <c r="TEW66" i="7" s="1"/>
  <c r="TEY66" i="7" s="1"/>
  <c r="TFA66" i="7" s="1"/>
  <c r="TFC66" i="7" s="1"/>
  <c r="TFE66" i="7" s="1"/>
  <c r="TFG66" i="7" s="1"/>
  <c r="TFI66" i="7" s="1"/>
  <c r="TFK66" i="7" s="1"/>
  <c r="TFM66" i="7" s="1"/>
  <c r="TFO66" i="7" s="1"/>
  <c r="TFQ66" i="7" s="1"/>
  <c r="TFS66" i="7" s="1"/>
  <c r="TFU66" i="7" s="1"/>
  <c r="TFW66" i="7" s="1"/>
  <c r="TFY66" i="7" s="1"/>
  <c r="TGA66" i="7" s="1"/>
  <c r="TGC66" i="7" s="1"/>
  <c r="TGE66" i="7" s="1"/>
  <c r="TGG66" i="7" s="1"/>
  <c r="TGI66" i="7" s="1"/>
  <c r="TGK66" i="7" s="1"/>
  <c r="TGM66" i="7" s="1"/>
  <c r="TGO66" i="7" s="1"/>
  <c r="TGQ66" i="7" s="1"/>
  <c r="TGS66" i="7" s="1"/>
  <c r="TGU66" i="7" s="1"/>
  <c r="TGW66" i="7" s="1"/>
  <c r="TGY66" i="7" s="1"/>
  <c r="THA66" i="7" s="1"/>
  <c r="THC66" i="7" s="1"/>
  <c r="THE66" i="7" s="1"/>
  <c r="THG66" i="7" s="1"/>
  <c r="THI66" i="7" s="1"/>
  <c r="THK66" i="7" s="1"/>
  <c r="THM66" i="7" s="1"/>
  <c r="THO66" i="7" s="1"/>
  <c r="THQ66" i="7" s="1"/>
  <c r="THS66" i="7" s="1"/>
  <c r="THU66" i="7" s="1"/>
  <c r="THW66" i="7" s="1"/>
  <c r="THY66" i="7" s="1"/>
  <c r="TIA66" i="7" s="1"/>
  <c r="TIC66" i="7" s="1"/>
  <c r="TIE66" i="7" s="1"/>
  <c r="TIG66" i="7" s="1"/>
  <c r="TII66" i="7" s="1"/>
  <c r="TIK66" i="7" s="1"/>
  <c r="TIM66" i="7" s="1"/>
  <c r="TIO66" i="7" s="1"/>
  <c r="TIQ66" i="7" s="1"/>
  <c r="TIS66" i="7" s="1"/>
  <c r="TIU66" i="7" s="1"/>
  <c r="TIW66" i="7" s="1"/>
  <c r="TIY66" i="7" s="1"/>
  <c r="TJA66" i="7" s="1"/>
  <c r="TJC66" i="7" s="1"/>
  <c r="TJE66" i="7" s="1"/>
  <c r="TJG66" i="7" s="1"/>
  <c r="TJI66" i="7" s="1"/>
  <c r="TJK66" i="7" s="1"/>
  <c r="TJM66" i="7" s="1"/>
  <c r="TJO66" i="7" s="1"/>
  <c r="TJQ66" i="7" s="1"/>
  <c r="TJS66" i="7" s="1"/>
  <c r="TJU66" i="7" s="1"/>
  <c r="TJW66" i="7" s="1"/>
  <c r="TJY66" i="7" s="1"/>
  <c r="TKA66" i="7" s="1"/>
  <c r="TKC66" i="7" s="1"/>
  <c r="TKE66" i="7" s="1"/>
  <c r="TKG66" i="7" s="1"/>
  <c r="TKI66" i="7" s="1"/>
  <c r="TKK66" i="7" s="1"/>
  <c r="TKM66" i="7" s="1"/>
  <c r="TKO66" i="7" s="1"/>
  <c r="TKQ66" i="7" s="1"/>
  <c r="TKS66" i="7" s="1"/>
  <c r="TKU66" i="7" s="1"/>
  <c r="TKW66" i="7" s="1"/>
  <c r="TKY66" i="7" s="1"/>
  <c r="TLA66" i="7" s="1"/>
  <c r="TLC66" i="7" s="1"/>
  <c r="TLE66" i="7" s="1"/>
  <c r="TLG66" i="7" s="1"/>
  <c r="TLI66" i="7" s="1"/>
  <c r="TLK66" i="7" s="1"/>
  <c r="TLM66" i="7" s="1"/>
  <c r="TLO66" i="7" s="1"/>
  <c r="TLQ66" i="7" s="1"/>
  <c r="TLS66" i="7" s="1"/>
  <c r="TLU66" i="7" s="1"/>
  <c r="TLW66" i="7" s="1"/>
  <c r="TLY66" i="7" s="1"/>
  <c r="TMA66" i="7" s="1"/>
  <c r="TMC66" i="7" s="1"/>
  <c r="TME66" i="7" s="1"/>
  <c r="TMG66" i="7" s="1"/>
  <c r="TMI66" i="7" s="1"/>
  <c r="TMK66" i="7" s="1"/>
  <c r="TMM66" i="7" s="1"/>
  <c r="TMO66" i="7" s="1"/>
  <c r="TMQ66" i="7" s="1"/>
  <c r="TMS66" i="7" s="1"/>
  <c r="TMU66" i="7" s="1"/>
  <c r="TMW66" i="7" s="1"/>
  <c r="TMY66" i="7" s="1"/>
  <c r="TNA66" i="7" s="1"/>
  <c r="TNC66" i="7" s="1"/>
  <c r="TNE66" i="7" s="1"/>
  <c r="TNG66" i="7" s="1"/>
  <c r="TNI66" i="7" s="1"/>
  <c r="TNK66" i="7" s="1"/>
  <c r="TNM66" i="7" s="1"/>
  <c r="TNO66" i="7" s="1"/>
  <c r="TNQ66" i="7" s="1"/>
  <c r="TNS66" i="7" s="1"/>
  <c r="TNU66" i="7" s="1"/>
  <c r="TNW66" i="7" s="1"/>
  <c r="TNY66" i="7" s="1"/>
  <c r="TOA66" i="7" s="1"/>
  <c r="TOC66" i="7" s="1"/>
  <c r="TOE66" i="7" s="1"/>
  <c r="TOG66" i="7" s="1"/>
  <c r="TOI66" i="7" s="1"/>
  <c r="TOK66" i="7" s="1"/>
  <c r="TOM66" i="7" s="1"/>
  <c r="TOO66" i="7" s="1"/>
  <c r="TOQ66" i="7" s="1"/>
  <c r="TOS66" i="7" s="1"/>
  <c r="TOU66" i="7" s="1"/>
  <c r="TOW66" i="7" s="1"/>
  <c r="TOY66" i="7" s="1"/>
  <c r="TPA66" i="7" s="1"/>
  <c r="TPC66" i="7" s="1"/>
  <c r="TPE66" i="7" s="1"/>
  <c r="TPG66" i="7" s="1"/>
  <c r="TPI66" i="7" s="1"/>
  <c r="TPK66" i="7" s="1"/>
  <c r="TPM66" i="7" s="1"/>
  <c r="TPO66" i="7" s="1"/>
  <c r="TPQ66" i="7" s="1"/>
  <c r="TPS66" i="7" s="1"/>
  <c r="TPU66" i="7" s="1"/>
  <c r="TPW66" i="7" s="1"/>
  <c r="TPY66" i="7" s="1"/>
  <c r="TQA66" i="7" s="1"/>
  <c r="TQC66" i="7" s="1"/>
  <c r="TQE66" i="7" s="1"/>
  <c r="TQG66" i="7" s="1"/>
  <c r="TQI66" i="7" s="1"/>
  <c r="TQK66" i="7" s="1"/>
  <c r="TQM66" i="7" s="1"/>
  <c r="TQO66" i="7" s="1"/>
  <c r="TQQ66" i="7" s="1"/>
  <c r="TQS66" i="7" s="1"/>
  <c r="TQU66" i="7" s="1"/>
  <c r="TQW66" i="7" s="1"/>
  <c r="TQY66" i="7" s="1"/>
  <c r="TRA66" i="7" s="1"/>
  <c r="TRC66" i="7" s="1"/>
  <c r="TRE66" i="7" s="1"/>
  <c r="TRG66" i="7" s="1"/>
  <c r="TRI66" i="7" s="1"/>
  <c r="TRK66" i="7" s="1"/>
  <c r="TRM66" i="7" s="1"/>
  <c r="TRO66" i="7" s="1"/>
  <c r="TRQ66" i="7" s="1"/>
  <c r="TRS66" i="7" s="1"/>
  <c r="TRU66" i="7" s="1"/>
  <c r="TRW66" i="7" s="1"/>
  <c r="TRY66" i="7" s="1"/>
  <c r="TSA66" i="7" s="1"/>
  <c r="TSC66" i="7" s="1"/>
  <c r="TSE66" i="7" s="1"/>
  <c r="TSG66" i="7" s="1"/>
  <c r="TSI66" i="7" s="1"/>
  <c r="TSK66" i="7" s="1"/>
  <c r="TSM66" i="7" s="1"/>
  <c r="TSO66" i="7" s="1"/>
  <c r="TSQ66" i="7" s="1"/>
  <c r="TSS66" i="7" s="1"/>
  <c r="TSU66" i="7" s="1"/>
  <c r="TSW66" i="7" s="1"/>
  <c r="TSY66" i="7" s="1"/>
  <c r="TTA66" i="7" s="1"/>
  <c r="TTC66" i="7" s="1"/>
  <c r="TTE66" i="7" s="1"/>
  <c r="TTG66" i="7" s="1"/>
  <c r="TTI66" i="7" s="1"/>
  <c r="TTK66" i="7" s="1"/>
  <c r="TTM66" i="7" s="1"/>
  <c r="TTO66" i="7" s="1"/>
  <c r="TTQ66" i="7" s="1"/>
  <c r="TTS66" i="7" s="1"/>
  <c r="TTU66" i="7" s="1"/>
  <c r="TTW66" i="7" s="1"/>
  <c r="TTY66" i="7" s="1"/>
  <c r="TUA66" i="7" s="1"/>
  <c r="TUC66" i="7" s="1"/>
  <c r="TUE66" i="7" s="1"/>
  <c r="TUG66" i="7" s="1"/>
  <c r="TUI66" i="7" s="1"/>
  <c r="TUK66" i="7" s="1"/>
  <c r="TUM66" i="7" s="1"/>
  <c r="TUO66" i="7" s="1"/>
  <c r="TUQ66" i="7" s="1"/>
  <c r="TUS66" i="7" s="1"/>
  <c r="TUU66" i="7" s="1"/>
  <c r="TUW66" i="7" s="1"/>
  <c r="TUY66" i="7" s="1"/>
  <c r="TVA66" i="7" s="1"/>
  <c r="TVC66" i="7" s="1"/>
  <c r="TVE66" i="7" s="1"/>
  <c r="TVG66" i="7" s="1"/>
  <c r="TVI66" i="7" s="1"/>
  <c r="TVK66" i="7" s="1"/>
  <c r="TVM66" i="7" s="1"/>
  <c r="TVO66" i="7" s="1"/>
  <c r="TVQ66" i="7" s="1"/>
  <c r="TVS66" i="7" s="1"/>
  <c r="TVU66" i="7" s="1"/>
  <c r="TVW66" i="7" s="1"/>
  <c r="TVY66" i="7" s="1"/>
  <c r="TWA66" i="7" s="1"/>
  <c r="TWC66" i="7" s="1"/>
  <c r="TWE66" i="7" s="1"/>
  <c r="TWG66" i="7" s="1"/>
  <c r="TWI66" i="7" s="1"/>
  <c r="TWK66" i="7" s="1"/>
  <c r="TWM66" i="7" s="1"/>
  <c r="TWO66" i="7" s="1"/>
  <c r="TWQ66" i="7" s="1"/>
  <c r="TWS66" i="7" s="1"/>
  <c r="TWU66" i="7" s="1"/>
  <c r="TWW66" i="7" s="1"/>
  <c r="TWY66" i="7" s="1"/>
  <c r="TXA66" i="7" s="1"/>
  <c r="TXC66" i="7" s="1"/>
  <c r="TXE66" i="7" s="1"/>
  <c r="TXG66" i="7" s="1"/>
  <c r="TXI66" i="7" s="1"/>
  <c r="TXK66" i="7" s="1"/>
  <c r="TXM66" i="7" s="1"/>
  <c r="TXO66" i="7" s="1"/>
  <c r="TXQ66" i="7" s="1"/>
  <c r="TXS66" i="7" s="1"/>
  <c r="TXU66" i="7" s="1"/>
  <c r="TXW66" i="7" s="1"/>
  <c r="TXY66" i="7" s="1"/>
  <c r="TYA66" i="7" s="1"/>
  <c r="TYC66" i="7" s="1"/>
  <c r="TYE66" i="7" s="1"/>
  <c r="TYG66" i="7" s="1"/>
  <c r="TYI66" i="7" s="1"/>
  <c r="TYK66" i="7" s="1"/>
  <c r="TYM66" i="7" s="1"/>
  <c r="TYO66" i="7" s="1"/>
  <c r="TYQ66" i="7" s="1"/>
  <c r="TYS66" i="7" s="1"/>
  <c r="TYU66" i="7" s="1"/>
  <c r="TYW66" i="7" s="1"/>
  <c r="TYY66" i="7" s="1"/>
  <c r="TZA66" i="7" s="1"/>
  <c r="TZC66" i="7" s="1"/>
  <c r="TZE66" i="7" s="1"/>
  <c r="TZG66" i="7" s="1"/>
  <c r="TZI66" i="7" s="1"/>
  <c r="TZK66" i="7" s="1"/>
  <c r="TZM66" i="7" s="1"/>
  <c r="TZO66" i="7" s="1"/>
  <c r="TZQ66" i="7" s="1"/>
  <c r="TZS66" i="7" s="1"/>
  <c r="TZU66" i="7" s="1"/>
  <c r="TZW66" i="7" s="1"/>
  <c r="TZY66" i="7" s="1"/>
  <c r="UAA66" i="7" s="1"/>
  <c r="UAC66" i="7" s="1"/>
  <c r="UAE66" i="7" s="1"/>
  <c r="UAG66" i="7" s="1"/>
  <c r="UAI66" i="7" s="1"/>
  <c r="UAK66" i="7" s="1"/>
  <c r="UAM66" i="7" s="1"/>
  <c r="UAO66" i="7" s="1"/>
  <c r="UAQ66" i="7" s="1"/>
  <c r="UAS66" i="7" s="1"/>
  <c r="UAU66" i="7" s="1"/>
  <c r="UAW66" i="7" s="1"/>
  <c r="UAY66" i="7" s="1"/>
  <c r="UBA66" i="7" s="1"/>
  <c r="UBC66" i="7" s="1"/>
  <c r="UBE66" i="7" s="1"/>
  <c r="UBG66" i="7" s="1"/>
  <c r="UBI66" i="7" s="1"/>
  <c r="UBK66" i="7" s="1"/>
  <c r="UBM66" i="7" s="1"/>
  <c r="UBO66" i="7" s="1"/>
  <c r="UBQ66" i="7" s="1"/>
  <c r="UBS66" i="7" s="1"/>
  <c r="UBU66" i="7" s="1"/>
  <c r="UBW66" i="7" s="1"/>
  <c r="UBY66" i="7" s="1"/>
  <c r="UCA66" i="7" s="1"/>
  <c r="UCC66" i="7" s="1"/>
  <c r="UCE66" i="7" s="1"/>
  <c r="UCG66" i="7" s="1"/>
  <c r="UCI66" i="7" s="1"/>
  <c r="UCK66" i="7" s="1"/>
  <c r="UCM66" i="7" s="1"/>
  <c r="UCO66" i="7" s="1"/>
  <c r="UCQ66" i="7" s="1"/>
  <c r="UCS66" i="7" s="1"/>
  <c r="UCU66" i="7" s="1"/>
  <c r="UCW66" i="7" s="1"/>
  <c r="UCY66" i="7" s="1"/>
  <c r="UDA66" i="7" s="1"/>
  <c r="UDC66" i="7" s="1"/>
  <c r="UDE66" i="7" s="1"/>
  <c r="UDG66" i="7" s="1"/>
  <c r="UDI66" i="7" s="1"/>
  <c r="UDK66" i="7" s="1"/>
  <c r="UDM66" i="7" s="1"/>
  <c r="UDO66" i="7" s="1"/>
  <c r="UDQ66" i="7" s="1"/>
  <c r="UDS66" i="7" s="1"/>
  <c r="UDU66" i="7" s="1"/>
  <c r="UDW66" i="7" s="1"/>
  <c r="UDY66" i="7" s="1"/>
  <c r="UEA66" i="7" s="1"/>
  <c r="UEC66" i="7" s="1"/>
  <c r="UEE66" i="7" s="1"/>
  <c r="UEG66" i="7" s="1"/>
  <c r="UEI66" i="7" s="1"/>
  <c r="UEK66" i="7" s="1"/>
  <c r="UEM66" i="7" s="1"/>
  <c r="UEO66" i="7" s="1"/>
  <c r="UEQ66" i="7" s="1"/>
  <c r="UES66" i="7" s="1"/>
  <c r="UEU66" i="7" s="1"/>
  <c r="UEW66" i="7" s="1"/>
  <c r="UEY66" i="7" s="1"/>
  <c r="UFA66" i="7" s="1"/>
  <c r="UFC66" i="7" s="1"/>
  <c r="UFE66" i="7" s="1"/>
  <c r="UFG66" i="7" s="1"/>
  <c r="UFI66" i="7" s="1"/>
  <c r="UFK66" i="7" s="1"/>
  <c r="UFM66" i="7" s="1"/>
  <c r="UFO66" i="7" s="1"/>
  <c r="UFQ66" i="7" s="1"/>
  <c r="UFS66" i="7" s="1"/>
  <c r="UFU66" i="7" s="1"/>
  <c r="UFW66" i="7" s="1"/>
  <c r="UFY66" i="7" s="1"/>
  <c r="UGA66" i="7" s="1"/>
  <c r="UGC66" i="7" s="1"/>
  <c r="UGE66" i="7" s="1"/>
  <c r="UGG66" i="7" s="1"/>
  <c r="UGI66" i="7" s="1"/>
  <c r="UGK66" i="7" s="1"/>
  <c r="UGM66" i="7" s="1"/>
  <c r="UGO66" i="7" s="1"/>
  <c r="UGQ66" i="7" s="1"/>
  <c r="UGS66" i="7" s="1"/>
  <c r="UGU66" i="7" s="1"/>
  <c r="UGW66" i="7" s="1"/>
  <c r="UGY66" i="7" s="1"/>
  <c r="UHA66" i="7" s="1"/>
  <c r="UHC66" i="7" s="1"/>
  <c r="UHE66" i="7" s="1"/>
  <c r="UHG66" i="7" s="1"/>
  <c r="UHI66" i="7" s="1"/>
  <c r="UHK66" i="7" s="1"/>
  <c r="UHM66" i="7" s="1"/>
  <c r="UHO66" i="7" s="1"/>
  <c r="UHQ66" i="7" s="1"/>
  <c r="UHS66" i="7" s="1"/>
  <c r="UHU66" i="7" s="1"/>
  <c r="UHW66" i="7" s="1"/>
  <c r="UHY66" i="7" s="1"/>
  <c r="UIA66" i="7" s="1"/>
  <c r="UIC66" i="7" s="1"/>
  <c r="UIE66" i="7" s="1"/>
  <c r="UIG66" i="7" s="1"/>
  <c r="UII66" i="7" s="1"/>
  <c r="UIK66" i="7" s="1"/>
  <c r="UIM66" i="7" s="1"/>
  <c r="UIO66" i="7" s="1"/>
  <c r="UIQ66" i="7" s="1"/>
  <c r="UIS66" i="7" s="1"/>
  <c r="UIU66" i="7" s="1"/>
  <c r="UIW66" i="7" s="1"/>
  <c r="UIY66" i="7" s="1"/>
  <c r="UJA66" i="7" s="1"/>
  <c r="UJC66" i="7" s="1"/>
  <c r="UJE66" i="7" s="1"/>
  <c r="UJG66" i="7" s="1"/>
  <c r="UJI66" i="7" s="1"/>
  <c r="UJK66" i="7" s="1"/>
  <c r="UJM66" i="7" s="1"/>
  <c r="UJO66" i="7" s="1"/>
  <c r="UJQ66" i="7" s="1"/>
  <c r="UJS66" i="7" s="1"/>
  <c r="UJU66" i="7" s="1"/>
  <c r="UJW66" i="7" s="1"/>
  <c r="UJY66" i="7" s="1"/>
  <c r="UKA66" i="7" s="1"/>
  <c r="UKC66" i="7" s="1"/>
  <c r="UKE66" i="7" s="1"/>
  <c r="UKG66" i="7" s="1"/>
  <c r="UKI66" i="7" s="1"/>
  <c r="UKK66" i="7" s="1"/>
  <c r="UKM66" i="7" s="1"/>
  <c r="UKO66" i="7" s="1"/>
  <c r="UKQ66" i="7" s="1"/>
  <c r="UKS66" i="7" s="1"/>
  <c r="UKU66" i="7" s="1"/>
  <c r="UKW66" i="7" s="1"/>
  <c r="UKY66" i="7" s="1"/>
  <c r="ULA66" i="7" s="1"/>
  <c r="ULC66" i="7" s="1"/>
  <c r="ULE66" i="7" s="1"/>
  <c r="ULG66" i="7" s="1"/>
  <c r="ULI66" i="7" s="1"/>
  <c r="ULK66" i="7" s="1"/>
  <c r="ULM66" i="7" s="1"/>
  <c r="ULO66" i="7" s="1"/>
  <c r="ULQ66" i="7" s="1"/>
  <c r="ULS66" i="7" s="1"/>
  <c r="ULU66" i="7" s="1"/>
  <c r="ULW66" i="7" s="1"/>
  <c r="ULY66" i="7" s="1"/>
  <c r="UMA66" i="7" s="1"/>
  <c r="UMC66" i="7" s="1"/>
  <c r="UME66" i="7" s="1"/>
  <c r="UMG66" i="7" s="1"/>
  <c r="UMI66" i="7" s="1"/>
  <c r="UMK66" i="7" s="1"/>
  <c r="UMM66" i="7" s="1"/>
  <c r="UMO66" i="7" s="1"/>
  <c r="UMQ66" i="7" s="1"/>
  <c r="UMS66" i="7" s="1"/>
  <c r="UMU66" i="7" s="1"/>
  <c r="UMW66" i="7" s="1"/>
  <c r="UMY66" i="7" s="1"/>
  <c r="UNA66" i="7" s="1"/>
  <c r="UNC66" i="7" s="1"/>
  <c r="UNE66" i="7" s="1"/>
  <c r="UNG66" i="7" s="1"/>
  <c r="UNI66" i="7" s="1"/>
  <c r="UNK66" i="7" s="1"/>
  <c r="UNM66" i="7" s="1"/>
  <c r="UNO66" i="7" s="1"/>
  <c r="UNQ66" i="7" s="1"/>
  <c r="UNS66" i="7" s="1"/>
  <c r="UNU66" i="7" s="1"/>
  <c r="UNW66" i="7" s="1"/>
  <c r="UNY66" i="7" s="1"/>
  <c r="UOA66" i="7" s="1"/>
  <c r="UOC66" i="7" s="1"/>
  <c r="UOE66" i="7" s="1"/>
  <c r="UOG66" i="7" s="1"/>
  <c r="UOI66" i="7" s="1"/>
  <c r="UOK66" i="7" s="1"/>
  <c r="UOM66" i="7" s="1"/>
  <c r="UOO66" i="7" s="1"/>
  <c r="UOQ66" i="7" s="1"/>
  <c r="UOS66" i="7" s="1"/>
  <c r="UOU66" i="7" s="1"/>
  <c r="UOW66" i="7" s="1"/>
  <c r="UOY66" i="7" s="1"/>
  <c r="UPA66" i="7" s="1"/>
  <c r="UPC66" i="7" s="1"/>
  <c r="UPE66" i="7" s="1"/>
  <c r="UPG66" i="7" s="1"/>
  <c r="UPI66" i="7" s="1"/>
  <c r="UPK66" i="7" s="1"/>
  <c r="UPM66" i="7" s="1"/>
  <c r="UPO66" i="7" s="1"/>
  <c r="UPQ66" i="7" s="1"/>
  <c r="UPS66" i="7" s="1"/>
  <c r="UPU66" i="7" s="1"/>
  <c r="UPW66" i="7" s="1"/>
  <c r="UPY66" i="7" s="1"/>
  <c r="UQA66" i="7" s="1"/>
  <c r="UQC66" i="7" s="1"/>
  <c r="UQE66" i="7" s="1"/>
  <c r="UQG66" i="7" s="1"/>
  <c r="UQI66" i="7" s="1"/>
  <c r="UQK66" i="7" s="1"/>
  <c r="UQM66" i="7" s="1"/>
  <c r="UQO66" i="7" s="1"/>
  <c r="UQQ66" i="7" s="1"/>
  <c r="UQS66" i="7" s="1"/>
  <c r="UQU66" i="7" s="1"/>
  <c r="UQW66" i="7" s="1"/>
  <c r="UQY66" i="7" s="1"/>
  <c r="URA66" i="7" s="1"/>
  <c r="URC66" i="7" s="1"/>
  <c r="URE66" i="7" s="1"/>
  <c r="URG66" i="7" s="1"/>
  <c r="URI66" i="7" s="1"/>
  <c r="URK66" i="7" s="1"/>
  <c r="URM66" i="7" s="1"/>
  <c r="URO66" i="7" s="1"/>
  <c r="URQ66" i="7" s="1"/>
  <c r="URS66" i="7" s="1"/>
  <c r="URU66" i="7" s="1"/>
  <c r="URW66" i="7" s="1"/>
  <c r="URY66" i="7" s="1"/>
  <c r="USA66" i="7" s="1"/>
  <c r="USC66" i="7" s="1"/>
  <c r="USE66" i="7" s="1"/>
  <c r="USG66" i="7" s="1"/>
  <c r="USI66" i="7" s="1"/>
  <c r="USK66" i="7" s="1"/>
  <c r="USM66" i="7" s="1"/>
  <c r="USO66" i="7" s="1"/>
  <c r="USQ66" i="7" s="1"/>
  <c r="USS66" i="7" s="1"/>
  <c r="USU66" i="7" s="1"/>
  <c r="USW66" i="7" s="1"/>
  <c r="USY66" i="7" s="1"/>
  <c r="UTA66" i="7" s="1"/>
  <c r="UTC66" i="7" s="1"/>
  <c r="UTE66" i="7" s="1"/>
  <c r="UTG66" i="7" s="1"/>
  <c r="UTI66" i="7" s="1"/>
  <c r="UTK66" i="7" s="1"/>
  <c r="UTM66" i="7" s="1"/>
  <c r="UTO66" i="7" s="1"/>
  <c r="UTQ66" i="7" s="1"/>
  <c r="UTS66" i="7" s="1"/>
  <c r="UTU66" i="7" s="1"/>
  <c r="UTW66" i="7" s="1"/>
  <c r="UTY66" i="7" s="1"/>
  <c r="UUA66" i="7" s="1"/>
  <c r="UUC66" i="7" s="1"/>
  <c r="UUE66" i="7" s="1"/>
  <c r="UUG66" i="7" s="1"/>
  <c r="UUI66" i="7" s="1"/>
  <c r="UUK66" i="7" s="1"/>
  <c r="UUM66" i="7" s="1"/>
  <c r="UUO66" i="7" s="1"/>
  <c r="UUQ66" i="7" s="1"/>
  <c r="UUS66" i="7" s="1"/>
  <c r="UUU66" i="7" s="1"/>
  <c r="UUW66" i="7" s="1"/>
  <c r="UUY66" i="7" s="1"/>
  <c r="UVA66" i="7" s="1"/>
  <c r="UVC66" i="7" s="1"/>
  <c r="UVE66" i="7" s="1"/>
  <c r="UVG66" i="7" s="1"/>
  <c r="UVI66" i="7" s="1"/>
  <c r="UVK66" i="7" s="1"/>
  <c r="UVM66" i="7" s="1"/>
  <c r="UVO66" i="7" s="1"/>
  <c r="UVQ66" i="7" s="1"/>
  <c r="UVS66" i="7" s="1"/>
  <c r="UVU66" i="7" s="1"/>
  <c r="UVW66" i="7" s="1"/>
  <c r="UVY66" i="7" s="1"/>
  <c r="UWA66" i="7" s="1"/>
  <c r="UWC66" i="7" s="1"/>
  <c r="UWE66" i="7" s="1"/>
  <c r="UWG66" i="7" s="1"/>
  <c r="UWI66" i="7" s="1"/>
  <c r="UWK66" i="7" s="1"/>
  <c r="UWM66" i="7" s="1"/>
  <c r="UWO66" i="7" s="1"/>
  <c r="UWQ66" i="7" s="1"/>
  <c r="UWS66" i="7" s="1"/>
  <c r="UWU66" i="7" s="1"/>
  <c r="UWW66" i="7" s="1"/>
  <c r="UWY66" i="7" s="1"/>
  <c r="UXA66" i="7" s="1"/>
  <c r="UXC66" i="7" s="1"/>
  <c r="UXE66" i="7" s="1"/>
  <c r="UXG66" i="7" s="1"/>
  <c r="UXI66" i="7" s="1"/>
  <c r="UXK66" i="7" s="1"/>
  <c r="UXM66" i="7" s="1"/>
  <c r="UXO66" i="7" s="1"/>
  <c r="UXQ66" i="7" s="1"/>
  <c r="UXS66" i="7" s="1"/>
  <c r="UXU66" i="7" s="1"/>
  <c r="UXW66" i="7" s="1"/>
  <c r="UXY66" i="7" s="1"/>
  <c r="UYA66" i="7" s="1"/>
  <c r="UYC66" i="7" s="1"/>
  <c r="UYE66" i="7" s="1"/>
  <c r="UYG66" i="7" s="1"/>
  <c r="UYI66" i="7" s="1"/>
  <c r="UYK66" i="7" s="1"/>
  <c r="UYM66" i="7" s="1"/>
  <c r="UYO66" i="7" s="1"/>
  <c r="UYQ66" i="7" s="1"/>
  <c r="UYS66" i="7" s="1"/>
  <c r="UYU66" i="7" s="1"/>
  <c r="UYW66" i="7" s="1"/>
  <c r="UYY66" i="7" s="1"/>
  <c r="UZA66" i="7" s="1"/>
  <c r="UZC66" i="7" s="1"/>
  <c r="UZE66" i="7" s="1"/>
  <c r="UZG66" i="7" s="1"/>
  <c r="UZI66" i="7" s="1"/>
  <c r="UZK66" i="7" s="1"/>
  <c r="UZM66" i="7" s="1"/>
  <c r="UZO66" i="7" s="1"/>
  <c r="UZQ66" i="7" s="1"/>
  <c r="UZS66" i="7" s="1"/>
  <c r="UZU66" i="7" s="1"/>
  <c r="UZW66" i="7" s="1"/>
  <c r="UZY66" i="7" s="1"/>
  <c r="VAA66" i="7" s="1"/>
  <c r="VAC66" i="7" s="1"/>
  <c r="VAE66" i="7" s="1"/>
  <c r="VAG66" i="7" s="1"/>
  <c r="VAI66" i="7" s="1"/>
  <c r="VAK66" i="7" s="1"/>
  <c r="VAM66" i="7" s="1"/>
  <c r="VAO66" i="7" s="1"/>
  <c r="VAQ66" i="7" s="1"/>
  <c r="VAS66" i="7" s="1"/>
  <c r="VAU66" i="7" s="1"/>
  <c r="VAW66" i="7" s="1"/>
  <c r="VAY66" i="7" s="1"/>
  <c r="VBA66" i="7" s="1"/>
  <c r="VBC66" i="7" s="1"/>
  <c r="VBE66" i="7" s="1"/>
  <c r="VBG66" i="7" s="1"/>
  <c r="VBI66" i="7" s="1"/>
  <c r="VBK66" i="7" s="1"/>
  <c r="VBM66" i="7" s="1"/>
  <c r="VBO66" i="7" s="1"/>
  <c r="VBQ66" i="7" s="1"/>
  <c r="VBS66" i="7" s="1"/>
  <c r="VBU66" i="7" s="1"/>
  <c r="VBW66" i="7" s="1"/>
  <c r="VBY66" i="7" s="1"/>
  <c r="VCA66" i="7" s="1"/>
  <c r="VCC66" i="7" s="1"/>
  <c r="VCE66" i="7" s="1"/>
  <c r="VCG66" i="7" s="1"/>
  <c r="VCI66" i="7" s="1"/>
  <c r="VCK66" i="7" s="1"/>
  <c r="VCM66" i="7" s="1"/>
  <c r="VCO66" i="7" s="1"/>
  <c r="VCQ66" i="7" s="1"/>
  <c r="VCS66" i="7" s="1"/>
  <c r="VCU66" i="7" s="1"/>
  <c r="VCW66" i="7" s="1"/>
  <c r="VCY66" i="7" s="1"/>
  <c r="VDA66" i="7" s="1"/>
  <c r="VDC66" i="7" s="1"/>
  <c r="VDE66" i="7" s="1"/>
  <c r="VDG66" i="7" s="1"/>
  <c r="VDI66" i="7" s="1"/>
  <c r="VDK66" i="7" s="1"/>
  <c r="VDM66" i="7" s="1"/>
  <c r="VDO66" i="7" s="1"/>
  <c r="VDQ66" i="7" s="1"/>
  <c r="VDS66" i="7" s="1"/>
  <c r="VDU66" i="7" s="1"/>
  <c r="VDW66" i="7" s="1"/>
  <c r="VDY66" i="7" s="1"/>
  <c r="VEA66" i="7" s="1"/>
  <c r="VEC66" i="7" s="1"/>
  <c r="VEE66" i="7" s="1"/>
  <c r="VEG66" i="7" s="1"/>
  <c r="VEI66" i="7" s="1"/>
  <c r="VEK66" i="7" s="1"/>
  <c r="VEM66" i="7" s="1"/>
  <c r="VEO66" i="7" s="1"/>
  <c r="VEQ66" i="7" s="1"/>
  <c r="VES66" i="7" s="1"/>
  <c r="VEU66" i="7" s="1"/>
  <c r="VEW66" i="7" s="1"/>
  <c r="VEY66" i="7" s="1"/>
  <c r="VFA66" i="7" s="1"/>
  <c r="VFC66" i="7" s="1"/>
  <c r="VFE66" i="7" s="1"/>
  <c r="VFG66" i="7" s="1"/>
  <c r="VFI66" i="7" s="1"/>
  <c r="VFK66" i="7" s="1"/>
  <c r="VFM66" i="7" s="1"/>
  <c r="VFO66" i="7" s="1"/>
  <c r="VFQ66" i="7" s="1"/>
  <c r="VFS66" i="7" s="1"/>
  <c r="VFU66" i="7" s="1"/>
  <c r="VFW66" i="7" s="1"/>
  <c r="VFY66" i="7" s="1"/>
  <c r="VGA66" i="7" s="1"/>
  <c r="VGC66" i="7" s="1"/>
  <c r="VGE66" i="7" s="1"/>
  <c r="VGG66" i="7" s="1"/>
  <c r="VGI66" i="7" s="1"/>
  <c r="VGK66" i="7" s="1"/>
  <c r="VGM66" i="7" s="1"/>
  <c r="VGO66" i="7" s="1"/>
  <c r="VGQ66" i="7" s="1"/>
  <c r="VGS66" i="7" s="1"/>
  <c r="VGU66" i="7" s="1"/>
  <c r="VGW66" i="7" s="1"/>
  <c r="VGY66" i="7" s="1"/>
  <c r="VHA66" i="7" s="1"/>
  <c r="VHC66" i="7" s="1"/>
  <c r="VHE66" i="7" s="1"/>
  <c r="VHG66" i="7" s="1"/>
  <c r="VHI66" i="7" s="1"/>
  <c r="VHK66" i="7" s="1"/>
  <c r="VHM66" i="7" s="1"/>
  <c r="VHO66" i="7" s="1"/>
  <c r="VHQ66" i="7" s="1"/>
  <c r="VHS66" i="7" s="1"/>
  <c r="VHU66" i="7" s="1"/>
  <c r="VHW66" i="7" s="1"/>
  <c r="VHY66" i="7" s="1"/>
  <c r="VIA66" i="7" s="1"/>
  <c r="VIC66" i="7" s="1"/>
  <c r="VIE66" i="7" s="1"/>
  <c r="VIG66" i="7" s="1"/>
  <c r="VII66" i="7" s="1"/>
  <c r="VIK66" i="7" s="1"/>
  <c r="VIM66" i="7" s="1"/>
  <c r="VIO66" i="7" s="1"/>
  <c r="VIQ66" i="7" s="1"/>
  <c r="VIS66" i="7" s="1"/>
  <c r="VIU66" i="7" s="1"/>
  <c r="VIW66" i="7" s="1"/>
  <c r="VIY66" i="7" s="1"/>
  <c r="VJA66" i="7" s="1"/>
  <c r="VJC66" i="7" s="1"/>
  <c r="VJE66" i="7" s="1"/>
  <c r="VJG66" i="7" s="1"/>
  <c r="VJI66" i="7" s="1"/>
  <c r="VJK66" i="7" s="1"/>
  <c r="VJM66" i="7" s="1"/>
  <c r="VJO66" i="7" s="1"/>
  <c r="VJQ66" i="7" s="1"/>
  <c r="VJS66" i="7" s="1"/>
  <c r="VJU66" i="7" s="1"/>
  <c r="VJW66" i="7" s="1"/>
  <c r="VJY66" i="7" s="1"/>
  <c r="VKA66" i="7" s="1"/>
  <c r="VKC66" i="7" s="1"/>
  <c r="VKE66" i="7" s="1"/>
  <c r="VKG66" i="7" s="1"/>
  <c r="VKI66" i="7" s="1"/>
  <c r="VKK66" i="7" s="1"/>
  <c r="VKM66" i="7" s="1"/>
  <c r="VKO66" i="7" s="1"/>
  <c r="VKQ66" i="7" s="1"/>
  <c r="VKS66" i="7" s="1"/>
  <c r="VKU66" i="7" s="1"/>
  <c r="VKW66" i="7" s="1"/>
  <c r="VKY66" i="7" s="1"/>
  <c r="VLA66" i="7" s="1"/>
  <c r="VLC66" i="7" s="1"/>
  <c r="VLE66" i="7" s="1"/>
  <c r="VLG66" i="7" s="1"/>
  <c r="VLI66" i="7" s="1"/>
  <c r="VLK66" i="7" s="1"/>
  <c r="VLM66" i="7" s="1"/>
  <c r="VLO66" i="7" s="1"/>
  <c r="VLQ66" i="7" s="1"/>
  <c r="VLS66" i="7" s="1"/>
  <c r="VLU66" i="7" s="1"/>
  <c r="VLW66" i="7" s="1"/>
  <c r="VLY66" i="7" s="1"/>
  <c r="VMA66" i="7" s="1"/>
  <c r="VMC66" i="7" s="1"/>
  <c r="VME66" i="7" s="1"/>
  <c r="VMG66" i="7" s="1"/>
  <c r="VMI66" i="7" s="1"/>
  <c r="VMK66" i="7" s="1"/>
  <c r="VMM66" i="7" s="1"/>
  <c r="VMO66" i="7" s="1"/>
  <c r="VMQ66" i="7" s="1"/>
  <c r="VMS66" i="7" s="1"/>
  <c r="VMU66" i="7" s="1"/>
  <c r="VMW66" i="7" s="1"/>
  <c r="VMY66" i="7" s="1"/>
  <c r="VNA66" i="7" s="1"/>
  <c r="VNC66" i="7" s="1"/>
  <c r="VNE66" i="7" s="1"/>
  <c r="VNG66" i="7" s="1"/>
  <c r="VNI66" i="7" s="1"/>
  <c r="VNK66" i="7" s="1"/>
  <c r="VNM66" i="7" s="1"/>
  <c r="VNO66" i="7" s="1"/>
  <c r="VNQ66" i="7" s="1"/>
  <c r="VNS66" i="7" s="1"/>
  <c r="VNU66" i="7" s="1"/>
  <c r="VNW66" i="7" s="1"/>
  <c r="VNY66" i="7" s="1"/>
  <c r="VOA66" i="7" s="1"/>
  <c r="VOC66" i="7" s="1"/>
  <c r="VOE66" i="7" s="1"/>
  <c r="VOG66" i="7" s="1"/>
  <c r="VOI66" i="7" s="1"/>
  <c r="VOK66" i="7" s="1"/>
  <c r="VOM66" i="7" s="1"/>
  <c r="VOO66" i="7" s="1"/>
  <c r="VOQ66" i="7" s="1"/>
  <c r="VOS66" i="7" s="1"/>
  <c r="VOU66" i="7" s="1"/>
  <c r="VOW66" i="7" s="1"/>
  <c r="VOY66" i="7" s="1"/>
  <c r="VPA66" i="7" s="1"/>
  <c r="VPC66" i="7" s="1"/>
  <c r="VPE66" i="7" s="1"/>
  <c r="VPG66" i="7" s="1"/>
  <c r="VPI66" i="7" s="1"/>
  <c r="VPK66" i="7" s="1"/>
  <c r="VPM66" i="7" s="1"/>
  <c r="VPO66" i="7" s="1"/>
  <c r="VPQ66" i="7" s="1"/>
  <c r="VPS66" i="7" s="1"/>
  <c r="VPU66" i="7" s="1"/>
  <c r="VPW66" i="7" s="1"/>
  <c r="VPY66" i="7" s="1"/>
  <c r="VQA66" i="7" s="1"/>
  <c r="VQC66" i="7" s="1"/>
  <c r="VQE66" i="7" s="1"/>
  <c r="VQG66" i="7" s="1"/>
  <c r="VQI66" i="7" s="1"/>
  <c r="VQK66" i="7" s="1"/>
  <c r="VQM66" i="7" s="1"/>
  <c r="VQO66" i="7" s="1"/>
  <c r="VQQ66" i="7" s="1"/>
  <c r="VQS66" i="7" s="1"/>
  <c r="VQU66" i="7" s="1"/>
  <c r="VQW66" i="7" s="1"/>
  <c r="VQY66" i="7" s="1"/>
  <c r="VRA66" i="7" s="1"/>
  <c r="VRC66" i="7" s="1"/>
  <c r="VRE66" i="7" s="1"/>
  <c r="VRG66" i="7" s="1"/>
  <c r="VRI66" i="7" s="1"/>
  <c r="VRK66" i="7" s="1"/>
  <c r="VRM66" i="7" s="1"/>
  <c r="VRO66" i="7" s="1"/>
  <c r="VRQ66" i="7" s="1"/>
  <c r="VRS66" i="7" s="1"/>
  <c r="VRU66" i="7" s="1"/>
  <c r="VRW66" i="7" s="1"/>
  <c r="VRY66" i="7" s="1"/>
  <c r="VSA66" i="7" s="1"/>
  <c r="VSC66" i="7" s="1"/>
  <c r="VSE66" i="7" s="1"/>
  <c r="VSG66" i="7" s="1"/>
  <c r="VSI66" i="7" s="1"/>
  <c r="VSK66" i="7" s="1"/>
  <c r="VSM66" i="7" s="1"/>
  <c r="VSO66" i="7" s="1"/>
  <c r="VSQ66" i="7" s="1"/>
  <c r="VSS66" i="7" s="1"/>
  <c r="VSU66" i="7" s="1"/>
  <c r="VSW66" i="7" s="1"/>
  <c r="VSY66" i="7" s="1"/>
  <c r="VTA66" i="7" s="1"/>
  <c r="VTC66" i="7" s="1"/>
  <c r="VTE66" i="7" s="1"/>
  <c r="VTG66" i="7" s="1"/>
  <c r="VTI66" i="7" s="1"/>
  <c r="VTK66" i="7" s="1"/>
  <c r="VTM66" i="7" s="1"/>
  <c r="VTO66" i="7" s="1"/>
  <c r="VTQ66" i="7" s="1"/>
  <c r="VTS66" i="7" s="1"/>
  <c r="VTU66" i="7" s="1"/>
  <c r="VTW66" i="7" s="1"/>
  <c r="VTY66" i="7" s="1"/>
  <c r="VUA66" i="7" s="1"/>
  <c r="VUC66" i="7" s="1"/>
  <c r="VUE66" i="7" s="1"/>
  <c r="VUG66" i="7" s="1"/>
  <c r="VUI66" i="7" s="1"/>
  <c r="VUK66" i="7" s="1"/>
  <c r="VUM66" i="7" s="1"/>
  <c r="VUO66" i="7" s="1"/>
  <c r="VUQ66" i="7" s="1"/>
  <c r="VUS66" i="7" s="1"/>
  <c r="VUU66" i="7" s="1"/>
  <c r="VUW66" i="7" s="1"/>
  <c r="VUY66" i="7" s="1"/>
  <c r="VVA66" i="7" s="1"/>
  <c r="VVC66" i="7" s="1"/>
  <c r="VVE66" i="7" s="1"/>
  <c r="VVG66" i="7" s="1"/>
  <c r="VVI66" i="7" s="1"/>
  <c r="VVK66" i="7" s="1"/>
  <c r="VVM66" i="7" s="1"/>
  <c r="VVO66" i="7" s="1"/>
  <c r="VVQ66" i="7" s="1"/>
  <c r="VVS66" i="7" s="1"/>
  <c r="VVU66" i="7" s="1"/>
  <c r="VVW66" i="7" s="1"/>
  <c r="VVY66" i="7" s="1"/>
  <c r="VWA66" i="7" s="1"/>
  <c r="VWC66" i="7" s="1"/>
  <c r="VWE66" i="7" s="1"/>
  <c r="VWG66" i="7" s="1"/>
  <c r="VWI66" i="7" s="1"/>
  <c r="VWK66" i="7" s="1"/>
  <c r="VWM66" i="7" s="1"/>
  <c r="VWO66" i="7" s="1"/>
  <c r="VWQ66" i="7" s="1"/>
  <c r="VWS66" i="7" s="1"/>
  <c r="VWU66" i="7" s="1"/>
  <c r="VWW66" i="7" s="1"/>
  <c r="VWY66" i="7" s="1"/>
  <c r="VXA66" i="7" s="1"/>
  <c r="VXC66" i="7" s="1"/>
  <c r="VXE66" i="7" s="1"/>
  <c r="VXG66" i="7" s="1"/>
  <c r="VXI66" i="7" s="1"/>
  <c r="VXK66" i="7" s="1"/>
  <c r="VXM66" i="7" s="1"/>
  <c r="VXO66" i="7" s="1"/>
  <c r="VXQ66" i="7" s="1"/>
  <c r="VXS66" i="7" s="1"/>
  <c r="VXU66" i="7" s="1"/>
  <c r="VXW66" i="7" s="1"/>
  <c r="VXY66" i="7" s="1"/>
  <c r="VYA66" i="7" s="1"/>
  <c r="VYC66" i="7" s="1"/>
  <c r="VYE66" i="7" s="1"/>
  <c r="VYG66" i="7" s="1"/>
  <c r="VYI66" i="7" s="1"/>
  <c r="VYK66" i="7" s="1"/>
  <c r="VYM66" i="7" s="1"/>
  <c r="VYO66" i="7" s="1"/>
  <c r="VYQ66" i="7" s="1"/>
  <c r="VYS66" i="7" s="1"/>
  <c r="VYU66" i="7" s="1"/>
  <c r="VYW66" i="7" s="1"/>
  <c r="VYY66" i="7" s="1"/>
  <c r="VZA66" i="7" s="1"/>
  <c r="VZC66" i="7" s="1"/>
  <c r="VZE66" i="7" s="1"/>
  <c r="VZG66" i="7" s="1"/>
  <c r="VZI66" i="7" s="1"/>
  <c r="VZK66" i="7" s="1"/>
  <c r="VZM66" i="7" s="1"/>
  <c r="VZO66" i="7" s="1"/>
  <c r="VZQ66" i="7" s="1"/>
  <c r="VZS66" i="7" s="1"/>
  <c r="VZU66" i="7" s="1"/>
  <c r="VZW66" i="7" s="1"/>
  <c r="VZY66" i="7" s="1"/>
  <c r="WAA66" i="7" s="1"/>
  <c r="WAC66" i="7" s="1"/>
  <c r="WAE66" i="7" s="1"/>
  <c r="WAG66" i="7" s="1"/>
  <c r="WAI66" i="7" s="1"/>
  <c r="WAK66" i="7" s="1"/>
  <c r="WAM66" i="7" s="1"/>
  <c r="WAO66" i="7" s="1"/>
  <c r="WAQ66" i="7" s="1"/>
  <c r="WAS66" i="7" s="1"/>
  <c r="WAU66" i="7" s="1"/>
  <c r="WAW66" i="7" s="1"/>
  <c r="WAY66" i="7" s="1"/>
  <c r="WBA66" i="7" s="1"/>
  <c r="WBC66" i="7" s="1"/>
  <c r="WBE66" i="7" s="1"/>
  <c r="WBG66" i="7" s="1"/>
  <c r="WBI66" i="7" s="1"/>
  <c r="WBK66" i="7" s="1"/>
  <c r="WBM66" i="7" s="1"/>
  <c r="WBO66" i="7" s="1"/>
  <c r="WBQ66" i="7" s="1"/>
  <c r="WBS66" i="7" s="1"/>
  <c r="WBU66" i="7" s="1"/>
  <c r="WBW66" i="7" s="1"/>
  <c r="WBY66" i="7" s="1"/>
  <c r="WCA66" i="7" s="1"/>
  <c r="WCC66" i="7" s="1"/>
  <c r="WCE66" i="7" s="1"/>
  <c r="WCG66" i="7" s="1"/>
  <c r="WCI66" i="7" s="1"/>
  <c r="WCK66" i="7" s="1"/>
  <c r="WCM66" i="7" s="1"/>
  <c r="WCO66" i="7" s="1"/>
  <c r="WCQ66" i="7" s="1"/>
  <c r="WCS66" i="7" s="1"/>
  <c r="WCU66" i="7" s="1"/>
  <c r="WCW66" i="7" s="1"/>
  <c r="WCY66" i="7" s="1"/>
  <c r="WDA66" i="7" s="1"/>
  <c r="WDC66" i="7" s="1"/>
  <c r="WDE66" i="7" s="1"/>
  <c r="WDG66" i="7" s="1"/>
  <c r="WDI66" i="7" s="1"/>
  <c r="WDK66" i="7" s="1"/>
  <c r="WDM66" i="7" s="1"/>
  <c r="WDO66" i="7" s="1"/>
  <c r="WDQ66" i="7" s="1"/>
  <c r="WDS66" i="7" s="1"/>
  <c r="WDU66" i="7" s="1"/>
  <c r="WDW66" i="7" s="1"/>
  <c r="WDY66" i="7" s="1"/>
  <c r="WEA66" i="7" s="1"/>
  <c r="WEC66" i="7" s="1"/>
  <c r="WEE66" i="7" s="1"/>
  <c r="WEG66" i="7" s="1"/>
  <c r="WEI66" i="7" s="1"/>
  <c r="WEK66" i="7" s="1"/>
  <c r="WEM66" i="7" s="1"/>
  <c r="WEO66" i="7" s="1"/>
  <c r="WEQ66" i="7" s="1"/>
  <c r="WES66" i="7" s="1"/>
  <c r="WEU66" i="7" s="1"/>
  <c r="WEW66" i="7" s="1"/>
  <c r="WEY66" i="7" s="1"/>
  <c r="WFA66" i="7" s="1"/>
  <c r="WFC66" i="7" s="1"/>
  <c r="WFE66" i="7" s="1"/>
  <c r="WFG66" i="7" s="1"/>
  <c r="WFI66" i="7" s="1"/>
  <c r="WFK66" i="7" s="1"/>
  <c r="WFM66" i="7" s="1"/>
  <c r="WFO66" i="7" s="1"/>
  <c r="WFQ66" i="7" s="1"/>
  <c r="WFS66" i="7" s="1"/>
  <c r="WFU66" i="7" s="1"/>
  <c r="WFW66" i="7" s="1"/>
  <c r="WFY66" i="7" s="1"/>
  <c r="WGA66" i="7" s="1"/>
  <c r="WGC66" i="7" s="1"/>
  <c r="WGE66" i="7" s="1"/>
  <c r="WGG66" i="7" s="1"/>
  <c r="WGI66" i="7" s="1"/>
  <c r="WGK66" i="7" s="1"/>
  <c r="WGM66" i="7" s="1"/>
  <c r="WGO66" i="7" s="1"/>
  <c r="WGQ66" i="7" s="1"/>
  <c r="WGS66" i="7" s="1"/>
  <c r="WGU66" i="7" s="1"/>
  <c r="WGW66" i="7" s="1"/>
  <c r="WGY66" i="7" s="1"/>
  <c r="WHA66" i="7" s="1"/>
  <c r="WHC66" i="7" s="1"/>
  <c r="WHE66" i="7" s="1"/>
  <c r="WHG66" i="7" s="1"/>
  <c r="WHI66" i="7" s="1"/>
  <c r="WHK66" i="7" s="1"/>
  <c r="WHM66" i="7" s="1"/>
  <c r="WHO66" i="7" s="1"/>
  <c r="WHQ66" i="7" s="1"/>
  <c r="WHS66" i="7" s="1"/>
  <c r="WHU66" i="7" s="1"/>
  <c r="WHW66" i="7" s="1"/>
  <c r="WHY66" i="7" s="1"/>
  <c r="WIA66" i="7" s="1"/>
  <c r="WIC66" i="7" s="1"/>
  <c r="WIE66" i="7" s="1"/>
  <c r="WIG66" i="7" s="1"/>
  <c r="WII66" i="7" s="1"/>
  <c r="WIK66" i="7" s="1"/>
  <c r="WIM66" i="7" s="1"/>
  <c r="WIO66" i="7" s="1"/>
  <c r="WIQ66" i="7" s="1"/>
  <c r="WIS66" i="7" s="1"/>
  <c r="WIU66" i="7" s="1"/>
  <c r="WIW66" i="7" s="1"/>
  <c r="WIY66" i="7" s="1"/>
  <c r="WJA66" i="7" s="1"/>
  <c r="WJC66" i="7" s="1"/>
  <c r="WJE66" i="7" s="1"/>
  <c r="WJG66" i="7" s="1"/>
  <c r="WJI66" i="7" s="1"/>
  <c r="WJK66" i="7" s="1"/>
  <c r="WJM66" i="7" s="1"/>
  <c r="WJO66" i="7" s="1"/>
  <c r="WJQ66" i="7" s="1"/>
  <c r="WJS66" i="7" s="1"/>
  <c r="WJU66" i="7" s="1"/>
  <c r="WJW66" i="7" s="1"/>
  <c r="WJY66" i="7" s="1"/>
  <c r="WKA66" i="7" s="1"/>
  <c r="WKC66" i="7" s="1"/>
  <c r="WKE66" i="7" s="1"/>
  <c r="WKG66" i="7" s="1"/>
  <c r="WKI66" i="7" s="1"/>
  <c r="WKK66" i="7" s="1"/>
  <c r="WKM66" i="7" s="1"/>
  <c r="WKO66" i="7" s="1"/>
  <c r="WKQ66" i="7" s="1"/>
  <c r="WKS66" i="7" s="1"/>
  <c r="WKU66" i="7" s="1"/>
  <c r="WKW66" i="7" s="1"/>
  <c r="WKY66" i="7" s="1"/>
  <c r="WLA66" i="7" s="1"/>
  <c r="WLC66" i="7" s="1"/>
  <c r="WLE66" i="7" s="1"/>
  <c r="WLG66" i="7" s="1"/>
  <c r="WLI66" i="7" s="1"/>
  <c r="WLK66" i="7" s="1"/>
  <c r="WLM66" i="7" s="1"/>
  <c r="WLO66" i="7" s="1"/>
  <c r="WLQ66" i="7" s="1"/>
  <c r="WLS66" i="7" s="1"/>
  <c r="WLU66" i="7" s="1"/>
  <c r="WLW66" i="7" s="1"/>
  <c r="WLY66" i="7" s="1"/>
  <c r="WMA66" i="7" s="1"/>
  <c r="WMC66" i="7" s="1"/>
  <c r="WME66" i="7" s="1"/>
  <c r="WMG66" i="7" s="1"/>
  <c r="WMI66" i="7" s="1"/>
  <c r="WMK66" i="7" s="1"/>
  <c r="WMM66" i="7" s="1"/>
  <c r="WMO66" i="7" s="1"/>
  <c r="WMQ66" i="7" s="1"/>
  <c r="WMS66" i="7" s="1"/>
  <c r="WMU66" i="7" s="1"/>
  <c r="WMW66" i="7" s="1"/>
  <c r="WMY66" i="7" s="1"/>
  <c r="WNA66" i="7" s="1"/>
  <c r="WNC66" i="7" s="1"/>
  <c r="WNE66" i="7" s="1"/>
  <c r="WNG66" i="7" s="1"/>
  <c r="WNI66" i="7" s="1"/>
  <c r="WNK66" i="7" s="1"/>
  <c r="WNM66" i="7" s="1"/>
  <c r="WNO66" i="7" s="1"/>
  <c r="WNQ66" i="7" s="1"/>
  <c r="WNS66" i="7" s="1"/>
  <c r="WNU66" i="7" s="1"/>
  <c r="WNW66" i="7" s="1"/>
  <c r="WNY66" i="7" s="1"/>
  <c r="WOA66" i="7" s="1"/>
  <c r="WOC66" i="7" s="1"/>
  <c r="WOE66" i="7" s="1"/>
  <c r="WOG66" i="7" s="1"/>
  <c r="WOI66" i="7" s="1"/>
  <c r="WOK66" i="7" s="1"/>
  <c r="WOM66" i="7" s="1"/>
  <c r="WOO66" i="7" s="1"/>
  <c r="WOQ66" i="7" s="1"/>
  <c r="WOS66" i="7" s="1"/>
  <c r="WOU66" i="7" s="1"/>
  <c r="WOW66" i="7" s="1"/>
  <c r="WOY66" i="7" s="1"/>
  <c r="WPA66" i="7" s="1"/>
  <c r="WPC66" i="7" s="1"/>
  <c r="WPE66" i="7" s="1"/>
  <c r="WPG66" i="7" s="1"/>
  <c r="WPI66" i="7" s="1"/>
  <c r="WPK66" i="7" s="1"/>
  <c r="WPM66" i="7" s="1"/>
  <c r="WPO66" i="7" s="1"/>
  <c r="WPQ66" i="7" s="1"/>
  <c r="WPS66" i="7" s="1"/>
  <c r="WPU66" i="7" s="1"/>
  <c r="WPW66" i="7" s="1"/>
  <c r="WPY66" i="7" s="1"/>
  <c r="WQA66" i="7" s="1"/>
  <c r="WQC66" i="7" s="1"/>
  <c r="WQE66" i="7" s="1"/>
  <c r="WQG66" i="7" s="1"/>
  <c r="WQI66" i="7" s="1"/>
  <c r="WQK66" i="7" s="1"/>
  <c r="WQM66" i="7" s="1"/>
  <c r="WQO66" i="7" s="1"/>
  <c r="WQQ66" i="7" s="1"/>
  <c r="WQS66" i="7" s="1"/>
  <c r="WQU66" i="7" s="1"/>
  <c r="WQW66" i="7" s="1"/>
  <c r="WQY66" i="7" s="1"/>
  <c r="WRA66" i="7" s="1"/>
  <c r="WRC66" i="7" s="1"/>
  <c r="WRE66" i="7" s="1"/>
  <c r="WRG66" i="7" s="1"/>
  <c r="WRI66" i="7" s="1"/>
  <c r="WRK66" i="7" s="1"/>
  <c r="WRM66" i="7" s="1"/>
  <c r="WRO66" i="7" s="1"/>
  <c r="WRQ66" i="7" s="1"/>
  <c r="WRS66" i="7" s="1"/>
  <c r="WRU66" i="7" s="1"/>
  <c r="WRW66" i="7" s="1"/>
  <c r="WRY66" i="7" s="1"/>
  <c r="WSA66" i="7" s="1"/>
  <c r="WSC66" i="7" s="1"/>
  <c r="WSE66" i="7" s="1"/>
  <c r="WSG66" i="7" s="1"/>
  <c r="WSI66" i="7" s="1"/>
  <c r="WSK66" i="7" s="1"/>
  <c r="WSM66" i="7" s="1"/>
  <c r="WSO66" i="7" s="1"/>
  <c r="WSQ66" i="7" s="1"/>
  <c r="WSS66" i="7" s="1"/>
  <c r="WSU66" i="7" s="1"/>
  <c r="WSW66" i="7" s="1"/>
  <c r="WSY66" i="7" s="1"/>
  <c r="WTA66" i="7" s="1"/>
  <c r="WTC66" i="7" s="1"/>
  <c r="WTE66" i="7" s="1"/>
  <c r="WTG66" i="7" s="1"/>
  <c r="WTI66" i="7" s="1"/>
  <c r="WTK66" i="7" s="1"/>
  <c r="WTM66" i="7" s="1"/>
  <c r="WTO66" i="7" s="1"/>
  <c r="WTQ66" i="7" s="1"/>
  <c r="WTS66" i="7" s="1"/>
  <c r="WTU66" i="7" s="1"/>
  <c r="WTW66" i="7" s="1"/>
  <c r="WTY66" i="7" s="1"/>
  <c r="WUA66" i="7" s="1"/>
  <c r="WUC66" i="7" s="1"/>
  <c r="WUE66" i="7" s="1"/>
  <c r="WUG66" i="7" s="1"/>
  <c r="WUI66" i="7" s="1"/>
  <c r="WUK66" i="7" s="1"/>
  <c r="WUM66" i="7" s="1"/>
  <c r="WUO66" i="7" s="1"/>
  <c r="WUQ66" i="7" s="1"/>
  <c r="WUS66" i="7" s="1"/>
  <c r="WUU66" i="7" s="1"/>
  <c r="WUW66" i="7" s="1"/>
  <c r="WUY66" i="7" s="1"/>
  <c r="WVA66" i="7" s="1"/>
  <c r="WVC66" i="7" s="1"/>
  <c r="WVE66" i="7" s="1"/>
  <c r="WVG66" i="7" s="1"/>
  <c r="WVI66" i="7" s="1"/>
  <c r="WVK66" i="7" s="1"/>
  <c r="WVM66" i="7" s="1"/>
  <c r="WVO66" i="7" s="1"/>
  <c r="WVQ66" i="7" s="1"/>
  <c r="WVS66" i="7" s="1"/>
  <c r="WVU66" i="7" s="1"/>
  <c r="WVW66" i="7" s="1"/>
  <c r="WVY66" i="7" s="1"/>
  <c r="WWA66" i="7" s="1"/>
  <c r="WWC66" i="7" s="1"/>
  <c r="WWE66" i="7" s="1"/>
  <c r="WWG66" i="7" s="1"/>
  <c r="WWI66" i="7" s="1"/>
  <c r="WWK66" i="7" s="1"/>
  <c r="WWM66" i="7" s="1"/>
  <c r="WWO66" i="7" s="1"/>
  <c r="WWQ66" i="7" s="1"/>
  <c r="WWS66" i="7" s="1"/>
  <c r="WWU66" i="7" s="1"/>
  <c r="WWW66" i="7" s="1"/>
  <c r="WWY66" i="7" s="1"/>
  <c r="WXA66" i="7" s="1"/>
  <c r="WXC66" i="7" s="1"/>
  <c r="WXE66" i="7" s="1"/>
  <c r="WXG66" i="7" s="1"/>
  <c r="WXI66" i="7" s="1"/>
  <c r="WXK66" i="7" s="1"/>
  <c r="WXM66" i="7" s="1"/>
  <c r="WXO66" i="7" s="1"/>
  <c r="WXQ66" i="7" s="1"/>
  <c r="WXS66" i="7" s="1"/>
  <c r="WXU66" i="7" s="1"/>
  <c r="WXW66" i="7" s="1"/>
  <c r="WXY66" i="7" s="1"/>
  <c r="WYA66" i="7" s="1"/>
  <c r="WYC66" i="7" s="1"/>
  <c r="WYE66" i="7" s="1"/>
  <c r="WYG66" i="7" s="1"/>
  <c r="WYI66" i="7" s="1"/>
  <c r="WYK66" i="7" s="1"/>
  <c r="WYM66" i="7" s="1"/>
  <c r="WYO66" i="7" s="1"/>
  <c r="WYQ66" i="7" s="1"/>
  <c r="WYS66" i="7" s="1"/>
  <c r="WYU66" i="7" s="1"/>
  <c r="WYW66" i="7" s="1"/>
  <c r="WYY66" i="7" s="1"/>
  <c r="WZA66" i="7" s="1"/>
  <c r="WZC66" i="7" s="1"/>
  <c r="WZE66" i="7" s="1"/>
  <c r="WZG66" i="7" s="1"/>
  <c r="WZI66" i="7" s="1"/>
  <c r="WZK66" i="7" s="1"/>
  <c r="WZM66" i="7" s="1"/>
  <c r="WZO66" i="7" s="1"/>
  <c r="WZQ66" i="7" s="1"/>
  <c r="WZS66" i="7" s="1"/>
  <c r="WZU66" i="7" s="1"/>
  <c r="WZW66" i="7" s="1"/>
  <c r="WZY66" i="7" s="1"/>
  <c r="XAA66" i="7" s="1"/>
  <c r="XAC66" i="7" s="1"/>
  <c r="XAE66" i="7" s="1"/>
  <c r="XAG66" i="7" s="1"/>
  <c r="XAI66" i="7" s="1"/>
  <c r="XAK66" i="7" s="1"/>
  <c r="XAM66" i="7" s="1"/>
  <c r="XAO66" i="7" s="1"/>
  <c r="XAQ66" i="7" s="1"/>
  <c r="XAS66" i="7" s="1"/>
  <c r="XAU66" i="7" s="1"/>
  <c r="XAW66" i="7" s="1"/>
  <c r="XAY66" i="7" s="1"/>
  <c r="XBA66" i="7" s="1"/>
  <c r="XBC66" i="7" s="1"/>
  <c r="XBE66" i="7" s="1"/>
  <c r="XBG66" i="7" s="1"/>
  <c r="XBI66" i="7" s="1"/>
  <c r="XBK66" i="7" s="1"/>
  <c r="XBM66" i="7" s="1"/>
  <c r="XBO66" i="7" s="1"/>
  <c r="XBQ66" i="7" s="1"/>
  <c r="XBS66" i="7" s="1"/>
  <c r="XBU66" i="7" s="1"/>
  <c r="XBW66" i="7" s="1"/>
  <c r="XBY66" i="7" s="1"/>
  <c r="XCA66" i="7" s="1"/>
  <c r="XCC66" i="7" s="1"/>
  <c r="XCE66" i="7" s="1"/>
  <c r="XCG66" i="7" s="1"/>
  <c r="XCI66" i="7" s="1"/>
  <c r="XCK66" i="7" s="1"/>
  <c r="XCM66" i="7" s="1"/>
  <c r="XCO66" i="7" s="1"/>
  <c r="XCQ66" i="7" s="1"/>
  <c r="XCS66" i="7" s="1"/>
  <c r="XCU66" i="7" s="1"/>
  <c r="XCW66" i="7" s="1"/>
  <c r="XCY66" i="7" s="1"/>
  <c r="XDA66" i="7" s="1"/>
  <c r="XDC66" i="7" s="1"/>
  <c r="XDE66" i="7" s="1"/>
  <c r="XDG66" i="7" s="1"/>
  <c r="XDI66" i="7" s="1"/>
  <c r="XDK66" i="7" s="1"/>
  <c r="XDM66" i="7" s="1"/>
  <c r="XDO66" i="7" s="1"/>
  <c r="XDQ66" i="7" s="1"/>
  <c r="XDS66" i="7" s="1"/>
  <c r="XDU66" i="7" s="1"/>
  <c r="XDW66" i="7" s="1"/>
  <c r="XDY66" i="7" s="1"/>
  <c r="XEA66" i="7" s="1"/>
  <c r="XEC66" i="7" s="1"/>
  <c r="XEE66" i="7" s="1"/>
  <c r="XEG66" i="7" s="1"/>
  <c r="XEI66" i="7" s="1"/>
  <c r="XEK66" i="7" s="1"/>
  <c r="XEM66" i="7" s="1"/>
  <c r="XEO66" i="7" s="1"/>
  <c r="XEQ66" i="7" s="1"/>
  <c r="XES66" i="7" s="1"/>
  <c r="XEU66" i="7" s="1"/>
  <c r="XEW66" i="7" s="1"/>
  <c r="XEY66" i="7" s="1"/>
  <c r="XFA66" i="7" s="1"/>
  <c r="XFC66" i="7" s="1"/>
  <c r="BK70" i="7" l="1"/>
  <c r="BK72" i="7" s="1"/>
  <c r="BE63" i="3" l="1"/>
  <c r="AB77" i="15"/>
  <c r="AB78" i="15" s="1"/>
  <c r="M27" i="3" s="1"/>
  <c r="BE20" i="3" l="1"/>
  <c r="P205" i="3"/>
  <c r="I10" i="21"/>
  <c r="I11" i="21" s="1"/>
  <c r="I18" i="21" s="1"/>
  <c r="H4" i="21" s="1"/>
  <c r="H5" i="21" s="1"/>
  <c r="BE83" i="3" s="1"/>
  <c r="AB79" i="15"/>
  <c r="AB81" i="15" s="1"/>
  <c r="J8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559B332E-6C42-4C1C-A746-30174D6994C9}">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<sst xmlns="http://schemas.openxmlformats.org/spreadsheetml/2006/main" count="5126" uniqueCount="2770">
  <si>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</si>
  <si>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</si>
  <si>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</si>
  <si>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</si>
  <si>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</si>
  <si>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</si>
  <si>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</si>
  <si>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</si>
  <si>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</si>
  <si>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</si>
  <si>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</si>
  <si>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</si>
  <si>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</si>
  <si>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</si>
  <si>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</si>
  <si>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</si>
  <si>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</si>
  <si>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</si>
  <si>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</si>
  <si>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</si>
  <si>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</si>
  <si>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</si>
  <si>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</si>
  <si>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</si>
  <si>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</si>
  <si>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</si>
  <si>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</si>
  <si>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</si>
  <si>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</si>
  <si>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</si>
  <si>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</si>
  <si>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</si>
  <si>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</si>
  <si>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</si>
  <si>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</si>
  <si>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</si>
  <si>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</si>
  <si>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</si>
  <si>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</si>
  <si>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</si>
  <si>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</si>
  <si>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</si>
  <si>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</si>
  <si>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</si>
  <si>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</si>
  <si>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</si>
  <si>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</si>
  <si>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</si>
  <si>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</si>
  <si>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</si>
  <si>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</si>
  <si>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</si>
  <si>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</si>
  <si>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</si>
  <si>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</si>
  <si>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</si>
  <si>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</si>
  <si>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</si>
  <si>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</si>
  <si>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</si>
  <si>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</si>
  <si>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</si>
  <si>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</si>
  <si>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</si>
  <si>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</si>
  <si>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</si>
  <si>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</si>
  <si>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</si>
  <si>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</si>
  <si>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</si>
  <si>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</si>
  <si>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</si>
  <si>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</si>
  <si>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</si>
  <si>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</si>
  <si>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</si>
  <si>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</si>
  <si>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</si>
  <si>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</si>
  <si>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</si>
  <si>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</si>
  <si>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</si>
  <si>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</si>
  <si>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</si>
  <si>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</si>
  <si>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</si>
  <si>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</si>
  <si>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</si>
  <si>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</si>
  <si>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</si>
  <si>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</si>
  <si>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</si>
  <si>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</si>
  <si>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</si>
  <si>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</si>
  <si>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</si>
  <si>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</si>
  <si>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</si>
  <si>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</si>
  <si>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</si>
  <si>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</si>
  <si>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</si>
  <si>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</si>
  <si>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</si>
  <si>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</si>
  <si>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</si>
  <si>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</si>
  <si>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</si>
  <si>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</si>
  <si>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</si>
  <si>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</si>
  <si>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</si>
  <si>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</si>
  <si>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</si>
  <si>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</si>
  <si>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</si>
  <si>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</si>
  <si>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</si>
  <si>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</si>
  <si>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</si>
  <si>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</si>
  <si>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</si>
  <si>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</si>
  <si>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</si>
  <si>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</si>
  <si>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</si>
  <si>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</si>
  <si>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</si>
  <si>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</si>
  <si>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</si>
  <si>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</si>
  <si>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</si>
  <si>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</si>
  <si>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</si>
  <si>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</si>
  <si>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</si>
  <si>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</si>
  <si>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</si>
  <si>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</si>
  <si>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</si>
  <si>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</si>
  <si>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</si>
  <si>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</si>
  <si>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</si>
  <si>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</si>
  <si>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</si>
  <si>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</si>
  <si>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</si>
  <si>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</si>
  <si>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</si>
  <si>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</si>
  <si>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</si>
  <si>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</si>
  <si>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</si>
  <si>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</si>
  <si>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</si>
  <si>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</si>
  <si>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</si>
  <si>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</si>
  <si>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</si>
  <si>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</si>
  <si>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</si>
  <si>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</si>
  <si>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</si>
  <si>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</si>
  <si>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</si>
  <si>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</si>
  <si>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</si>
  <si>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</si>
  <si>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</si>
  <si>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</si>
  <si>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</si>
  <si>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</si>
  <si>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</si>
  <si>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</si>
  <si>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</si>
  <si>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</si>
  <si>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</si>
  <si>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</si>
  <si>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</si>
  <si>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</si>
  <si>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</si>
  <si>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</si>
  <si>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</si>
  <si>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</si>
  <si>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</si>
  <si>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</si>
  <si>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</si>
  <si>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</si>
  <si>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</si>
  <si>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</si>
  <si>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</si>
  <si>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</si>
  <si>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</si>
  <si>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</si>
  <si>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</si>
  <si>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</si>
  <si>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</si>
  <si>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</si>
  <si>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</si>
  <si>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</si>
  <si>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</si>
  <si>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</si>
  <si>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</si>
  <si>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</si>
  <si>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</si>
  <si>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</si>
  <si>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</si>
  <si>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</si>
  <si>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</si>
  <si>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</si>
  <si>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</si>
  <si>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</si>
  <si>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</si>
  <si>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</si>
  <si>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</si>
  <si>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</si>
  <si>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</si>
  <si>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</si>
  <si>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</si>
  <si>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</si>
  <si>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</si>
  <si>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</si>
  <si>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</si>
  <si>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</si>
  <si>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</si>
  <si>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</si>
  <si>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</si>
  <si>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</si>
  <si>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</si>
  <si>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</si>
  <si>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</si>
  <si>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</si>
  <si>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</si>
  <si>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</si>
  <si>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</si>
  <si>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</si>
  <si>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</si>
  <si>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</si>
  <si>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</si>
  <si>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</si>
  <si>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</si>
  <si>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</si>
  <si>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</si>
  <si>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</si>
  <si>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</si>
  <si>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</si>
  <si>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</si>
  <si>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</si>
  <si>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</si>
  <si>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</si>
  <si>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</si>
  <si>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</si>
  <si>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</si>
  <si>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</si>
  <si>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</si>
  <si>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</si>
  <si>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</si>
  <si>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</si>
  <si>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</si>
  <si>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</si>
  <si>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</si>
  <si>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</si>
  <si>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</si>
  <si>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</si>
  <si>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</si>
  <si>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</si>
  <si>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</si>
  <si>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</si>
  <si>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</si>
  <si>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</si>
  <si>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</si>
  <si>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</si>
  <si>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</si>
  <si>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</si>
  <si>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</si>
  <si>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</si>
  <si>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</si>
  <si>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</si>
  <si>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</si>
  <si>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</si>
  <si>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</si>
  <si>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</si>
  <si>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</si>
  <si>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</si>
  <si>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</si>
  <si>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</si>
  <si>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</si>
  <si>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</si>
  <si>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</si>
  <si>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</si>
  <si>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</si>
  <si>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</si>
  <si>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</si>
  <si>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</si>
  <si>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</si>
  <si>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</si>
  <si>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</si>
  <si>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</si>
  <si>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</si>
  <si>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</si>
  <si>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</si>
  <si>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</si>
  <si>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</si>
  <si>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</si>
  <si>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</si>
  <si>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</si>
  <si>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</si>
  <si>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</si>
  <si>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</si>
  <si>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</si>
  <si>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</si>
  <si>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</si>
  <si>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</si>
  <si>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</si>
  <si>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</si>
  <si>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</si>
  <si>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</si>
  <si>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</si>
  <si>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</si>
  <si>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</si>
  <si>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</si>
  <si>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</si>
  <si>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</si>
  <si>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</si>
  <si>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</si>
  <si>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</si>
  <si>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</si>
  <si>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</si>
  <si>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</si>
  <si>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</si>
  <si>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</si>
  <si>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</si>
  <si>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</si>
  <si>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</si>
  <si>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</si>
  <si>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</si>
  <si>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</si>
  <si>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</si>
  <si>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</si>
  <si>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</si>
  <si>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</si>
  <si>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</si>
  <si>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</si>
  <si>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</si>
  <si>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</si>
  <si>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</si>
  <si>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</si>
  <si>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</si>
  <si>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</si>
  <si>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</si>
  <si>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</si>
  <si>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</si>
  <si>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</si>
  <si>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</si>
  <si>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</si>
  <si>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</si>
  <si>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</si>
  <si>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</si>
  <si>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</si>
  <si>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</si>
  <si>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</si>
  <si>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</si>
  <si>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</si>
  <si>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</si>
  <si>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</si>
  <si>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</si>
  <si>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</si>
  <si>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</si>
  <si>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</si>
  <si>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</si>
  <si>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</si>
  <si>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</si>
  <si>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</si>
  <si>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</si>
  <si>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</si>
  <si>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</si>
  <si>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</si>
  <si>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</si>
  <si>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</si>
  <si>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</si>
  <si>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</si>
  <si>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</si>
  <si>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</si>
  <si>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</si>
  <si>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</si>
  <si>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</si>
  <si>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</si>
  <si>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</si>
  <si>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</si>
  <si>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</si>
  <si>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</si>
  <si>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</si>
  <si>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</si>
  <si>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</si>
  <si>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</si>
  <si>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</si>
  <si>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</si>
  <si>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</si>
  <si>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</si>
  <si>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</si>
  <si>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</si>
  <si>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</si>
  <si>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</si>
  <si>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</si>
  <si>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</si>
  <si>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</si>
  <si>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</si>
  <si>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</si>
  <si>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</si>
  <si>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</si>
  <si>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</si>
  <si>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</si>
  <si>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</si>
  <si>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</si>
  <si>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</si>
  <si>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</si>
  <si>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</si>
  <si>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</si>
  <si>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</si>
  <si>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</si>
  <si>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</si>
  <si>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</si>
  <si>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</si>
  <si>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</si>
  <si>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</si>
  <si>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</si>
  <si>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</si>
  <si>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</si>
  <si>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</si>
  <si>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</si>
  <si>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</si>
  <si>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</si>
  <si>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</si>
  <si>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</si>
  <si>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</si>
  <si>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</si>
  <si>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</si>
  <si>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</si>
  <si>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</si>
  <si>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</si>
  <si>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</si>
  <si>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</si>
  <si>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</si>
  <si>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</si>
  <si>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</si>
  <si>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</si>
  <si>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</si>
  <si>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</si>
  <si>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</si>
  <si>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</si>
  <si>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</si>
  <si>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</si>
  <si>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</si>
  <si>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</si>
  <si>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</si>
  <si>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</si>
  <si>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</si>
  <si>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</si>
  <si>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</si>
  <si>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</si>
  <si>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</si>
  <si>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</si>
  <si>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</si>
  <si>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</si>
  <si>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</si>
  <si>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</si>
  <si>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</si>
  <si>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</si>
  <si>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</si>
  <si>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</si>
  <si>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</si>
  <si>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</si>
  <si>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</si>
  <si>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</si>
  <si>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</si>
  <si>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</si>
  <si>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</si>
  <si>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</si>
  <si>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</si>
  <si>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</si>
  <si>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</si>
  <si>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</si>
  <si>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</si>
  <si>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</si>
  <si>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</si>
  <si>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</si>
  <si>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</si>
  <si>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</si>
  <si>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</si>
  <si>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</si>
  <si>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</si>
  <si>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</si>
  <si>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</si>
  <si>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</si>
  <si>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</si>
  <si>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</si>
  <si>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</si>
  <si>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</si>
  <si>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</si>
  <si>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</si>
  <si>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</si>
  <si>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</si>
  <si>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</si>
  <si>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</si>
  <si>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</si>
  <si>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</si>
  <si>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</si>
  <si>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</si>
  <si>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</si>
  <si>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</si>
  <si>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</si>
  <si>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</si>
  <si>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</si>
  <si>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</si>
  <si>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</si>
  <si>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</si>
  <si>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</si>
  <si>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</si>
  <si>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</si>
  <si>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</si>
  <si>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</si>
  <si>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</si>
  <si>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</si>
  <si>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</si>
  <si>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</si>
  <si>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</si>
  <si>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</si>
  <si>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</si>
  <si>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</si>
  <si>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</si>
  <si>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</si>
  <si>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</si>
  <si>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</si>
  <si>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</si>
  <si>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</si>
  <si>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</si>
  <si>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</si>
  <si>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</si>
  <si>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</si>
  <si>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</si>
  <si>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</si>
  <si>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</si>
  <si>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</si>
  <si>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</si>
  <si>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</si>
  <si>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</si>
  <si>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</si>
  <si>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</si>
  <si>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</si>
  <si>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</si>
  <si>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</si>
  <si>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</si>
  <si>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</si>
  <si>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</si>
  <si>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</si>
  <si>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</si>
  <si>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</si>
  <si>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</si>
  <si>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</si>
  <si>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</si>
  <si>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</si>
  <si>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</si>
  <si>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</si>
  <si>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</si>
  <si>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</si>
  <si>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</si>
  <si>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</si>
  <si>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</si>
  <si>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</si>
  <si>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</si>
  <si>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</si>
  <si>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</si>
  <si>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</si>
  <si>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</si>
  <si>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</si>
  <si>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</si>
  <si>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</si>
  <si>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</si>
  <si>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</si>
  <si>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</si>
  <si>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</si>
  <si>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</si>
  <si>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</si>
  <si>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</si>
  <si>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</si>
  <si>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</si>
  <si>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</si>
  <si>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</si>
  <si>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</si>
  <si>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</si>
  <si>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</si>
  <si>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</si>
  <si>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</si>
  <si>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</si>
  <si>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</si>
  <si>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</si>
  <si>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</si>
  <si>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</si>
  <si>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</si>
  <si>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</si>
  <si>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</si>
  <si>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</si>
  <si>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</si>
  <si>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</si>
  <si>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</si>
  <si>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</si>
  <si>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</si>
  <si>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</si>
  <si>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</si>
  <si>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</si>
  <si>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</si>
  <si>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</si>
  <si>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</si>
  <si>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</si>
  <si>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</si>
  <si>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</si>
  <si>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</si>
  <si>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</si>
  <si>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</si>
  <si>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</si>
  <si>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</si>
  <si>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</si>
  <si>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</si>
  <si>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</si>
  <si>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</si>
  <si>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</si>
  <si>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</si>
  <si>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</si>
  <si>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</si>
  <si>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</si>
  <si>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</si>
  <si>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</si>
  <si>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</si>
  <si>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</si>
  <si>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</si>
  <si>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</si>
  <si>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</si>
  <si>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</si>
  <si>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</si>
  <si>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</si>
  <si>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</si>
  <si>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</si>
  <si>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</si>
  <si>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</si>
  <si>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</si>
  <si>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</si>
  <si>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</si>
  <si>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</si>
  <si>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</si>
  <si>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</si>
  <si>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</si>
  <si>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</si>
  <si>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</si>
  <si>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</si>
  <si>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</si>
  <si>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</si>
  <si>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</si>
  <si>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</si>
  <si>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</si>
  <si>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</si>
  <si>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</si>
  <si>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</si>
  <si>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</si>
  <si>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</si>
  <si>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</si>
  <si>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</si>
  <si>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</si>
  <si>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</si>
  <si>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</si>
  <si>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</si>
  <si>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</si>
  <si>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</si>
  <si>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</si>
  <si>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</si>
  <si>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</si>
  <si>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</si>
  <si>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</si>
  <si>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</si>
  <si>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</si>
  <si>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</si>
  <si>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</si>
  <si>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</si>
  <si>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</si>
  <si>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</si>
  <si>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</si>
  <si>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</si>
  <si>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</si>
  <si>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</si>
  <si>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</si>
  <si>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</si>
  <si>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</si>
  <si>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</si>
  <si>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</si>
  <si>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</si>
  <si>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</si>
  <si>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</si>
  <si>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</si>
  <si>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</si>
  <si>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</si>
  <si>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</si>
  <si>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</si>
  <si>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</si>
  <si>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</si>
  <si>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</si>
  <si>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</si>
  <si>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</si>
  <si>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</si>
  <si>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</si>
  <si>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</si>
  <si>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</si>
  <si>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</si>
  <si>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</si>
  <si>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</si>
  <si>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</si>
  <si>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</si>
  <si>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</si>
  <si>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</si>
  <si>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</si>
  <si>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</si>
  <si>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</si>
  <si>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</si>
  <si>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</si>
  <si>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</si>
  <si>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</si>
  <si>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</si>
  <si>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</si>
  <si>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</si>
  <si>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</si>
  <si>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</si>
  <si>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</si>
  <si>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</si>
  <si>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</si>
  <si>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</si>
  <si>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</si>
  <si>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</si>
  <si>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</si>
  <si>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</si>
  <si>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</si>
  <si>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</si>
  <si>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</si>
  <si>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</si>
  <si>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</si>
  <si>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</si>
  <si>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</si>
  <si>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</si>
  <si>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</si>
  <si>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</si>
  <si>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</si>
  <si>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</si>
  <si>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</si>
  <si>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</si>
  <si>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</si>
  <si>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</si>
  <si>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</si>
  <si>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</si>
  <si>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</si>
  <si>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</si>
  <si>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</si>
  <si>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</si>
  <si>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</si>
  <si>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</si>
  <si>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</si>
  <si>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</si>
  <si>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</si>
  <si>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</si>
  <si>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</si>
  <si>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</si>
  <si>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</si>
  <si>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</si>
  <si>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</si>
  <si>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</si>
  <si>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</si>
  <si>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</si>
  <si>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</si>
  <si>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</si>
  <si>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</si>
  <si>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</si>
  <si>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</si>
  <si>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</si>
  <si>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</si>
  <si>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</si>
  <si>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</si>
  <si>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</si>
  <si>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</si>
  <si>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</si>
  <si>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</si>
  <si>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</si>
  <si>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</si>
  <si>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</si>
  <si>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</si>
  <si>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</si>
  <si>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</si>
  <si>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</si>
  <si>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</si>
  <si>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</si>
  <si>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</si>
  <si>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</si>
  <si>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</si>
  <si>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</si>
  <si>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</si>
  <si>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</si>
  <si>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</si>
  <si>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</si>
  <si>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</si>
  <si>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</si>
  <si>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</si>
  <si>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</si>
  <si>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</si>
  <si>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</si>
  <si>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</si>
  <si>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</si>
  <si>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</si>
  <si>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</si>
  <si>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</si>
  <si>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</si>
  <si>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</si>
  <si>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</si>
  <si>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</si>
  <si>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</si>
  <si>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</si>
  <si>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</si>
  <si>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</si>
  <si>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</si>
  <si>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</si>
  <si>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</si>
  <si>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</si>
  <si>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</si>
  <si>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</si>
  <si>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</si>
  <si>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</si>
  <si>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</si>
  <si>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</si>
  <si>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</si>
  <si>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</si>
  <si>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</si>
  <si>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</si>
  <si>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</si>
  <si>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</si>
  <si>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</si>
  <si>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</si>
  <si>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</si>
  <si>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</si>
  <si>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</si>
  <si>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</si>
  <si>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</si>
  <si>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</si>
  <si>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</si>
  <si>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</si>
  <si>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</si>
  <si>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</si>
  <si>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</si>
  <si>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</si>
  <si>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</si>
  <si>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</si>
  <si>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</si>
  <si>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</si>
  <si>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</si>
  <si>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</si>
  <si>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</si>
  <si>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</si>
  <si>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</si>
  <si>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</si>
  <si>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</si>
  <si>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</si>
  <si>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</si>
  <si>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</si>
  <si>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</si>
  <si>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</si>
  <si>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</si>
  <si>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</si>
  <si>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</si>
  <si>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</si>
  <si>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</si>
  <si>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</si>
  <si>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</si>
  <si>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</si>
  <si>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</si>
  <si>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</si>
  <si>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</si>
  <si>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</si>
  <si>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</si>
  <si>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</si>
  <si>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</si>
  <si>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</si>
  <si>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</si>
  <si>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</si>
  <si>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</si>
  <si>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</si>
  <si>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</si>
  <si>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</si>
  <si>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</si>
  <si>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</si>
  <si>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</si>
  <si>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</si>
  <si>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</si>
  <si>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</si>
  <si>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</si>
  <si>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</si>
  <si>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</si>
  <si>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</si>
  <si>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</si>
  <si>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</si>
  <si>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</si>
  <si>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</si>
  <si>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</si>
  <si>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</si>
  <si>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</si>
  <si>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</si>
  <si>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</si>
  <si>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</si>
  <si>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</si>
  <si>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</si>
  <si>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</si>
  <si>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</si>
  <si>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</si>
  <si>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</si>
  <si>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</si>
  <si>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</si>
  <si>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</si>
  <si>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</si>
  <si>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</si>
  <si>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</si>
  <si>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</si>
  <si>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</si>
  <si>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</si>
  <si>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</si>
  <si>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</si>
  <si>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</si>
  <si>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</si>
  <si>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</si>
  <si>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</si>
  <si>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</si>
  <si>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</si>
  <si>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</si>
  <si>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</si>
  <si>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</si>
  <si>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</si>
  <si>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</si>
  <si>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</si>
  <si>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</si>
  <si>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</si>
  <si>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</si>
  <si>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</si>
  <si>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</si>
  <si>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</si>
  <si>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</si>
  <si>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</si>
  <si>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</si>
  <si>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</si>
  <si>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</si>
  <si>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</si>
  <si>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</si>
  <si>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</si>
  <si>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</si>
  <si>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</si>
  <si>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</si>
  <si>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</si>
  <si>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</si>
  <si>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</si>
  <si>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</si>
  <si>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</si>
  <si>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</si>
  <si>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</si>
  <si>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</si>
  <si>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</si>
  <si>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</si>
  <si>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</si>
  <si>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</si>
  <si>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</si>
  <si>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</si>
  <si>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</si>
  <si>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</si>
  <si>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</si>
  <si>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</si>
  <si>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</si>
  <si>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</si>
  <si>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</si>
  <si>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</si>
  <si>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</si>
  <si>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</si>
  <si>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</si>
  <si>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</si>
  <si>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</si>
  <si>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</si>
  <si>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</si>
  <si>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</si>
  <si>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</si>
  <si>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</si>
  <si>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</si>
  <si>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</si>
  <si>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</si>
  <si>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</si>
  <si>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</si>
  <si>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</si>
  <si>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</si>
  <si>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</si>
  <si>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</si>
  <si>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</si>
  <si>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</si>
  <si>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</si>
  <si>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</si>
  <si>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</si>
  <si>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</si>
  <si>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</si>
  <si>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</si>
  <si>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</si>
  <si>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</si>
  <si>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</si>
  <si>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</si>
  <si>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</si>
  <si>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</si>
  <si>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</si>
  <si>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</si>
  <si>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</si>
  <si>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</si>
  <si>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</si>
  <si>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</si>
  <si>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</si>
  <si>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</si>
  <si>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</si>
  <si>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</si>
  <si>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</si>
  <si>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</si>
  <si>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</si>
  <si>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</si>
  <si>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</si>
  <si>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</si>
  <si>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</si>
  <si>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</si>
  <si>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</si>
  <si>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</si>
  <si>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</si>
  <si>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</si>
  <si>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</si>
  <si>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</si>
  <si>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</si>
  <si>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</si>
  <si>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</si>
  <si>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</si>
  <si>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</si>
  <si>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</si>
  <si>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</si>
  <si>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</si>
  <si>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</si>
  <si>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</si>
  <si>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</si>
  <si>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</si>
  <si>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</si>
  <si>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</si>
  <si>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</si>
  <si>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</si>
  <si>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</si>
  <si>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</si>
  <si>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</si>
  <si>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</si>
  <si>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</si>
  <si>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</si>
  <si>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</si>
  <si>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</si>
  <si>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</si>
  <si>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</si>
  <si>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</si>
  <si>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</si>
  <si>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</si>
  <si>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</si>
  <si>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</si>
  <si>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</si>
  <si>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</si>
  <si>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</si>
  <si>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</si>
  <si>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</si>
  <si>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</si>
  <si>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</si>
  <si>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</si>
  <si>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</si>
  <si>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</si>
  <si>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</si>
  <si>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</si>
  <si>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</si>
  <si>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</si>
  <si>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</si>
  <si>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</si>
  <si>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</si>
  <si>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</si>
  <si>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</si>
  <si>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</si>
  <si>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</si>
  <si>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</si>
  <si>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</si>
  <si>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</si>
  <si>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</si>
  <si>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</si>
  <si>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</si>
  <si>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</si>
  <si>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</si>
  <si>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</si>
  <si>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</si>
  <si>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</si>
  <si>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</si>
  <si>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</si>
  <si>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</si>
  <si>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</si>
  <si>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</si>
  <si>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</si>
  <si>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</si>
  <si>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</si>
  <si>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</si>
  <si>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</si>
  <si>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</si>
  <si>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</si>
  <si>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</si>
  <si>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</si>
  <si>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</si>
  <si>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</si>
  <si>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</si>
  <si>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</si>
  <si>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</si>
  <si>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</si>
  <si>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</si>
  <si>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</si>
  <si>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</si>
  <si>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</si>
  <si>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</si>
  <si>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</si>
  <si>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</si>
  <si>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</si>
  <si>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</si>
  <si>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</si>
  <si>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</si>
  <si>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</si>
  <si>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</si>
  <si>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</si>
  <si>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</si>
  <si>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</si>
  <si>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</si>
  <si>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</si>
  <si>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</si>
  <si>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</si>
  <si>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</si>
  <si>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</si>
  <si>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</si>
  <si>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</si>
  <si>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</si>
  <si>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</si>
  <si>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</si>
  <si>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</si>
  <si>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</si>
  <si>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</si>
  <si>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</si>
  <si>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</si>
  <si>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</si>
  <si>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</si>
  <si>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</si>
  <si>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</si>
  <si>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</si>
  <si>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</si>
  <si>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</si>
  <si>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</si>
  <si>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</si>
  <si>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</si>
  <si>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</si>
  <si>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</si>
  <si>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</si>
  <si>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</si>
  <si>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</si>
  <si>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</si>
  <si>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</si>
  <si>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</si>
  <si>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</si>
  <si>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</si>
  <si>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</si>
  <si>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</si>
  <si>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</si>
  <si>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</si>
  <si>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</si>
  <si>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</si>
  <si>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</si>
  <si>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</si>
  <si>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</si>
  <si>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</si>
  <si>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</si>
  <si>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</si>
  <si>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</si>
  <si>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</si>
  <si>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</si>
  <si>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</si>
  <si>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</si>
  <si>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</si>
  <si>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</si>
  <si>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</si>
  <si>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</si>
  <si>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</si>
  <si>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</si>
  <si>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</si>
  <si>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</si>
  <si>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</si>
  <si>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</si>
  <si>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</si>
  <si>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</si>
  <si>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</si>
  <si>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</si>
  <si>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</si>
  <si>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</si>
  <si>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</si>
  <si>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</si>
  <si>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</si>
  <si>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</si>
  <si>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</si>
  <si>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</si>
  <si>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</si>
  <si>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</si>
  <si>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</si>
  <si>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</si>
  <si>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</si>
  <si>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</si>
  <si>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</si>
  <si>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</si>
  <si>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</si>
  <si>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</si>
  <si>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</si>
  <si>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</si>
  <si>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</si>
  <si>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</si>
  <si>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</si>
  <si>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</si>
  <si>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</si>
  <si>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</si>
  <si>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</si>
  <si>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</si>
  <si>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</si>
  <si>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</si>
  <si>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</si>
  <si>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</si>
  <si>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</si>
  <si>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</si>
  <si>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</si>
  <si>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</si>
  <si>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</si>
  <si>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</si>
  <si>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</si>
  <si>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</si>
  <si>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</si>
  <si>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</si>
  <si>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</si>
  <si>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</si>
  <si>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</si>
  <si>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</si>
  <si>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</si>
  <si>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</si>
  <si>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</si>
  <si>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</si>
  <si>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</si>
  <si>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</si>
  <si>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</si>
  <si>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</si>
  <si>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</si>
  <si>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</si>
  <si>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</si>
  <si>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</si>
  <si>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</si>
  <si>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</si>
  <si>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</si>
  <si>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</si>
  <si>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</si>
  <si>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</si>
  <si>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</si>
  <si>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</si>
  <si>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</si>
  <si>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</si>
  <si>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</si>
  <si>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</si>
  <si>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</si>
  <si>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</si>
  <si>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</si>
  <si>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</si>
  <si>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</si>
  <si>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</si>
  <si>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</si>
  <si>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</si>
  <si>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</si>
  <si>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</si>
  <si>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</si>
  <si>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</si>
  <si>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</si>
  <si>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</si>
  <si>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</si>
  <si>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</si>
  <si>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</si>
  <si>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</si>
  <si>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</si>
  <si>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</si>
  <si>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</si>
  <si>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</si>
  <si>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</si>
  <si>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</si>
  <si>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</si>
  <si>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</si>
  <si>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</si>
  <si>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</si>
  <si>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</si>
  <si>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</si>
  <si>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</si>
  <si>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</si>
  <si>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</si>
  <si>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</si>
  <si>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</si>
  <si>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</si>
  <si>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</si>
  <si>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</si>
  <si>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</si>
  <si>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</si>
  <si>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</si>
  <si>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</si>
  <si>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</si>
  <si>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</si>
  <si>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</si>
  <si>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</si>
  <si>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</si>
  <si>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</si>
  <si>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</si>
  <si>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</si>
  <si>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</si>
  <si>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</si>
  <si>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</si>
  <si>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</si>
  <si>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</si>
  <si>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</si>
  <si>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</si>
  <si>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</si>
  <si>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</si>
  <si>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</si>
  <si>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</si>
  <si>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</si>
  <si>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</si>
  <si>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</si>
  <si>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</si>
  <si>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</si>
  <si>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</si>
  <si>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</si>
  <si>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</si>
  <si>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</si>
  <si>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</si>
  <si>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</si>
  <si>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</si>
  <si>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</si>
  <si>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</si>
  <si>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</si>
  <si>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</si>
  <si>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</si>
  <si>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</si>
  <si>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</si>
  <si>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</si>
  <si>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</si>
  <si>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</si>
  <si>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</si>
  <si>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</si>
  <si>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</si>
  <si>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</si>
  <si>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</si>
  <si>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</si>
  <si>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</si>
  <si>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</si>
  <si>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</si>
  <si>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</si>
  <si>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</si>
  <si>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</si>
  <si>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</si>
  <si>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</si>
  <si>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</si>
  <si>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</si>
  <si>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</si>
  <si>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</si>
  <si>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</si>
  <si>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</si>
  <si>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</si>
  <si>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</si>
  <si>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</si>
  <si>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</si>
  <si>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</si>
  <si>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</si>
  <si>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</si>
  <si>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</si>
  <si>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</si>
  <si>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</si>
  <si>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</si>
  <si>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</si>
  <si>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</si>
  <si>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</si>
  <si>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</si>
  <si>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</si>
  <si>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</si>
  <si>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</si>
  <si>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</si>
  <si>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</si>
  <si>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</si>
  <si>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</si>
  <si>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</si>
  <si>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</si>
  <si>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</si>
  <si>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</si>
  <si>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</si>
  <si>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</si>
  <si>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</si>
  <si>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</si>
  <si>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</si>
  <si>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</si>
  <si>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</si>
  <si>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</si>
  <si>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</si>
  <si>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</si>
  <si>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</si>
  <si>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</si>
  <si>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</si>
  <si>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</si>
  <si>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</si>
  <si>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</si>
  <si>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</si>
  <si>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</si>
  <si>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</si>
  <si>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</si>
  <si>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</si>
  <si>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</si>
  <si>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</si>
  <si>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</si>
  <si>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</si>
  <si>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</si>
  <si>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</si>
  <si>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</si>
  <si>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</si>
  <si>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</si>
  <si>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</si>
  <si>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</si>
  <si>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</si>
  <si>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</si>
  <si>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</si>
  <si>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</si>
  <si>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</si>
  <si>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</si>
  <si>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</si>
  <si>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</si>
  <si>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</si>
  <si>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</si>
  <si>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</si>
  <si>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</si>
  <si>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</si>
  <si>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</si>
  <si>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</si>
  <si>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</si>
  <si>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</si>
  <si>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</si>
  <si>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</si>
  <si>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</si>
  <si>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</si>
  <si>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</si>
  <si>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</si>
  <si>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</si>
  <si>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</si>
  <si>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</si>
  <si>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</si>
  <si>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</si>
  <si>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</si>
  <si>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</si>
  <si>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</si>
  <si>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</si>
  <si>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</si>
  <si>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</si>
  <si>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</si>
  <si>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</si>
  <si>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</si>
  <si>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</si>
  <si>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</si>
  <si>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</si>
  <si>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</si>
  <si>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</si>
  <si>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</si>
  <si>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</si>
  <si>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</si>
  <si>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</si>
  <si>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</si>
  <si>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</si>
  <si>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</si>
  <si>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</si>
  <si>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</si>
  <si>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</si>
  <si>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</si>
  <si>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</si>
  <si>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</si>
  <si>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</si>
  <si>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</si>
  <si>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</si>
  <si>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</si>
  <si>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</si>
  <si>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</si>
  <si>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</si>
  <si>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</si>
  <si>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</si>
  <si>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</si>
  <si>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</si>
  <si>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</si>
  <si>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</si>
  <si>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</si>
  <si>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</si>
  <si>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</si>
  <si>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</si>
  <si>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</si>
  <si>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</si>
  <si>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</si>
  <si>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</si>
  <si>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</si>
  <si>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</si>
  <si>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</si>
  <si>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</si>
  <si>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</si>
  <si>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</si>
  <si>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</si>
  <si>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</si>
  <si>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</si>
  <si>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</si>
  <si>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</si>
  <si>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</si>
  <si>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</si>
  <si>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</si>
  <si>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</si>
  <si>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</si>
  <si>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</si>
  <si>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</si>
  <si>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</si>
  <si>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</si>
  <si>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</si>
  <si>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</si>
  <si>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</si>
  <si>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</si>
  <si>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</si>
  <si>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</si>
  <si>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</si>
  <si>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</si>
  <si>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</si>
  <si>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</si>
  <si>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</si>
  <si>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</si>
  <si>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</si>
  <si>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</si>
  <si>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</si>
  <si>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</si>
  <si>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</si>
  <si>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</si>
  <si>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</si>
  <si>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</si>
  <si>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</si>
  <si>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</si>
  <si>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</si>
  <si>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</si>
  <si>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</si>
  <si>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</si>
  <si>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</si>
  <si>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</si>
  <si>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</si>
  <si>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</si>
  <si>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</si>
  <si>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</si>
  <si>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</si>
  <si>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</si>
  <si>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</si>
  <si>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</si>
  <si>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</si>
  <si>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</si>
  <si>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</si>
  <si>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</si>
  <si>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</si>
  <si>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</si>
  <si>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</si>
  <si>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</si>
  <si>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</si>
  <si>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</si>
  <si>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</si>
  <si>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</si>
  <si>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</si>
  <si>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</si>
  <si>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</si>
  <si>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</si>
  <si>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</si>
  <si>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</si>
  <si>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</si>
  <si>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</si>
  <si>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</si>
  <si>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</si>
  <si>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</si>
  <si>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</si>
  <si>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</si>
  <si>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</si>
  <si>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</si>
  <si>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</si>
  <si>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</si>
  <si>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</si>
  <si>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</si>
  <si>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</si>
  <si>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</si>
  <si>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</si>
  <si>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</si>
  <si>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</si>
  <si>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</si>
  <si>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</si>
  <si>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</si>
  <si>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</si>
  <si>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</si>
  <si>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</si>
  <si>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</si>
  <si>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</si>
  <si>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</si>
  <si>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</si>
  <si>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</si>
  <si>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</si>
  <si>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</si>
  <si>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</si>
  <si>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</si>
  <si>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</si>
  <si>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</si>
  <si>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</si>
  <si>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</si>
  <si>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</si>
  <si>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</si>
  <si>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</si>
  <si>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</si>
  <si>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</si>
  <si>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</si>
  <si>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</si>
  <si>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</si>
  <si>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</si>
  <si>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</si>
  <si>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</si>
  <si>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</si>
  <si>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</si>
  <si>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</si>
  <si>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</si>
  <si>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</si>
  <si>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</si>
  <si>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</si>
  <si>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</si>
  <si>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</si>
  <si>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</si>
  <si>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</si>
  <si>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</si>
  <si>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</si>
  <si>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</si>
  <si>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</si>
  <si>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</si>
  <si>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</si>
  <si>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</si>
  <si>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</si>
  <si>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</si>
  <si>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</si>
  <si>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</si>
  <si>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</si>
  <si>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</si>
  <si>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</si>
  <si>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</si>
  <si>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</si>
  <si>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</si>
  <si>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</si>
  <si>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</si>
  <si>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</si>
  <si>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</si>
  <si>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</si>
  <si>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</si>
  <si>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</si>
  <si>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</si>
  <si>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</si>
  <si>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</si>
  <si>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</si>
  <si>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</si>
  <si>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</si>
  <si>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</si>
  <si>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</si>
  <si>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</si>
  <si>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</si>
  <si>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</si>
  <si>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</si>
  <si>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</si>
  <si>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</si>
  <si>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</si>
  <si>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</si>
  <si>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</si>
  <si>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</si>
  <si>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</si>
  <si>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</si>
  <si>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</si>
  <si>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</si>
  <si>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</si>
  <si>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</si>
  <si>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</si>
  <si>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</si>
  <si>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</si>
  <si>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</si>
  <si>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</si>
  <si>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</si>
  <si>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</si>
  <si>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</si>
  <si>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</si>
  <si>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</si>
  <si>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</si>
  <si>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</si>
  <si>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</si>
  <si>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</si>
  <si>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</si>
  <si>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</si>
  <si>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</si>
  <si>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</si>
  <si>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</si>
  <si>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</si>
  <si>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</si>
  <si>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</si>
  <si>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</si>
  <si>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</si>
  <si>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</si>
  <si>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</si>
  <si>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</si>
  <si>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</si>
  <si>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</si>
  <si>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</si>
  <si>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</si>
  <si>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</si>
  <si>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</si>
  <si>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</si>
  <si>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</si>
  <si>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</si>
  <si>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</si>
  <si>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</si>
  <si>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</si>
  <si>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</si>
  <si>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</si>
  <si>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</si>
  <si>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</si>
  <si>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</si>
  <si>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</si>
  <si>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</si>
  <si>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</si>
  <si>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</si>
  <si>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</si>
  <si>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</si>
  <si>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</si>
  <si>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</si>
  <si>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</si>
  <si>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</si>
  <si>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</si>
  <si>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</si>
  <si>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</si>
  <si>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</si>
  <si>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</si>
  <si>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</si>
  <si>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</si>
  <si>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</si>
  <si>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</si>
  <si>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</si>
  <si>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</si>
  <si>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</si>
  <si>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</si>
  <si>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</si>
  <si>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</si>
  <si>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</si>
  <si>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</si>
  <si>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</si>
  <si>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</si>
  <si>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</si>
  <si>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</si>
  <si>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</si>
  <si>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</si>
  <si>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</si>
  <si>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</si>
  <si>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</si>
  <si>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</si>
  <si>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</si>
  <si>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</si>
  <si>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</si>
  <si>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</si>
  <si>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</si>
  <si>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</si>
  <si>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</si>
  <si>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</si>
  <si>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</si>
  <si>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</si>
  <si>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</si>
  <si>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</si>
  <si>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</si>
  <si>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</si>
  <si>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</si>
  <si>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</si>
  <si>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</si>
  <si>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</si>
  <si>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</si>
  <si>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</si>
  <si>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</si>
  <si>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</si>
  <si>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</si>
  <si>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</si>
  <si>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</si>
  <si>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</si>
  <si>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</si>
  <si>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</si>
  <si>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</si>
  <si>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</si>
  <si>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</si>
  <si>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</si>
  <si>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</si>
  <si>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</si>
  <si>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</si>
  <si>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</si>
  <si>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</si>
  <si>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</si>
  <si>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</si>
  <si>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</si>
  <si>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</si>
  <si>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</si>
  <si>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</si>
  <si>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</si>
  <si>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</si>
  <si>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</si>
  <si>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</si>
  <si>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</si>
  <si>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</si>
  <si>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</si>
  <si>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</si>
  <si>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</si>
  <si>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</si>
  <si>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</si>
  <si>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</si>
  <si>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</si>
  <si>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</si>
  <si>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</si>
  <si>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</si>
  <si>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</si>
  <si>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</si>
  <si>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</si>
  <si>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</si>
  <si>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</si>
  <si>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</si>
  <si>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</si>
  <si>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</si>
  <si>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</si>
  <si>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</si>
  <si>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</si>
  <si>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</si>
  <si>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</si>
  <si>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</si>
  <si>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</si>
  <si>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</si>
  <si>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</si>
  <si>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</si>
  <si>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</si>
  <si>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</si>
  <si>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</si>
  <si>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</si>
  <si>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</si>
  <si>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</si>
  <si>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</si>
  <si>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</si>
  <si>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</si>
  <si>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</si>
  <si>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</si>
  <si>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</si>
  <si>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</si>
  <si>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</si>
  <si>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</si>
  <si>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</si>
  <si>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</si>
  <si>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</si>
  <si>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</si>
  <si>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</si>
  <si>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</si>
  <si>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</si>
  <si>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</si>
  <si>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</si>
  <si>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</si>
  <si>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</si>
  <si>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</si>
  <si>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</si>
  <si>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</si>
  <si>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</si>
  <si>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</si>
  <si>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</si>
  <si>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</si>
  <si>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</si>
  <si>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</si>
  <si>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</si>
  <si>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</si>
  <si>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</si>
  <si>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</si>
  <si>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</si>
  <si>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</si>
  <si>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</si>
  <si>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</si>
  <si>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</si>
  <si>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</si>
  <si>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</si>
  <si>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</si>
  <si>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</si>
  <si>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</si>
  <si>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</si>
  <si>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</si>
  <si>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</si>
  <si>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</si>
  <si>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</si>
  <si>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</si>
  <si>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</si>
  <si>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</si>
  <si>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</si>
  <si>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</si>
  <si>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</si>
  <si>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</si>
  <si>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</si>
  <si>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</si>
  <si>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</si>
  <si>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</si>
  <si>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</si>
  <si>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</si>
  <si>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</si>
  <si>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</si>
  <si>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</si>
  <si>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</si>
  <si>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</si>
  <si>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</si>
  <si>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</si>
  <si>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</si>
  <si>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</si>
  <si>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</si>
  <si>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</si>
  <si>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</si>
  <si>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</si>
  <si>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</si>
  <si>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</si>
  <si>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</si>
  <si>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</si>
  <si>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</si>
  <si>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</si>
  <si>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</si>
  <si>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</si>
  <si>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</si>
  <si>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</si>
  <si>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</si>
  <si>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</si>
  <si>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</si>
  <si>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</si>
  <si>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</si>
  <si>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</si>
  <si>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</si>
  <si>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</si>
  <si>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</si>
  <si>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</si>
  <si>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</si>
  <si>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</si>
  <si>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</si>
  <si>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</si>
  <si>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</si>
  <si>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</si>
  <si>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</si>
  <si>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</si>
  <si>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</si>
  <si>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</si>
  <si>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</si>
  <si>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</si>
  <si>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</si>
  <si>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</si>
  <si>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</si>
  <si>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</si>
  <si>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</si>
  <si>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</si>
  <si>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</si>
  <si>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</si>
  <si>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</si>
  <si>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</si>
  <si>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</si>
  <si>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</si>
  <si>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</si>
  <si>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</si>
  <si>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</si>
  <si>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</si>
  <si>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</si>
  <si>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</si>
  <si>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</si>
  <si>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</si>
  <si>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</si>
  <si>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</si>
  <si>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</si>
  <si>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</si>
  <si>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</si>
  <si>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</si>
  <si>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</si>
  <si>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</si>
  <si>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</si>
  <si>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</si>
  <si>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</si>
  <si>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</si>
  <si>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</si>
  <si>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</si>
  <si>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</si>
  <si>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</si>
  <si>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</si>
  <si>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</si>
  <si>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</si>
  <si>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</si>
  <si>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</si>
  <si>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</si>
  <si>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</si>
  <si>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</si>
  <si>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</si>
  <si>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</si>
  <si>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</si>
  <si>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</si>
  <si>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</si>
  <si>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</si>
  <si>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</si>
  <si>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</si>
  <si>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</si>
  <si>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</si>
  <si>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</si>
  <si>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</si>
  <si>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</si>
  <si>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</si>
  <si>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</si>
  <si>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</si>
  <si>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</si>
  <si>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</si>
  <si>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</si>
  <si>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</si>
  <si>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</si>
  <si>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</si>
  <si>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</si>
  <si>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</si>
  <si>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</si>
  <si>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</si>
  <si>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</si>
  <si>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</si>
  <si>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</si>
  <si>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</si>
  <si>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</si>
  <si>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</si>
  <si>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</si>
  <si>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</si>
  <si>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</si>
  <si>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</si>
  <si>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</si>
  <si>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</si>
  <si>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</si>
  <si>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</si>
  <si>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</si>
  <si>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</si>
  <si>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</si>
  <si>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</si>
  <si>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</si>
  <si>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</si>
  <si>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</si>
  <si>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</si>
  <si>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</si>
  <si>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</si>
  <si>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</si>
  <si>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</si>
  <si>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</si>
  <si>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</si>
  <si>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</si>
  <si>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</si>
  <si>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</si>
  <si>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</si>
  <si>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</si>
  <si>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</si>
  <si>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</si>
  <si>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</si>
  <si>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</si>
  <si>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</si>
  <si>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</si>
  <si>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</si>
  <si>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</si>
  <si>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</si>
  <si>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</si>
  <si>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</si>
  <si>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</si>
  <si>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</si>
  <si>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</si>
  <si>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</si>
  <si>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</si>
  <si>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</si>
  <si>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</si>
  <si>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</si>
  <si>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</si>
  <si>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</si>
  <si>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</si>
  <si>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</si>
  <si>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</si>
  <si>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</si>
  <si>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</si>
  <si>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</si>
  <si>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</si>
  <si>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</si>
  <si>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</si>
  <si>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</si>
  <si>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</si>
  <si>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</si>
  <si>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</si>
  <si>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</si>
  <si>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</si>
  <si>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</si>
  <si>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</si>
  <si>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</si>
  <si>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</si>
  <si>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</si>
  <si>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</si>
  <si>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</si>
  <si>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</si>
  <si>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</si>
  <si>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</si>
  <si>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</si>
  <si>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</si>
  <si>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</si>
  <si>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</si>
  <si>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</si>
  <si>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</si>
  <si>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</si>
  <si>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</si>
  <si>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</si>
  <si>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</si>
  <si>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</si>
  <si>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</si>
  <si>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</si>
  <si>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</si>
  <si>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</si>
  <si>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</si>
  <si>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</si>
  <si>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</si>
  <si>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</si>
  <si>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</si>
  <si>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</si>
  <si>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</si>
  <si>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</si>
  <si>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</si>
  <si>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</si>
  <si>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</si>
  <si>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</si>
  <si>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</si>
  <si>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</si>
  <si>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</si>
  <si>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</si>
  <si>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</si>
  <si>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</si>
  <si>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</si>
  <si>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</si>
  <si>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</si>
  <si>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</si>
  <si>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</si>
  <si>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</si>
  <si>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</si>
  <si>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</si>
  <si>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</si>
  <si>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</si>
  <si>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</si>
  <si>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</si>
  <si>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</si>
  <si>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</si>
  <si>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</si>
  <si>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</si>
  <si>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</si>
  <si>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</si>
  <si>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</si>
  <si>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</si>
  <si>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</si>
  <si>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</si>
  <si>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</si>
  <si>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</si>
  <si>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</si>
  <si>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</si>
  <si>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</si>
  <si>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</si>
  <si>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</si>
  <si>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</si>
  <si>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</si>
  <si>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</si>
  <si>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</si>
  <si>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</si>
  <si>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</si>
  <si>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</si>
  <si>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</si>
  <si>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</si>
  <si>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</si>
  <si>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</si>
  <si>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</si>
  <si>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</si>
  <si>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</si>
  <si>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</si>
  <si>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</si>
  <si>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</si>
  <si>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</si>
  <si>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</si>
  <si>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</si>
  <si>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</si>
  <si>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</si>
  <si>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</si>
  <si>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</si>
  <si>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</si>
  <si>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</si>
  <si>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</si>
  <si>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</si>
  <si>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</si>
  <si>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</si>
  <si>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</si>
  <si>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</si>
  <si>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</si>
  <si>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</si>
  <si>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</si>
  <si>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</si>
  <si>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</si>
  <si>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</si>
  <si>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</si>
  <si>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</si>
  <si>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</si>
  <si>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</si>
  <si>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</si>
  <si>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</si>
  <si>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</si>
  <si>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</si>
  <si>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</si>
  <si>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</si>
  <si>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</si>
  <si>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</si>
  <si>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</si>
  <si>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</si>
  <si>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</si>
  <si>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</si>
  <si>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</si>
  <si>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</si>
  <si>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</si>
  <si>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</si>
  <si>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</si>
  <si>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</si>
  <si>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</si>
  <si>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</si>
  <si>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</si>
  <si>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</si>
  <si>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</si>
  <si>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</si>
  <si>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</si>
  <si>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</si>
  <si>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</si>
  <si>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</si>
  <si>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</si>
  <si>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</si>
  <si>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</si>
  <si>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</si>
  <si>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</si>
  <si>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</si>
  <si>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</si>
  <si>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</si>
  <si>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</si>
  <si>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</si>
  <si>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</si>
  <si>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</si>
  <si>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</si>
  <si>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</si>
  <si>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</si>
  <si>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</si>
  <si>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</si>
  <si>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</si>
  <si>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</si>
  <si>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</si>
  <si>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</si>
  <si>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</si>
  <si>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</si>
  <si>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</si>
  <si>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</si>
  <si>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</si>
  <si>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</si>
  <si>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</si>
  <si>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</si>
  <si>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</si>
  <si>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</si>
  <si>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</si>
  <si>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</si>
  <si>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</si>
  <si>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</si>
  <si>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</si>
  <si>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</si>
  <si>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</si>
  <si>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</si>
  <si>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</si>
  <si>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</si>
  <si>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</si>
  <si>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</si>
  <si>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</si>
  <si>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</si>
  <si>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</si>
  <si>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</si>
  <si>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</si>
  <si>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</si>
  <si>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</si>
  <si>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</si>
  <si>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</si>
  <si>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</si>
  <si>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</si>
  <si>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</si>
  <si>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</si>
  <si>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</si>
  <si>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</si>
  <si>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</si>
  <si>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</si>
  <si>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</si>
  <si>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</si>
  <si>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</si>
  <si>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</si>
  <si>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</si>
  <si>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</si>
  <si>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</si>
  <si>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</si>
  <si>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</si>
  <si>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</si>
  <si>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</si>
  <si>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</si>
  <si>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</si>
  <si>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</si>
  <si>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</si>
  <si>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</si>
  <si>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</si>
  <si>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</si>
  <si>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</si>
  <si>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</si>
  <si>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</si>
  <si>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</si>
  <si>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</si>
  <si>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</si>
  <si>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</si>
  <si>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</si>
  <si>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</si>
  <si>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</si>
  <si>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</si>
  <si>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</si>
  <si>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</si>
  <si>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</si>
  <si>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</si>
  <si>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</si>
  <si>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</si>
  <si>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</si>
  <si>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</si>
  <si>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</si>
  <si>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</si>
  <si>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</si>
  <si>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</si>
  <si>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</si>
  <si>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CTCAC</t>
  </si>
  <si>
    <t>CalHFA MIP</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</si>
  <si>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</si>
  <si>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</si>
  <si>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</si>
  <si>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</si>
  <si>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</si>
  <si>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</si>
  <si>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</si>
  <si>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</si>
  <si>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</si>
  <si>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</si>
  <si>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</si>
  <si>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</si>
  <si>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</si>
  <si>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</si>
  <si>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</si>
  <si>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</si>
  <si>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</si>
  <si>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</si>
  <si>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</si>
  <si>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</si>
  <si>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</si>
  <si>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</si>
  <si>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</si>
  <si>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</si>
  <si>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</si>
  <si>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</si>
  <si>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</si>
  <si>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</si>
  <si>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</si>
  <si>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</si>
  <si>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</si>
  <si>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</si>
  <si>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</si>
  <si>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</si>
  <si>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</si>
  <si>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</si>
  <si>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</si>
  <si>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</si>
  <si>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</si>
  <si>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</si>
  <si>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</si>
  <si>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</si>
  <si>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</si>
  <si>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</si>
  <si>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</si>
  <si>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</si>
  <si>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</si>
  <si>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</si>
  <si>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</si>
  <si>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</si>
  <si>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</si>
  <si>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</si>
  <si>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</si>
  <si>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</si>
  <si>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</si>
  <si>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</si>
  <si>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</si>
  <si>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</si>
  <si>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</si>
  <si>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</si>
  <si>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</si>
  <si>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</si>
  <si>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</si>
  <si>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</si>
  <si>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</si>
  <si>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</si>
  <si>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</si>
  <si>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</si>
  <si>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</si>
  <si>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</si>
  <si>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</si>
  <si>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</si>
  <si>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</si>
  <si>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</si>
  <si>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</si>
  <si>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</si>
  <si>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</si>
  <si>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</si>
  <si>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</si>
  <si>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</si>
  <si>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</si>
  <si>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</si>
  <si>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</si>
  <si>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</si>
  <si>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</si>
  <si>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</si>
  <si>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</si>
  <si>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</si>
  <si>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</si>
  <si>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</si>
  <si>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</si>
  <si>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</si>
  <si>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</si>
  <si>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</si>
  <si>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</si>
  <si>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</si>
  <si>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</si>
  <si>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</si>
  <si>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</si>
  <si>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</si>
  <si>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</si>
  <si>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</si>
  <si>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</si>
  <si>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</si>
  <si>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</si>
  <si>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</si>
  <si>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</si>
  <si>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</si>
  <si>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</si>
  <si>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</si>
  <si>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</si>
  <si>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</si>
  <si>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</si>
  <si>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</si>
  <si>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</si>
  <si>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</si>
  <si>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</si>
  <si>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</si>
  <si>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</si>
  <si>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</si>
  <si>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</si>
  <si>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</si>
  <si>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</si>
  <si>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</si>
  <si>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</si>
  <si>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</si>
  <si>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</si>
  <si>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</si>
  <si>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</si>
  <si>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</si>
  <si>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</si>
  <si>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</si>
  <si>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</si>
  <si>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</si>
  <si>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</si>
  <si>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</si>
  <si>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</si>
  <si>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</si>
  <si>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</si>
  <si>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</si>
  <si>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</si>
  <si>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</si>
  <si>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</si>
  <si>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</si>
  <si>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</si>
  <si>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</si>
  <si>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</si>
  <si>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</si>
  <si>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</si>
  <si>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</si>
  <si>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</si>
  <si>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</si>
  <si>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</si>
  <si>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</si>
  <si>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</si>
  <si>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</si>
  <si>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</si>
  <si>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</si>
  <si>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</si>
  <si>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</si>
  <si>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</si>
  <si>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</si>
  <si>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</si>
  <si>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</si>
  <si>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</si>
  <si>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</si>
  <si>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</si>
  <si>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</si>
  <si>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</si>
  <si>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</si>
  <si>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</si>
  <si>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</si>
  <si>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</si>
  <si>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</si>
  <si>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</si>
  <si>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</si>
  <si>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</si>
  <si>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</si>
  <si>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</si>
  <si>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</si>
  <si>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</si>
  <si>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</si>
  <si>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</si>
  <si>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</si>
  <si>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</si>
  <si>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</si>
  <si>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</si>
  <si>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</si>
  <si>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</si>
  <si>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</si>
  <si>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</si>
  <si>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</si>
  <si>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</si>
  <si>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</si>
  <si>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</si>
  <si>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</si>
  <si>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</si>
  <si>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</si>
  <si>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</si>
  <si>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</si>
  <si>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</si>
  <si>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</si>
  <si>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</si>
  <si>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</si>
  <si>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</si>
  <si>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</si>
  <si>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</si>
  <si>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</si>
  <si>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</si>
  <si>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</si>
  <si>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</si>
  <si>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</si>
  <si>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</si>
  <si>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</si>
  <si>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</si>
  <si>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</si>
  <si>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</si>
  <si>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</si>
  <si>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</si>
  <si>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</si>
  <si>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</si>
  <si>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</si>
  <si>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</si>
  <si>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</si>
  <si>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</si>
  <si>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</si>
  <si>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</si>
  <si>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</si>
  <si>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</si>
  <si>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</si>
  <si>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</si>
  <si>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</si>
  <si>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</si>
  <si>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</si>
  <si>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</si>
  <si>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</si>
  <si>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</si>
  <si>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</si>
  <si>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</si>
  <si>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</si>
  <si>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</si>
  <si>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</si>
  <si>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</si>
  <si>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</si>
  <si>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</si>
  <si>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</si>
  <si>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</si>
  <si>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</si>
  <si>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</si>
  <si>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</si>
  <si>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</si>
  <si>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</si>
  <si>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</si>
  <si>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</si>
  <si>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</si>
  <si>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</si>
  <si>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</si>
  <si>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</si>
  <si>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</si>
  <si>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</si>
  <si>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</si>
  <si>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</si>
  <si>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</si>
  <si>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</si>
  <si>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</si>
  <si>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</si>
  <si>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</si>
  <si>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</si>
  <si>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</si>
  <si>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</si>
  <si>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</si>
  <si>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</si>
  <si>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</si>
  <si>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</si>
  <si>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</si>
  <si>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</si>
  <si>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</si>
  <si>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</si>
  <si>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</si>
  <si>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</si>
  <si>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</si>
  <si>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</si>
  <si>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</si>
  <si>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</si>
  <si>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</si>
  <si>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</si>
  <si>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</si>
  <si>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</si>
  <si>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</si>
  <si>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</si>
  <si>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Timothy Elliot</t>
  </si>
  <si>
    <t>1200 W 7th Street, 8th Floor</t>
  </si>
  <si>
    <t>timothy.elliott@lacity.org</t>
  </si>
  <si>
    <t>544 S Mariposa Avenue</t>
  </si>
  <si>
    <t xml:space="preserve">Los Angeles </t>
  </si>
  <si>
    <t>5502-019-002</t>
  </si>
  <si>
    <t>40%/60% Average Income</t>
  </si>
  <si>
    <t>CA</t>
  </si>
  <si>
    <t>6451 Box Springs Blvd.</t>
  </si>
  <si>
    <t xml:space="preserve">Riverside </t>
  </si>
  <si>
    <t>William Leach</t>
  </si>
  <si>
    <t>william@kingdomdevelopment.net</t>
  </si>
  <si>
    <t xml:space="preserve">Kingdom Development, Inc. </t>
  </si>
  <si>
    <t>Kingdom Development, Inc.</t>
  </si>
  <si>
    <t>Consultant and Sole Member of the MGP</t>
  </si>
  <si>
    <t>Bocarsly Emden Cowan Esmail &amp; Arndt LLP</t>
  </si>
  <si>
    <t>633 W 5th Street, Suite 5880</t>
  </si>
  <si>
    <t>Los Angeles, CA 90071</t>
  </si>
  <si>
    <t>Kyle Arndt</t>
  </si>
  <si>
    <t>(213) 559-0747</t>
  </si>
  <si>
    <t>karndt@bocarsly.com</t>
  </si>
  <si>
    <t>Novogradac &amp; Company LLP</t>
  </si>
  <si>
    <t>PO Box 7833</t>
  </si>
  <si>
    <t>San Francisco, CA 94120-7833</t>
  </si>
  <si>
    <t>Melissa Chung</t>
  </si>
  <si>
    <t>melissa.chung@novoco.com</t>
  </si>
  <si>
    <t>The Concord Group</t>
  </si>
  <si>
    <t>140 Newport Center Drive, Suite 210</t>
  </si>
  <si>
    <t>Newport Beach, CA 92660</t>
  </si>
  <si>
    <t>Michael Reynolds</t>
  </si>
  <si>
    <t>mdr@theconcordgroup.com</t>
  </si>
  <si>
    <t>6451 Box Springs Blvd</t>
  </si>
  <si>
    <t>Riverside, CA 92507</t>
  </si>
  <si>
    <t>Wilshire Construction</t>
  </si>
  <si>
    <t>3470 Wilshire Blvd. #500</t>
  </si>
  <si>
    <t>Los Angeles, CA 90010</t>
  </si>
  <si>
    <t>Kidder Matthews</t>
  </si>
  <si>
    <t>601 S. Figueroa St. Suite 2700</t>
  </si>
  <si>
    <t>Los Angeles, CA 90017</t>
  </si>
  <si>
    <t>Bill Drewes</t>
  </si>
  <si>
    <t>bill.drewes@kidder.com</t>
  </si>
  <si>
    <t>Aperto Property Management, Inc.</t>
  </si>
  <si>
    <t>2 Venture, Suite 525</t>
  </si>
  <si>
    <t>Irvine, CA 92618</t>
  </si>
  <si>
    <t>Ed Quigley</t>
  </si>
  <si>
    <t>edquigley@apertopm.com</t>
  </si>
  <si>
    <t>Secured by Leasehold Interest</t>
  </si>
  <si>
    <t>Other (Specify below)</t>
  </si>
  <si>
    <t>7 story residential building</t>
  </si>
  <si>
    <t>Managing GP</t>
  </si>
  <si>
    <t>Calyx</t>
  </si>
  <si>
    <t>Calyx 544 Mariposa AGP, LLC</t>
  </si>
  <si>
    <t>Administrative GP</t>
  </si>
  <si>
    <t>Not Applicable</t>
  </si>
  <si>
    <t>Kingdom BN LLC</t>
  </si>
  <si>
    <t>Tax Credit Proceeds</t>
  </si>
  <si>
    <t>Deferred Costs</t>
  </si>
  <si>
    <t>Fixed</t>
  </si>
  <si>
    <t>Citibank - Tax Exempt</t>
  </si>
  <si>
    <t>Citibank - Taxable</t>
  </si>
  <si>
    <t>pshin.summitbuilders@gmail.com</t>
  </si>
  <si>
    <t>Calyx Development, LLC</t>
  </si>
  <si>
    <t>75'</t>
  </si>
  <si>
    <t>Residential</t>
  </si>
  <si>
    <t>300 S Grand Avenue, Suite 3110</t>
  </si>
  <si>
    <t>Hao Li</t>
  </si>
  <si>
    <t>3470 Wilshire Blvd., Suite 700</t>
  </si>
  <si>
    <t>Los Angeles, CA90010</t>
  </si>
  <si>
    <t>Deferred Fee</t>
  </si>
  <si>
    <t>895 Dove Street, Suite 450</t>
  </si>
  <si>
    <t>Newport Beach</t>
  </si>
  <si>
    <t>Cory Bannister</t>
  </si>
  <si>
    <t>3580 Wilshire Blvd. Suite 900-16</t>
  </si>
  <si>
    <t>Hyun Shin</t>
  </si>
  <si>
    <t>Calyx Holdings, LLC</t>
  </si>
  <si>
    <t>Matt Cheesebro</t>
  </si>
  <si>
    <t>Manager of the Sole Member and Manager of the AGP</t>
  </si>
  <si>
    <t>C2-1</t>
  </si>
  <si>
    <t>Office supplies, postage, expenses, copier, software licensing, toner</t>
  </si>
  <si>
    <t>Payroll Tax and Benefits</t>
  </si>
  <si>
    <t>Fire Safety, Supplies, HVAC, Tools, &amp; Appliances</t>
  </si>
  <si>
    <t>Bond Issuer Fees</t>
  </si>
  <si>
    <t>Provided</t>
  </si>
  <si>
    <t>DFH Architects, LLP</t>
  </si>
  <si>
    <t>1544 20th St.</t>
  </si>
  <si>
    <t>Santa Monica, CA 90404</t>
  </si>
  <si>
    <t>James Fischer</t>
  </si>
  <si>
    <t>fischer@dfhaia.com</t>
  </si>
  <si>
    <t>matt@wilshireconstructionlp.com</t>
  </si>
  <si>
    <t>RBC Capital Markets</t>
  </si>
  <si>
    <t>2061 Ashridge Way</t>
  </si>
  <si>
    <t>Granite Bay, CA 95746</t>
  </si>
  <si>
    <t>Stacie Altmann</t>
  </si>
  <si>
    <t>stacie.altmann@rbccm.com</t>
  </si>
  <si>
    <t>HSF Holdings, LLC</t>
  </si>
  <si>
    <t>NA</t>
  </si>
  <si>
    <t>YEAR 16</t>
  </si>
  <si>
    <t>YEAR 17</t>
  </si>
  <si>
    <t>YEAR 18</t>
  </si>
  <si>
    <t>YEAR 19</t>
  </si>
  <si>
    <t>YEAR 20</t>
  </si>
  <si>
    <t>YEAR 21</t>
  </si>
  <si>
    <t>YEAR 22</t>
  </si>
  <si>
    <t>YEAR 23</t>
  </si>
  <si>
    <t>YEAR 24</t>
  </si>
  <si>
    <t>YEAR 25</t>
  </si>
  <si>
    <t>YEAR 26</t>
  </si>
  <si>
    <t>YEAR 27</t>
  </si>
  <si>
    <t>YEAR 28</t>
  </si>
  <si>
    <t>YEAR 29</t>
  </si>
  <si>
    <t>YEAR 30</t>
  </si>
  <si>
    <t>Other:  Holding Costs</t>
  </si>
  <si>
    <t>General Contract Engagement Certification</t>
  </si>
  <si>
    <t>None</t>
  </si>
  <si>
    <t>Above residual receipts line for cash flow</t>
  </si>
  <si>
    <t>(Specify)</t>
  </si>
  <si>
    <t>Calyx 544 Mariposa, LP</t>
  </si>
  <si>
    <t>Citibank - Tax-Exempt</t>
  </si>
  <si>
    <t>Recycled Bonds, Tax-Exempt</t>
  </si>
  <si>
    <t>Spada Development LLC</t>
  </si>
  <si>
    <t>1329 Bonita Avene</t>
  </si>
  <si>
    <t>La Verne</t>
  </si>
  <si>
    <t>Mihkel S Garcia</t>
  </si>
  <si>
    <t>mgarcia@spadadevelopment.com</t>
  </si>
  <si>
    <t>May</t>
  </si>
  <si>
    <t>Other: (Outside Issuance Fees)</t>
  </si>
  <si>
    <t>California Municipal Finance Authority</t>
  </si>
  <si>
    <t>2111 Palomar Airport Rd., Suite 320</t>
  </si>
  <si>
    <t>Carlsbad, CA 92011</t>
  </si>
  <si>
    <t>Anthony Stubbs</t>
  </si>
  <si>
    <t>760-930-1333</t>
  </si>
  <si>
    <t>astubbs@cmfa-ca.com</t>
  </si>
  <si>
    <t>N/A - All utilities will be owner paid</t>
  </si>
  <si>
    <t>Citibank - Tax-Exempt Recycled Bonds</t>
  </si>
  <si>
    <t>Need to Provide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</si>
</sst>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8"/>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24850">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62" fillId="0" borderId="0"/>
    <xf numFmtId="0" fontId="62" fillId="0" borderId="0">
      <alignment vertical="top"/>
    </xf>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0" fillId="5" borderId="6" xfId="0" applyFill="1" applyBorder="1" applyAlignment="1" applyProtection="1">
      <alignment horizontal="center"/>
      <protection locked="0"/>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7" fillId="0" borderId="0" xfId="543" applyFont="1"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68" fontId="18" fillId="0" borderId="11" xfId="543" applyNumberForma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182" fontId="26" fillId="43" borderId="11" xfId="8721" applyNumberFormat="1" applyFont="1" applyFill="1" applyBorder="1" applyAlignment="1" applyProtection="1">
      <alignment horizontal="center" vertical="center" wrapText="1"/>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4" fillId="3" borderId="0" xfId="0" applyFont="1" applyFill="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8" fillId="0" borderId="3" xfId="0" applyFont="1" applyBorder="1"/>
    <xf numFmtId="0" fontId="18" fillId="0" borderId="4" xfId="0" applyFont="1" applyBorder="1"/>
    <xf numFmtId="0" fontId="18" fillId="0" borderId="5" xfId="0" applyFont="1" applyBorder="1"/>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6" fillId="0" borderId="0" xfId="0" applyFont="1" applyAlignment="1">
      <alignment horizontal="center"/>
    </xf>
    <xf numFmtId="168" fontId="27" fillId="0" borderId="4" xfId="0" applyNumberFormat="1" applyFont="1" applyBorder="1" applyAlignment="1">
      <alignment horizontal="center"/>
    </xf>
    <xf numFmtId="0" fontId="24" fillId="3" borderId="0" xfId="0" applyFont="1" applyFill="1" applyAlignment="1">
      <alignment horizontal="center" vertical="center" wrapText="1"/>
    </xf>
    <xf numFmtId="166" fontId="27" fillId="5" borderId="6" xfId="0" applyNumberFormat="1" applyFont="1" applyFill="1" applyBorder="1" applyAlignment="1" applyProtection="1">
      <alignment horizontal="left"/>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6" fontId="27"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11" xfId="0" applyFont="1" applyFill="1" applyBorder="1" applyAlignment="1" applyProtection="1">
      <alignment horizontal="left" wrapText="1"/>
      <protection locked="0"/>
    </xf>
    <xf numFmtId="0" fontId="18" fillId="5" borderId="4" xfId="0" applyFont="1" applyFill="1" applyBorder="1" applyAlignment="1" applyProtection="1">
      <alignment wrapText="1"/>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0" fontId="0" fillId="5" borderId="4" xfId="0" applyNumberFormat="1" applyFill="1" applyBorder="1" applyAlignment="1" applyProtection="1">
      <alignment horizontal="center"/>
      <protection locked="0"/>
    </xf>
    <xf numFmtId="0" fontId="27" fillId="45" borderId="11" xfId="0" applyFont="1" applyFill="1" applyBorder="1" applyAlignment="1">
      <alignment horizontal="center"/>
    </xf>
    <xf numFmtId="0" fontId="27" fillId="2" borderId="11" xfId="0" applyFont="1" applyFill="1" applyBorder="1" applyAlignment="1">
      <alignment horizontal="center"/>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18" fillId="0" borderId="11"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168" fontId="0" fillId="5" borderId="11" xfId="0" applyNumberFormat="1" applyFill="1" applyBorder="1" applyAlignment="1" applyProtection="1">
      <alignment horizontal="center"/>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0" fillId="0" borderId="9" xfId="0" applyBorder="1" applyAlignment="1">
      <alignment horizontal="lef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0" fontId="18" fillId="0" borderId="0" xfId="543" applyAlignment="1">
      <alignment horizontal="center"/>
    </xf>
    <xf numFmtId="2" fontId="18" fillId="0" borderId="0" xfId="543" applyNumberFormat="1" applyAlignment="1">
      <alignment horizontal="center"/>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8" fontId="0" fillId="5" borderId="11" xfId="0" applyNumberFormat="1" applyFill="1" applyBorder="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9" fontId="18" fillId="5" borderId="3" xfId="0" applyNumberFormat="1" applyFont="1" applyFill="1" applyBorder="1" applyAlignment="1" applyProtection="1">
      <alignment horizontal="right"/>
      <protection locked="0"/>
    </xf>
    <xf numFmtId="0" fontId="27" fillId="0" borderId="1" xfId="0" applyFont="1" applyBorder="1" applyAlignment="1">
      <alignment horizontal="center" vertical="top" wrapText="1"/>
    </xf>
    <xf numFmtId="0" fontId="25" fillId="0" borderId="6" xfId="0" applyFont="1" applyBorder="1" applyAlignment="1">
      <alignment horizontal="center"/>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71" fontId="18" fillId="0" borderId="0" xfId="543" applyNumberFormat="1" applyAlignment="1">
      <alignment horizontal="center"/>
    </xf>
    <xf numFmtId="0" fontId="25" fillId="0" borderId="0" xfId="0" applyFont="1" applyAlignment="1">
      <alignment horizontal="center" vertical="center"/>
    </xf>
    <xf numFmtId="0" fontId="25" fillId="0" borderId="7" xfId="0" applyFont="1" applyBorder="1" applyAlignment="1">
      <alignment horizontal="center" wrapText="1"/>
    </xf>
    <xf numFmtId="0" fontId="25" fillId="0" borderId="11"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27" fillId="0" borderId="11" xfId="0" applyFont="1" applyBorder="1" applyAlignment="1">
      <alignment horizontal="center"/>
    </xf>
    <xf numFmtId="168" fontId="156" fillId="0" borderId="0" xfId="0" applyNumberFormat="1" applyFont="1" applyAlignment="1">
      <alignment horizontal="center" vertical="center" wrapText="1"/>
    </xf>
    <xf numFmtId="14" fontId="0" fillId="5" borderId="6" xfId="0" applyNumberFormat="1" applyFill="1" applyBorder="1" applyAlignment="1" applyProtection="1">
      <alignment horizontal="center"/>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14" fontId="0" fillId="5" borderId="4" xfId="0" applyNumberFormat="1" applyFill="1" applyBorder="1" applyAlignment="1" applyProtection="1">
      <alignment horizontal="center"/>
      <protection locked="0"/>
    </xf>
    <xf numFmtId="0" fontId="0" fillId="0" borderId="12" xfId="0" applyBorder="1" applyAlignment="1">
      <alignment horizontal="center"/>
    </xf>
    <xf numFmtId="0" fontId="27" fillId="5" borderId="4" xfId="0" applyFont="1" applyFill="1" applyBorder="1" applyAlignment="1" applyProtection="1">
      <alignment wrapText="1"/>
      <protection locked="0"/>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6" fontId="18" fillId="5" borderId="4" xfId="0" applyNumberFormat="1" applyFont="1" applyFill="1" applyBorder="1" applyAlignment="1" applyProtection="1">
      <alignment horizontal="left"/>
      <protection locked="0"/>
    </xf>
    <xf numFmtId="172" fontId="25" fillId="0" borderId="11" xfId="0" applyNumberFormat="1" applyFont="1" applyBorder="1" applyAlignment="1">
      <alignment horizontal="center" vertical="center" wrapText="1"/>
    </xf>
    <xf numFmtId="0" fontId="27" fillId="0" borderId="4" xfId="0" applyFont="1" applyBorder="1" applyAlignment="1">
      <alignment horizontal="center"/>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8" fillId="43"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0" borderId="11"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9" fontId="18" fillId="0" borderId="0" xfId="543" applyNumberFormat="1" applyAlignment="1">
      <alignment horizontal="center" vertical="center"/>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180" fontId="0" fillId="0" borderId="6" xfId="0" applyNumberForma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0" fontId="27" fillId="5" borderId="4" xfId="0" applyNumberFormat="1" applyFont="1" applyFill="1" applyBorder="1" applyAlignment="1" applyProtection="1">
      <alignment horizontal="right"/>
      <protection locked="0"/>
    </xf>
    <xf numFmtId="14" fontId="27" fillId="5" borderId="4" xfId="0" applyNumberFormat="1" applyFont="1" applyFill="1" applyBorder="1" applyAlignment="1" applyProtection="1">
      <alignment horizontal="right"/>
      <protection locked="0"/>
    </xf>
    <xf numFmtId="0" fontId="25" fillId="0" borderId="11" xfId="0" applyFont="1" applyBorder="1" applyAlignment="1">
      <alignment horizontal="center" vertical="center"/>
    </xf>
    <xf numFmtId="168" fontId="18" fillId="0" borderId="3"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11" xfId="0" applyNumberFormat="1"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3" fontId="27" fillId="5" borderId="11" xfId="0" applyNumberFormat="1" applyFont="1" applyFill="1" applyBorder="1" applyAlignment="1" applyProtection="1">
      <alignment horizontal="center"/>
      <protection locked="0"/>
    </xf>
    <xf numFmtId="10" fontId="27" fillId="0" borderId="11" xfId="0" applyNumberFormat="1" applyFont="1" applyBorder="1" applyAlignment="1">
      <alignment horizontal="center"/>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 fontId="27" fillId="5" borderId="6" xfId="0" applyNumberFormat="1" applyFont="1" applyFill="1" applyBorder="1" applyAlignment="1" applyProtection="1">
      <alignment horizontal="right"/>
      <protection locked="0"/>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166" fontId="18" fillId="5" borderId="6" xfId="271" applyNumberFormat="1" applyFont="1" applyFill="1" applyBorder="1" applyAlignment="1" applyProtection="1">
      <alignment horizontal="left"/>
      <protection locked="0"/>
    </xf>
    <xf numFmtId="0" fontId="18" fillId="0" borderId="0" xfId="0" applyFont="1" applyAlignment="1" applyProtection="1">
      <alignment horizontal="left"/>
      <protection locked="0"/>
    </xf>
    <xf numFmtId="49" fontId="0" fillId="5" borderId="6" xfId="0" applyNumberFormat="1" applyFill="1" applyBorder="1" applyAlignment="1" applyProtection="1">
      <alignment horizontal="center"/>
      <protection locked="0"/>
    </xf>
    <xf numFmtId="0" fontId="0" fillId="5" borderId="6" xfId="0" applyFill="1" applyBorder="1" applyProtection="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7" fillId="0" borderId="4"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0" borderId="0" xfId="0" applyAlignment="1">
      <alignment vertical="top" wrapText="1"/>
    </xf>
    <xf numFmtId="0" fontId="18" fillId="5" borderId="0"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4" xfId="0"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37" fillId="5" borderId="6" xfId="0" applyFont="1" applyFill="1" applyBorder="1" applyAlignment="1" applyProtection="1">
      <alignment horizontal="left"/>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0" fillId="0" borderId="6" xfId="0" applyBorder="1" applyAlignment="1" applyProtection="1">
      <alignment horizontal="center"/>
      <protection locked="0"/>
    </xf>
    <xf numFmtId="2" fontId="0" fillId="0" borderId="6" xfId="0" applyNumberForma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7" fillId="5" borderId="11" xfId="0" quotePrefix="1"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3" fontId="0" fillId="0" borderId="6" xfId="0" applyNumberFormat="1" applyBorder="1" applyAlignment="1">
      <alignment horizontal="right"/>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168" fontId="0" fillId="43" borderId="6" xfId="0" applyNumberForma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0" fontId="25" fillId="0" borderId="10"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3" fontId="27" fillId="0" borderId="11" xfId="0" applyNumberFormat="1" applyFont="1" applyBorder="1" applyAlignment="1">
      <alignment horizontal="center"/>
    </xf>
    <xf numFmtId="0" fontId="25" fillId="0" borderId="9" xfId="0" applyFont="1"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7" fillId="0" borderId="3" xfId="0" applyFont="1" applyBorder="1" applyAlignment="1">
      <alignment horizontal="left"/>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 fillId="48" borderId="9" xfId="8736" applyFont="1"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172" fillId="48" borderId="72" xfId="8736" applyFont="1" applyFill="1" applyBorder="1" applyAlignment="1" applyProtection="1">
      <alignment horizontal="left" vertical="top" wrapText="1"/>
      <protection locked="0"/>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wrapText="1"/>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72"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1" fillId="48" borderId="80" xfId="8736" applyFont="1"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24850">
    <cellStyle name="20% - Accent1" xfId="1" builtinId="30" customBuiltin="1"/>
    <cellStyle name="20% - Accent1 10" xfId="4504" xr:uid="{00000000-0005-0000-0000-000001000000}"/>
    <cellStyle name="20% - Accent1 10 2" xfId="20621" xr:uid="{14789D6B-89C2-44EC-8477-D827AB056CD2}"/>
    <cellStyle name="20% - Accent1 10 3" xfId="13000" xr:uid="{32AA20F3-1297-4A0E-A62D-7339BCCC9D57}"/>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23182" xr:uid="{550972FD-4F0E-41B4-9281-F76EC80760AC}"/>
    <cellStyle name="20% - Accent1 2 2 2 2 2 2 3" xfId="15561" xr:uid="{EBF139E6-5299-4F07-9ACB-ADBD106AE700}"/>
    <cellStyle name="20% - Accent1 2 2 2 2 2 3" xfId="18969" xr:uid="{749F0D35-7868-431F-A95A-2A0317AEFD5D}"/>
    <cellStyle name="20% - Accent1 2 2 2 2 2 4" xfId="11348" xr:uid="{7CAF0FA4-EE27-4D87-BB60-3D072F98C8DE}"/>
    <cellStyle name="20% - Accent1 2 2 2 2 3" xfId="4921" xr:uid="{00000000-0005-0000-0000-000008000000}"/>
    <cellStyle name="20% - Accent1 2 2 2 2 3 2" xfId="21037" xr:uid="{77EA7616-56F6-4B9B-817C-5338F0FCD749}"/>
    <cellStyle name="20% - Accent1 2 2 2 2 3 3" xfId="13416" xr:uid="{67D6D41A-17BB-4D5D-9057-61561AB5AAAF}"/>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23595" xr:uid="{6E06662C-DDB7-4C4F-90CC-90F57D5CBEC2}"/>
    <cellStyle name="20% - Accent1 2 2 2 3 2 2 3" xfId="15974" xr:uid="{7CFF4210-B77A-499B-B2DB-C2D7488EA25F}"/>
    <cellStyle name="20% - Accent1 2 2 2 3 2 3" xfId="19382" xr:uid="{803C6399-C0B8-4F5C-A739-90C6C30A7436}"/>
    <cellStyle name="20% - Accent1 2 2 2 3 2 4" xfId="11761" xr:uid="{2EB13385-EFC4-4E51-9230-6D5524C1BC71}"/>
    <cellStyle name="20% - Accent1 2 2 2 3 3" xfId="5334" xr:uid="{00000000-0005-0000-0000-00000C000000}"/>
    <cellStyle name="20% - Accent1 2 2 2 3 3 2" xfId="21450" xr:uid="{F3077B15-208F-4366-9F26-FB204252C7F9}"/>
    <cellStyle name="20% - Accent1 2 2 2 3 3 3" xfId="13829" xr:uid="{D7F63186-A1FC-4570-9EDB-C36EF072028A}"/>
    <cellStyle name="20% - Accent1 2 2 2 3 4" xfId="17237" xr:uid="{575E7A5A-2364-4207-A5DB-E2DFC9A47A8E}"/>
    <cellStyle name="20% - Accent1 2 2 2 3 5" xfId="9616" xr:uid="{5E632AED-A69C-4EF0-A9A1-90FBC33A0C8E}"/>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24008" xr:uid="{8CDF8574-C11C-4C6A-B02D-67A4F9D9BA5B}"/>
    <cellStyle name="20% - Accent1 2 2 2 4 2 2 3" xfId="16387" xr:uid="{4E13C209-A6BC-4DDC-ACDA-2D73B2FBAA93}"/>
    <cellStyle name="20% - Accent1 2 2 2 4 2 3" xfId="19795" xr:uid="{13BEAE65-A664-4759-B67B-45C76566BDA8}"/>
    <cellStyle name="20% - Accent1 2 2 2 4 2 4" xfId="12174" xr:uid="{6AE91325-0633-4690-B909-185256B83907}"/>
    <cellStyle name="20% - Accent1 2 2 2 4 3" xfId="5747" xr:uid="{00000000-0005-0000-0000-000010000000}"/>
    <cellStyle name="20% - Accent1 2 2 2 4 3 2" xfId="21863" xr:uid="{0AA618B1-07A2-4A3A-8365-F2A3E444370A}"/>
    <cellStyle name="20% - Accent1 2 2 2 4 3 3" xfId="14242" xr:uid="{5C9ABFFB-006C-4E74-B46C-AD56EDB6D93A}"/>
    <cellStyle name="20% - Accent1 2 2 2 4 4" xfId="17650" xr:uid="{74877B07-7C9E-4340-B11E-E998D8798F6E}"/>
    <cellStyle name="20% - Accent1 2 2 2 4 5" xfId="10029" xr:uid="{D7A8A47B-60F9-4977-B165-558E8C226092}"/>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24421" xr:uid="{E125488D-3173-4852-A2D8-F81D1A5BB813}"/>
    <cellStyle name="20% - Accent1 2 2 2 5 2 2 3" xfId="16800" xr:uid="{41F541AA-B8CA-4936-90DE-B6CB2A61A555}"/>
    <cellStyle name="20% - Accent1 2 2 2 5 2 3" xfId="20208" xr:uid="{98A1026C-8617-490B-BF1C-FF6067531FEF}"/>
    <cellStyle name="20% - Accent1 2 2 2 5 2 4" xfId="12587" xr:uid="{A65B47C5-7271-46A9-9153-59D06A9155A5}"/>
    <cellStyle name="20% - Accent1 2 2 2 5 3" xfId="6160" xr:uid="{00000000-0005-0000-0000-000014000000}"/>
    <cellStyle name="20% - Accent1 2 2 2 5 3 2" xfId="22276" xr:uid="{7B753DD7-7B45-4C15-BC17-EBBB7CE22230}"/>
    <cellStyle name="20% - Accent1 2 2 2 5 3 3" xfId="14655" xr:uid="{7DCD8897-3387-4918-A7DE-07656F4B0FD1}"/>
    <cellStyle name="20% - Accent1 2 2 2 5 4" xfId="18063" xr:uid="{0A9D112D-ABFA-4EF9-8D30-9D730127336E}"/>
    <cellStyle name="20% - Accent1 2 2 2 5 5" xfId="10442" xr:uid="{13277704-FF5D-46D3-8BD6-66E354903AF8}"/>
    <cellStyle name="20% - Accent1 2 2 2 6" xfId="2267" xr:uid="{00000000-0005-0000-0000-000015000000}"/>
    <cellStyle name="20% - Accent1 2 2 2 6 2" xfId="6573" xr:uid="{00000000-0005-0000-0000-000016000000}"/>
    <cellStyle name="20% - Accent1 2 2 2 6 2 2" xfId="22689" xr:uid="{E73A080F-2714-4A1A-8F92-57B0466C54B3}"/>
    <cellStyle name="20% - Accent1 2 2 2 6 2 3" xfId="15068" xr:uid="{5CCA52E8-82DC-4CEE-8F57-4692696BE913}"/>
    <cellStyle name="20% - Accent1 2 2 2 6 3" xfId="18476" xr:uid="{4B20975C-29DC-4021-A06E-D75777411A1C}"/>
    <cellStyle name="20% - Accent1 2 2 2 6 4" xfId="10855" xr:uid="{C593A15E-1C04-428D-A0FB-DF41E39F1875}"/>
    <cellStyle name="20% - Accent1 2 2 2 7" xfId="4507" xr:uid="{00000000-0005-0000-0000-000017000000}"/>
    <cellStyle name="20% - Accent1 2 2 2 7 2" xfId="20624" xr:uid="{F410D357-356F-4964-94DF-6E05025724D6}"/>
    <cellStyle name="20% - Accent1 2 2 2 7 3" xfId="13003" xr:uid="{02E306C6-41AB-4C14-B111-4CC78BADE258}"/>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23181" xr:uid="{715C4C49-55C1-4563-8240-CF22990F6DE6}"/>
    <cellStyle name="20% - Accent1 2 2 3 2 2 3" xfId="15560" xr:uid="{120EC558-FDDE-40B8-AB56-57D3E0E6F986}"/>
    <cellStyle name="20% - Accent1 2 2 3 2 3" xfId="18968" xr:uid="{D8B0558F-8356-442B-B169-551BCFFBD604}"/>
    <cellStyle name="20% - Accent1 2 2 3 2 4" xfId="11347" xr:uid="{4D049BC0-E875-4EF7-A213-FA728A49CAE7}"/>
    <cellStyle name="20% - Accent1 2 2 3 3" xfId="4920" xr:uid="{00000000-0005-0000-0000-00001B000000}"/>
    <cellStyle name="20% - Accent1 2 2 3 3 2" xfId="21036" xr:uid="{DE581EC5-7004-430B-AC7C-F1CAC273A750}"/>
    <cellStyle name="20% - Accent1 2 2 3 3 3" xfId="13415" xr:uid="{4361B64E-73AF-4695-A68C-299DA76FC8A4}"/>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23594" xr:uid="{A1F2E002-3409-43F7-965D-142DC2CE31FF}"/>
    <cellStyle name="20% - Accent1 2 2 4 2 2 3" xfId="15973" xr:uid="{5F088A0C-BE32-429F-945A-E85C4CD23549}"/>
    <cellStyle name="20% - Accent1 2 2 4 2 3" xfId="19381" xr:uid="{ED6636A6-3B05-4271-A5A9-C6DADB5C6855}"/>
    <cellStyle name="20% - Accent1 2 2 4 2 4" xfId="11760" xr:uid="{8079F49E-F99D-45CB-9D78-F77EDAFDC238}"/>
    <cellStyle name="20% - Accent1 2 2 4 3" xfId="5333" xr:uid="{00000000-0005-0000-0000-00001F000000}"/>
    <cellStyle name="20% - Accent1 2 2 4 3 2" xfId="21449" xr:uid="{69653E64-80F5-4BC5-9575-8E8F681F9B32}"/>
    <cellStyle name="20% - Accent1 2 2 4 3 3" xfId="13828" xr:uid="{D254B06F-9E95-45A7-8643-BB5B98C64255}"/>
    <cellStyle name="20% - Accent1 2 2 4 4" xfId="17236" xr:uid="{67712B67-E815-4DEC-AE10-99054A0B803B}"/>
    <cellStyle name="20% - Accent1 2 2 4 5" xfId="9615" xr:uid="{E9F48F5C-E369-4B47-8FE6-576B92E1A142}"/>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24007" xr:uid="{82BA9D2E-4ED2-434B-934F-BA3A4E7CBFEA}"/>
    <cellStyle name="20% - Accent1 2 2 5 2 2 3" xfId="16386" xr:uid="{15B6EC8F-4B93-42A8-8643-705AB375AD23}"/>
    <cellStyle name="20% - Accent1 2 2 5 2 3" xfId="19794" xr:uid="{DFB26A40-47A4-4A12-ABBF-CB20A80DB194}"/>
    <cellStyle name="20% - Accent1 2 2 5 2 4" xfId="12173" xr:uid="{21A2F622-F6A1-4B12-B389-8464FAAA8C64}"/>
    <cellStyle name="20% - Accent1 2 2 5 3" xfId="5746" xr:uid="{00000000-0005-0000-0000-000023000000}"/>
    <cellStyle name="20% - Accent1 2 2 5 3 2" xfId="21862" xr:uid="{1E536DFC-D66E-43B6-AB68-848FAF68D92B}"/>
    <cellStyle name="20% - Accent1 2 2 5 3 3" xfId="14241" xr:uid="{719823DD-4B03-400B-8026-A02FE427DED3}"/>
    <cellStyle name="20% - Accent1 2 2 5 4" xfId="17649" xr:uid="{AAA099A8-9789-4097-9906-0727BDA2F308}"/>
    <cellStyle name="20% - Accent1 2 2 5 5" xfId="10028" xr:uid="{8BB33CCA-976B-453E-BA95-21F8A04E4304}"/>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24420" xr:uid="{E45C0817-32C0-4AEA-96B0-5DEB06745899}"/>
    <cellStyle name="20% - Accent1 2 2 6 2 2 3" xfId="16799" xr:uid="{17DC1E63-A146-44CA-8E5F-D3A928E60C8F}"/>
    <cellStyle name="20% - Accent1 2 2 6 2 3" xfId="20207" xr:uid="{23E44206-1CAF-47BD-96E3-83AF74E71025}"/>
    <cellStyle name="20% - Accent1 2 2 6 2 4" xfId="12586" xr:uid="{EF5CC6FB-8FC6-47C3-A982-027A250613D0}"/>
    <cellStyle name="20% - Accent1 2 2 6 3" xfId="6159" xr:uid="{00000000-0005-0000-0000-000027000000}"/>
    <cellStyle name="20% - Accent1 2 2 6 3 2" xfId="22275" xr:uid="{713E78CC-EFF9-43E9-A66F-E45BEBC3AD89}"/>
    <cellStyle name="20% - Accent1 2 2 6 3 3" xfId="14654" xr:uid="{E00E0649-629E-49CC-AA7E-B3F1FBF6FF44}"/>
    <cellStyle name="20% - Accent1 2 2 6 4" xfId="18062" xr:uid="{37250468-EA0C-4894-A5C8-FC9E072DABFD}"/>
    <cellStyle name="20% - Accent1 2 2 6 5" xfId="10441" xr:uid="{63F9090E-4EE7-49C8-B98D-EBF1594C2284}"/>
    <cellStyle name="20% - Accent1 2 2 7" xfId="2266" xr:uid="{00000000-0005-0000-0000-000028000000}"/>
    <cellStyle name="20% - Accent1 2 2 7 2" xfId="6572" xr:uid="{00000000-0005-0000-0000-000029000000}"/>
    <cellStyle name="20% - Accent1 2 2 7 2 2" xfId="22688" xr:uid="{BC71F168-2797-47DB-A920-587D775E0BC7}"/>
    <cellStyle name="20% - Accent1 2 2 7 2 3" xfId="15067" xr:uid="{14392A04-EB76-47E6-ABC9-CB472F745BB6}"/>
    <cellStyle name="20% - Accent1 2 2 7 3" xfId="18475" xr:uid="{9A51A113-AEA1-4284-8C40-58747711B8C2}"/>
    <cellStyle name="20% - Accent1 2 2 7 4" xfId="10854" xr:uid="{666985D1-D11F-4979-B3C3-94A842DE5D35}"/>
    <cellStyle name="20% - Accent1 2 2 8" xfId="4506" xr:uid="{00000000-0005-0000-0000-00002A000000}"/>
    <cellStyle name="20% - Accent1 2 2 8 2" xfId="20623" xr:uid="{DC342B03-48B4-411F-A1B8-32571637FE21}"/>
    <cellStyle name="20% - Accent1 2 2 8 3" xfId="13002" xr:uid="{5FA78D6B-8153-4CE3-858C-F8CFC94185D9}"/>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23183" xr:uid="{40CFBA4D-1CAB-450F-ABB2-D9C0483822D5}"/>
    <cellStyle name="20% - Accent1 2 3 2 2 2 3" xfId="15562" xr:uid="{2B9E1202-926D-4278-8A1B-4A2749A438E1}"/>
    <cellStyle name="20% - Accent1 2 3 2 2 3" xfId="18970" xr:uid="{FF8F38E1-2AE3-4F8B-8D47-DF66AA0FC735}"/>
    <cellStyle name="20% - Accent1 2 3 2 2 4" xfId="11349" xr:uid="{EB5A2D3E-F40F-4E6B-9B49-7CFA170C2A80}"/>
    <cellStyle name="20% - Accent1 2 3 2 3" xfId="4922" xr:uid="{00000000-0005-0000-0000-00002F000000}"/>
    <cellStyle name="20% - Accent1 2 3 2 3 2" xfId="21038" xr:uid="{DA71675B-719F-4116-AC6B-1699E9A20386}"/>
    <cellStyle name="20% - Accent1 2 3 2 3 3" xfId="13417" xr:uid="{4FC24E29-6432-4937-AAF3-3B79A5C80C6F}"/>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23596" xr:uid="{4D8F3901-66C6-4AD6-B147-5A661DAE70B7}"/>
    <cellStyle name="20% - Accent1 2 3 3 2 2 3" xfId="15975" xr:uid="{28DFC034-6506-43C1-B0D8-4CAB9079B28A}"/>
    <cellStyle name="20% - Accent1 2 3 3 2 3" xfId="19383" xr:uid="{5C61E3E8-43EE-4C3D-843F-CBE50865E2EC}"/>
    <cellStyle name="20% - Accent1 2 3 3 2 4" xfId="11762" xr:uid="{8F970906-BFD3-4193-8CAB-9DD907070BE6}"/>
    <cellStyle name="20% - Accent1 2 3 3 3" xfId="5335" xr:uid="{00000000-0005-0000-0000-000033000000}"/>
    <cellStyle name="20% - Accent1 2 3 3 3 2" xfId="21451" xr:uid="{C23592FC-F0B5-4CFF-B027-CEC45F5BB605}"/>
    <cellStyle name="20% - Accent1 2 3 3 3 3" xfId="13830" xr:uid="{ECDD242C-89C2-4C1D-914E-DE9FA67BE821}"/>
    <cellStyle name="20% - Accent1 2 3 3 4" xfId="17238" xr:uid="{9C988A26-12FB-4476-AE3E-BE86395EEE6A}"/>
    <cellStyle name="20% - Accent1 2 3 3 5" xfId="9617" xr:uid="{A627E7A9-3D7A-471E-B4B7-6FDB6D402AE5}"/>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24009" xr:uid="{E082D2D3-2567-43DC-AFC4-748B63620656}"/>
    <cellStyle name="20% - Accent1 2 3 4 2 2 3" xfId="16388" xr:uid="{98E443F7-3DF0-4BEA-B2EA-42F96A2F9796}"/>
    <cellStyle name="20% - Accent1 2 3 4 2 3" xfId="19796" xr:uid="{60853855-3646-497E-8633-631DE1FE8455}"/>
    <cellStyle name="20% - Accent1 2 3 4 2 4" xfId="12175" xr:uid="{76EE5601-2F9B-4822-A37E-CFBC1B275FF7}"/>
    <cellStyle name="20% - Accent1 2 3 4 3" xfId="5748" xr:uid="{00000000-0005-0000-0000-000037000000}"/>
    <cellStyle name="20% - Accent1 2 3 4 3 2" xfId="21864" xr:uid="{5D62FAEF-5D34-4A94-AB7C-CDC7326BA1BD}"/>
    <cellStyle name="20% - Accent1 2 3 4 3 3" xfId="14243" xr:uid="{C3CBB89E-3ACA-42DF-B0B9-6FFA8B7C1F59}"/>
    <cellStyle name="20% - Accent1 2 3 4 4" xfId="17651" xr:uid="{DB0D14B5-6FCC-44DC-8F6C-5E121835416F}"/>
    <cellStyle name="20% - Accent1 2 3 4 5" xfId="10030" xr:uid="{CF7511C4-EB11-4D4A-B9B1-1D084A2F8E30}"/>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24422" xr:uid="{9D7F5E11-9D07-4A67-AAE4-7676BE9F0BCF}"/>
    <cellStyle name="20% - Accent1 2 3 5 2 2 3" xfId="16801" xr:uid="{EE2D69BC-E177-4B75-BBCE-769FFA563C29}"/>
    <cellStyle name="20% - Accent1 2 3 5 2 3" xfId="20209" xr:uid="{477982F9-634C-48E1-8B72-3CBBAFE3DDA6}"/>
    <cellStyle name="20% - Accent1 2 3 5 2 4" xfId="12588" xr:uid="{6986B0EB-DFB8-49D8-9BAB-80B614630BE2}"/>
    <cellStyle name="20% - Accent1 2 3 5 3" xfId="6161" xr:uid="{00000000-0005-0000-0000-00003B000000}"/>
    <cellStyle name="20% - Accent1 2 3 5 3 2" xfId="22277" xr:uid="{A4DD9ED2-DFE7-4246-BE66-867314AFCB33}"/>
    <cellStyle name="20% - Accent1 2 3 5 3 3" xfId="14656" xr:uid="{5CDC8634-5124-4857-8205-88D3495263D9}"/>
    <cellStyle name="20% - Accent1 2 3 5 4" xfId="18064" xr:uid="{B39FF487-D924-4486-AD88-6B317F64F595}"/>
    <cellStyle name="20% - Accent1 2 3 5 5" xfId="10443" xr:uid="{C7E4F1CD-E213-4CA9-B96D-F669BDA22139}"/>
    <cellStyle name="20% - Accent1 2 3 6" xfId="2268" xr:uid="{00000000-0005-0000-0000-00003C000000}"/>
    <cellStyle name="20% - Accent1 2 3 6 2" xfId="6574" xr:uid="{00000000-0005-0000-0000-00003D000000}"/>
    <cellStyle name="20% - Accent1 2 3 6 2 2" xfId="22690" xr:uid="{851D64C3-F3F5-4CCA-9AE7-A3B663939399}"/>
    <cellStyle name="20% - Accent1 2 3 6 2 3" xfId="15069" xr:uid="{B7CE8189-DB8D-4CB8-82C2-07102A41C2D5}"/>
    <cellStyle name="20% - Accent1 2 3 6 3" xfId="18477" xr:uid="{FDE8B0E8-7B17-4695-A74E-56A0DF59B2C9}"/>
    <cellStyle name="20% - Accent1 2 3 6 4" xfId="10856" xr:uid="{08E8710C-21F9-4787-8BA2-259A37FC4E88}"/>
    <cellStyle name="20% - Accent1 2 3 7" xfId="4508" xr:uid="{00000000-0005-0000-0000-00003E000000}"/>
    <cellStyle name="20% - Accent1 2 3 7 2" xfId="20625" xr:uid="{1CC9230E-5D44-4531-BDA8-2FCE812680D4}"/>
    <cellStyle name="20% - Accent1 2 3 7 3" xfId="13004" xr:uid="{2AF0B789-073B-411D-A450-2D56ABF0DB8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2 2 2" xfId="23180" xr:uid="{8D77DC2A-6F22-4426-8FEF-2203BA572E2E}"/>
    <cellStyle name="20% - Accent1 2 4 2 2 3" xfId="15559" xr:uid="{CC3FB0F7-88C9-4045-8E0D-90CC8286782E}"/>
    <cellStyle name="20% - Accent1 2 4 2 3" xfId="18967" xr:uid="{55B9283E-CC2C-40F9-BCC6-89D21E19EFB7}"/>
    <cellStyle name="20% - Accent1 2 4 2 4" xfId="11346" xr:uid="{308E9EC3-C9FF-4E73-8E63-929F7797C281}"/>
    <cellStyle name="20% - Accent1 2 4 3" xfId="4919" xr:uid="{00000000-0005-0000-0000-000042000000}"/>
    <cellStyle name="20% - Accent1 2 4 3 2" xfId="21035" xr:uid="{26AA4F0B-B627-42DA-A2A3-BB7F2B8D21D0}"/>
    <cellStyle name="20% - Accent1 2 4 3 3" xfId="13414" xr:uid="{D919EAC0-F433-45C4-94F1-8525C3DC63E8}"/>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2 2 2" xfId="23593" xr:uid="{D9AC9CF6-1318-4531-A997-B9E80B517E9F}"/>
    <cellStyle name="20% - Accent1 2 5 2 2 3" xfId="15972" xr:uid="{B547B506-0175-447B-89F2-9DA2972C9E29}"/>
    <cellStyle name="20% - Accent1 2 5 2 3" xfId="19380" xr:uid="{9CEA59EA-B95E-43BB-B4E1-A942939E4BFE}"/>
    <cellStyle name="20% - Accent1 2 5 2 4" xfId="11759" xr:uid="{3B4A6C8A-92FE-424F-B19D-099970BB1AB7}"/>
    <cellStyle name="20% - Accent1 2 5 3" xfId="5332" xr:uid="{00000000-0005-0000-0000-000046000000}"/>
    <cellStyle name="20% - Accent1 2 5 3 2" xfId="21448" xr:uid="{48A60F95-CC23-4B0A-A010-88E487C04458}"/>
    <cellStyle name="20% - Accent1 2 5 3 3" xfId="13827" xr:uid="{AF9EFBE4-76CB-498C-8A57-107E2793B755}"/>
    <cellStyle name="20% - Accent1 2 5 4" xfId="17235" xr:uid="{E910C431-7E67-430C-94FE-E92DA0799260}"/>
    <cellStyle name="20% - Accent1 2 5 5" xfId="9614" xr:uid="{591EF797-915B-4E4C-95FA-EE0F13EE3A4B}"/>
    <cellStyle name="20% - Accent1 2 6" xfId="1438" xr:uid="{00000000-0005-0000-0000-000047000000}"/>
    <cellStyle name="20% - Accent1 2 6 2" xfId="3668" xr:uid="{00000000-0005-0000-0000-000048000000}"/>
    <cellStyle name="20% - Accent1 2 6 2 2" xfId="7890" xr:uid="{00000000-0005-0000-0000-000049000000}"/>
    <cellStyle name="20% - Accent1 2 6 2 2 2" xfId="24006" xr:uid="{2CB05640-EC63-47AF-BF26-E70284424FBE}"/>
    <cellStyle name="20% - Accent1 2 6 2 2 3" xfId="16385" xr:uid="{B284F823-08E7-45C6-A612-2964FD2D3158}"/>
    <cellStyle name="20% - Accent1 2 6 2 3" xfId="19793" xr:uid="{9BAC64AE-A9B6-4846-A585-E7CBD7A32FAB}"/>
    <cellStyle name="20% - Accent1 2 6 2 4" xfId="12172" xr:uid="{867701B2-6D5C-4A48-8C74-7738B8168E51}"/>
    <cellStyle name="20% - Accent1 2 6 3" xfId="5745" xr:uid="{00000000-0005-0000-0000-00004A000000}"/>
    <cellStyle name="20% - Accent1 2 6 3 2" xfId="21861" xr:uid="{DF656B35-EB7D-475C-BB75-3AE406D32D0C}"/>
    <cellStyle name="20% - Accent1 2 6 3 3" xfId="14240" xr:uid="{5B9B8648-5BDB-476C-AB5A-B65398A7CEE8}"/>
    <cellStyle name="20% - Accent1 2 6 4" xfId="17648" xr:uid="{774C37D9-242E-4C89-8F57-D85DF08A37AE}"/>
    <cellStyle name="20% - Accent1 2 6 5" xfId="10027" xr:uid="{446CFF86-7930-4028-8C4A-2C5478703A58}"/>
    <cellStyle name="20% - Accent1 2 7" xfId="1852" xr:uid="{00000000-0005-0000-0000-00004B000000}"/>
    <cellStyle name="20% - Accent1 2 7 2" xfId="4081" xr:uid="{00000000-0005-0000-0000-00004C000000}"/>
    <cellStyle name="20% - Accent1 2 7 2 2" xfId="8303" xr:uid="{00000000-0005-0000-0000-00004D000000}"/>
    <cellStyle name="20% - Accent1 2 7 2 2 2" xfId="24419" xr:uid="{44E34C04-6D85-4433-B5D2-E22DF8EC924E}"/>
    <cellStyle name="20% - Accent1 2 7 2 2 3" xfId="16798" xr:uid="{D56AF1F0-688D-4551-91FD-E3135BD80A91}"/>
    <cellStyle name="20% - Accent1 2 7 2 3" xfId="20206" xr:uid="{522A7FF9-725B-470D-B7C9-66D2602D700F}"/>
    <cellStyle name="20% - Accent1 2 7 2 4" xfId="12585" xr:uid="{04C42181-AC64-4FD2-88C8-1D1BDC88C91F}"/>
    <cellStyle name="20% - Accent1 2 7 3" xfId="6158" xr:uid="{00000000-0005-0000-0000-00004E000000}"/>
    <cellStyle name="20% - Accent1 2 7 3 2" xfId="22274" xr:uid="{D569E9CC-5352-44AC-BC12-1633906301AC}"/>
    <cellStyle name="20% - Accent1 2 7 3 3" xfId="14653" xr:uid="{963E9A45-CA8C-4F3D-9095-4424B45A8321}"/>
    <cellStyle name="20% - Accent1 2 7 4" xfId="18061" xr:uid="{22F464B6-2066-4F30-A8E2-7F34CB4C65EA}"/>
    <cellStyle name="20% - Accent1 2 7 5" xfId="10440" xr:uid="{1DF42B74-8251-46AA-B1E3-0F95D462026B}"/>
    <cellStyle name="20% - Accent1 2 8" xfId="2265" xr:uid="{00000000-0005-0000-0000-00004F000000}"/>
    <cellStyle name="20% - Accent1 2 8 2" xfId="6571" xr:uid="{00000000-0005-0000-0000-000050000000}"/>
    <cellStyle name="20% - Accent1 2 8 2 2" xfId="22687" xr:uid="{ABA4D8FC-F3CE-408E-B5EE-5ECD49FE1DB2}"/>
    <cellStyle name="20% - Accent1 2 8 2 3" xfId="15066" xr:uid="{EB528A01-6DF6-4EB0-A8CF-544D1B77CF26}"/>
    <cellStyle name="20% - Accent1 2 8 3" xfId="18474" xr:uid="{0EE085EF-2AAF-4822-9E5B-0EEDD5A91E1B}"/>
    <cellStyle name="20% - Accent1 2 8 4" xfId="10853" xr:uid="{9AB4B1AE-FBEE-43DD-9F1D-990E8E965D92}"/>
    <cellStyle name="20% - Accent1 2 9" xfId="4505" xr:uid="{00000000-0005-0000-0000-000051000000}"/>
    <cellStyle name="20% - Accent1 2 9 2" xfId="20622" xr:uid="{A18432DB-43E8-4CB9-89FE-164E3CA3D983}"/>
    <cellStyle name="20% - Accent1 2 9 3" xfId="13001" xr:uid="{BA13C8F9-3197-4017-822A-B8416D1F4E04}"/>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23185" xr:uid="{50B04524-7385-4A2E-B171-355981CFC84D}"/>
    <cellStyle name="20% - Accent1 3 2 2 2 2 3" xfId="15564" xr:uid="{C2770AF4-BE63-4B99-A6C1-56E5CA7B846C}"/>
    <cellStyle name="20% - Accent1 3 2 2 2 3" xfId="18972" xr:uid="{131EB9A0-FBE2-4A52-B613-793C1722F773}"/>
    <cellStyle name="20% - Accent1 3 2 2 2 4" xfId="11351" xr:uid="{93861C8F-0BAD-49F4-A617-325965CB726D}"/>
    <cellStyle name="20% - Accent1 3 2 2 3" xfId="4924" xr:uid="{00000000-0005-0000-0000-000057000000}"/>
    <cellStyle name="20% - Accent1 3 2 2 3 2" xfId="21040" xr:uid="{03F9DC2D-4896-49AE-83E9-F8541D331681}"/>
    <cellStyle name="20% - Accent1 3 2 2 3 3" xfId="13419" xr:uid="{40F4F0CE-5B7A-49E8-A6CA-F4238DF5067A}"/>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23598" xr:uid="{7E6DDEC0-1AF7-428A-B30F-59166BEEAFFF}"/>
    <cellStyle name="20% - Accent1 3 2 3 2 2 3" xfId="15977" xr:uid="{4497A035-D258-460C-B47D-7608AC70874F}"/>
    <cellStyle name="20% - Accent1 3 2 3 2 3" xfId="19385" xr:uid="{5B4976EA-7BAC-47BC-B3CC-3B41991E7765}"/>
    <cellStyle name="20% - Accent1 3 2 3 2 4" xfId="11764" xr:uid="{258BED34-1346-4DC8-8191-CCD82B9AC0EA}"/>
    <cellStyle name="20% - Accent1 3 2 3 3" xfId="5337" xr:uid="{00000000-0005-0000-0000-00005B000000}"/>
    <cellStyle name="20% - Accent1 3 2 3 3 2" xfId="21453" xr:uid="{61FCDD7C-5CA4-4CA7-921B-A6D0D06BEDB7}"/>
    <cellStyle name="20% - Accent1 3 2 3 3 3" xfId="13832" xr:uid="{56DCE971-4759-48BF-9A04-CD7527DB3659}"/>
    <cellStyle name="20% - Accent1 3 2 3 4" xfId="17240" xr:uid="{A32F9F73-9250-4E9A-920B-106B2541B6D1}"/>
    <cellStyle name="20% - Accent1 3 2 3 5" xfId="9619" xr:uid="{1975ED11-8F73-4081-973E-60C9BFEFB5B3}"/>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24011" xr:uid="{3A764D99-3E20-4B04-9C49-4CF2765D0E53}"/>
    <cellStyle name="20% - Accent1 3 2 4 2 2 3" xfId="16390" xr:uid="{6BDA6C9F-7895-492D-8EBF-BE3708EC530A}"/>
    <cellStyle name="20% - Accent1 3 2 4 2 3" xfId="19798" xr:uid="{1BAB2142-43D7-44C7-AD4A-13532D192C4C}"/>
    <cellStyle name="20% - Accent1 3 2 4 2 4" xfId="12177" xr:uid="{485FE62D-E30E-4159-B403-B57F32BB536C}"/>
    <cellStyle name="20% - Accent1 3 2 4 3" xfId="5750" xr:uid="{00000000-0005-0000-0000-00005F000000}"/>
    <cellStyle name="20% - Accent1 3 2 4 3 2" xfId="21866" xr:uid="{61DDF0D0-168B-458E-94D2-2836C6C2277E}"/>
    <cellStyle name="20% - Accent1 3 2 4 3 3" xfId="14245" xr:uid="{4920B59E-5F4F-4D26-A560-E7100E23E236}"/>
    <cellStyle name="20% - Accent1 3 2 4 4" xfId="17653" xr:uid="{745F37B9-05F2-4776-8E90-55F857979BCE}"/>
    <cellStyle name="20% - Accent1 3 2 4 5" xfId="10032" xr:uid="{379AEC60-31F1-4BA7-9824-66EA33E23F6A}"/>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24424" xr:uid="{EBFC38C1-1655-48BA-8DD6-8A41CA8B7805}"/>
    <cellStyle name="20% - Accent1 3 2 5 2 2 3" xfId="16803" xr:uid="{F5029559-03A2-43EF-AB95-CBBF0C609BFA}"/>
    <cellStyle name="20% - Accent1 3 2 5 2 3" xfId="20211" xr:uid="{C4E67D00-8DB2-443B-8075-DE93F74170E0}"/>
    <cellStyle name="20% - Accent1 3 2 5 2 4" xfId="12590" xr:uid="{42B91DEA-0EA9-448D-A9DC-7D240CD46D7F}"/>
    <cellStyle name="20% - Accent1 3 2 5 3" xfId="6163" xr:uid="{00000000-0005-0000-0000-000063000000}"/>
    <cellStyle name="20% - Accent1 3 2 5 3 2" xfId="22279" xr:uid="{FA58C8ED-6F4B-4505-8B01-6184019CF847}"/>
    <cellStyle name="20% - Accent1 3 2 5 3 3" xfId="14658" xr:uid="{CBC8493E-C4E5-4C39-9C86-17C2E3695151}"/>
    <cellStyle name="20% - Accent1 3 2 5 4" xfId="18066" xr:uid="{C04BEB98-CEBB-4074-8B99-F72AB79FEB08}"/>
    <cellStyle name="20% - Accent1 3 2 5 5" xfId="10445" xr:uid="{4D4AA01F-8282-463C-8F9F-C931F0D220D7}"/>
    <cellStyle name="20% - Accent1 3 2 6" xfId="2270" xr:uid="{00000000-0005-0000-0000-000064000000}"/>
    <cellStyle name="20% - Accent1 3 2 6 2" xfId="6576" xr:uid="{00000000-0005-0000-0000-000065000000}"/>
    <cellStyle name="20% - Accent1 3 2 6 2 2" xfId="22692" xr:uid="{42CD23DD-EC7E-4C58-BCEC-D695EE5372C0}"/>
    <cellStyle name="20% - Accent1 3 2 6 2 3" xfId="15071" xr:uid="{AEF81593-4653-4D62-B048-EF2F5056C6E1}"/>
    <cellStyle name="20% - Accent1 3 2 6 3" xfId="18479" xr:uid="{F7696558-B2F5-4AE8-B269-A532FD7AF511}"/>
    <cellStyle name="20% - Accent1 3 2 6 4" xfId="10858" xr:uid="{A454C4D4-0FCB-4F38-92ED-CD1B2105E4F4}"/>
    <cellStyle name="20% - Accent1 3 2 7" xfId="4510" xr:uid="{00000000-0005-0000-0000-000066000000}"/>
    <cellStyle name="20% - Accent1 3 2 7 2" xfId="20627" xr:uid="{F00FCD1C-3689-47C6-8D30-2BD347D6FE82}"/>
    <cellStyle name="20% - Accent1 3 2 7 3" xfId="13006" xr:uid="{E7F9A0A8-BA5D-4A63-AE48-F5E24326D8D3}"/>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2 2 2" xfId="23184" xr:uid="{12179A56-2FEE-40E4-8F9D-F6BA77203B82}"/>
    <cellStyle name="20% - Accent1 3 3 2 2 3" xfId="15563" xr:uid="{FF21C9F7-EDA2-4705-B51C-57148FE30100}"/>
    <cellStyle name="20% - Accent1 3 3 2 3" xfId="18971" xr:uid="{B3176242-278A-4495-9F2B-04BF7CB65494}"/>
    <cellStyle name="20% - Accent1 3 3 2 4" xfId="11350" xr:uid="{14E85609-6A97-4658-9417-45ABEF472322}"/>
    <cellStyle name="20% - Accent1 3 3 3" xfId="4923" xr:uid="{00000000-0005-0000-0000-00006A000000}"/>
    <cellStyle name="20% - Accent1 3 3 3 2" xfId="21039" xr:uid="{D26C2751-52DF-4ABF-B0B4-F31CAB5C6770}"/>
    <cellStyle name="20% - Accent1 3 3 3 3" xfId="13418" xr:uid="{1761AE7B-9A24-482F-BD1B-2283BD2DDE08}"/>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2 2 2" xfId="23597" xr:uid="{D38B6216-D0A6-4985-A344-DDFC751BBFDB}"/>
    <cellStyle name="20% - Accent1 3 4 2 2 3" xfId="15976" xr:uid="{A13DC000-54FB-4012-97E1-C3CCD369D4FF}"/>
    <cellStyle name="20% - Accent1 3 4 2 3" xfId="19384" xr:uid="{14F69A79-9E62-43A8-9186-4957964FE5F8}"/>
    <cellStyle name="20% - Accent1 3 4 2 4" xfId="11763" xr:uid="{473A875C-DEC1-43A1-A30F-5CBC5E35DA08}"/>
    <cellStyle name="20% - Accent1 3 4 3" xfId="5336" xr:uid="{00000000-0005-0000-0000-00006E000000}"/>
    <cellStyle name="20% - Accent1 3 4 3 2" xfId="21452" xr:uid="{EFFF6C57-19C5-4024-8BE7-EFE9E0DD31AD}"/>
    <cellStyle name="20% - Accent1 3 4 3 3" xfId="13831" xr:uid="{03C999DB-6D65-4D50-A2E2-91FE149F2EB6}"/>
    <cellStyle name="20% - Accent1 3 4 4" xfId="17239" xr:uid="{65A0EA63-BF39-4D7D-8653-A47E6B9C34A5}"/>
    <cellStyle name="20% - Accent1 3 4 5" xfId="9618" xr:uid="{E1A8AF7D-8CCA-4D91-BBA2-15829639FF12}"/>
    <cellStyle name="20% - Accent1 3 5" xfId="1442" xr:uid="{00000000-0005-0000-0000-00006F000000}"/>
    <cellStyle name="20% - Accent1 3 5 2" xfId="3672" xr:uid="{00000000-0005-0000-0000-000070000000}"/>
    <cellStyle name="20% - Accent1 3 5 2 2" xfId="7894" xr:uid="{00000000-0005-0000-0000-000071000000}"/>
    <cellStyle name="20% - Accent1 3 5 2 2 2" xfId="24010" xr:uid="{20433086-70E1-46D5-BEDD-F73F42936450}"/>
    <cellStyle name="20% - Accent1 3 5 2 2 3" xfId="16389" xr:uid="{00EEF944-9907-4C79-A161-992532255567}"/>
    <cellStyle name="20% - Accent1 3 5 2 3" xfId="19797" xr:uid="{FC24ADF1-F1CC-433E-934D-FB588293CC28}"/>
    <cellStyle name="20% - Accent1 3 5 2 4" xfId="12176" xr:uid="{9933092B-F2B8-489D-A3FC-748360F23C9C}"/>
    <cellStyle name="20% - Accent1 3 5 3" xfId="5749" xr:uid="{00000000-0005-0000-0000-000072000000}"/>
    <cellStyle name="20% - Accent1 3 5 3 2" xfId="21865" xr:uid="{A9692420-312E-4658-BF4B-49F2FFF47635}"/>
    <cellStyle name="20% - Accent1 3 5 3 3" xfId="14244" xr:uid="{D082FF3A-E345-4AEA-8BE2-FCC8B0634345}"/>
    <cellStyle name="20% - Accent1 3 5 4" xfId="17652" xr:uid="{970A295E-238E-4AA4-BC17-ED15F463258F}"/>
    <cellStyle name="20% - Accent1 3 5 5" xfId="10031" xr:uid="{364E57D7-9481-46E0-9ABF-3EDABFC2865D}"/>
    <cellStyle name="20% - Accent1 3 6" xfId="1856" xr:uid="{00000000-0005-0000-0000-000073000000}"/>
    <cellStyle name="20% - Accent1 3 6 2" xfId="4085" xr:uid="{00000000-0005-0000-0000-000074000000}"/>
    <cellStyle name="20% - Accent1 3 6 2 2" xfId="8307" xr:uid="{00000000-0005-0000-0000-000075000000}"/>
    <cellStyle name="20% - Accent1 3 6 2 2 2" xfId="24423" xr:uid="{DB79BDC9-A43B-4651-BADB-60BDD13FD0E2}"/>
    <cellStyle name="20% - Accent1 3 6 2 2 3" xfId="16802" xr:uid="{1A044409-256C-47F8-92C6-6B50879D4D12}"/>
    <cellStyle name="20% - Accent1 3 6 2 3" xfId="20210" xr:uid="{5B8D6E8D-3789-41AF-89DF-2E0675EDF72C}"/>
    <cellStyle name="20% - Accent1 3 6 2 4" xfId="12589" xr:uid="{AB70DFB0-056F-4BF5-85A2-96D81D8437F8}"/>
    <cellStyle name="20% - Accent1 3 6 3" xfId="6162" xr:uid="{00000000-0005-0000-0000-000076000000}"/>
    <cellStyle name="20% - Accent1 3 6 3 2" xfId="22278" xr:uid="{B2D37BDD-1FF6-4B83-B21B-6829A08606BE}"/>
    <cellStyle name="20% - Accent1 3 6 3 3" xfId="14657" xr:uid="{ADFBC729-E601-4884-9828-52DAAEBC92F9}"/>
    <cellStyle name="20% - Accent1 3 6 4" xfId="18065" xr:uid="{A99B020A-2507-4CF5-94F0-3E2022034300}"/>
    <cellStyle name="20% - Accent1 3 6 5" xfId="10444" xr:uid="{DBE1ED9A-E615-4D34-8276-D1D4FDE271BF}"/>
    <cellStyle name="20% - Accent1 3 7" xfId="2269" xr:uid="{00000000-0005-0000-0000-000077000000}"/>
    <cellStyle name="20% - Accent1 3 7 2" xfId="6575" xr:uid="{00000000-0005-0000-0000-000078000000}"/>
    <cellStyle name="20% - Accent1 3 7 2 2" xfId="22691" xr:uid="{C433D44C-E44C-40AC-B462-81E316E567E8}"/>
    <cellStyle name="20% - Accent1 3 7 2 3" xfId="15070" xr:uid="{1AB4CA2F-1A93-45B5-8CB7-65158DD84EA6}"/>
    <cellStyle name="20% - Accent1 3 7 3" xfId="18478" xr:uid="{A47AF0E6-2CAE-4363-8D11-26E382B2C1A5}"/>
    <cellStyle name="20% - Accent1 3 7 4" xfId="10857" xr:uid="{20538F80-D113-4E13-A7A1-B84F0B0B4CAB}"/>
    <cellStyle name="20% - Accent1 3 8" xfId="4509" xr:uid="{00000000-0005-0000-0000-000079000000}"/>
    <cellStyle name="20% - Accent1 3 8 2" xfId="20626" xr:uid="{8E34ADF1-A0E3-46A4-A034-9A47A391CF40}"/>
    <cellStyle name="20% - Accent1 3 8 3" xfId="13005" xr:uid="{E3381C6F-66A7-4623-AE37-428C37B4687F}"/>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23186" xr:uid="{BE7CBC4B-16F7-4CF0-974F-0CDE1C80B138}"/>
    <cellStyle name="20% - Accent1 4 2 2 2 3" xfId="15565" xr:uid="{041B3AF6-0302-4DF9-8D24-0593442EF68C}"/>
    <cellStyle name="20% - Accent1 4 2 2 3" xfId="18973" xr:uid="{F7EDEE8D-D7EE-4DD1-897E-8C8886BF56CF}"/>
    <cellStyle name="20% - Accent1 4 2 2 4" xfId="11352" xr:uid="{D539B74A-3109-4781-858B-E7DA2D4AC28C}"/>
    <cellStyle name="20% - Accent1 4 2 3" xfId="4925" xr:uid="{00000000-0005-0000-0000-00007E000000}"/>
    <cellStyle name="20% - Accent1 4 2 3 2" xfId="21041" xr:uid="{8FD1A87F-CF73-4CF7-B2CB-AA379A563017}"/>
    <cellStyle name="20% - Accent1 4 2 3 3" xfId="13420" xr:uid="{6AC78CFE-3C11-4962-9A1C-9B51BF539662}"/>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2 2 2" xfId="23599" xr:uid="{BD97F421-39EA-4926-AB25-DB45F8747A13}"/>
    <cellStyle name="20% - Accent1 4 3 2 2 3" xfId="15978" xr:uid="{5C8A945D-EC6C-461F-A84C-F2A718B1D908}"/>
    <cellStyle name="20% - Accent1 4 3 2 3" xfId="19386" xr:uid="{7178FE44-4F17-41E9-844C-09473AB09134}"/>
    <cellStyle name="20% - Accent1 4 3 2 4" xfId="11765" xr:uid="{F6812190-E8E4-44BB-9B78-D0EE1CADB86B}"/>
    <cellStyle name="20% - Accent1 4 3 3" xfId="5338" xr:uid="{00000000-0005-0000-0000-000082000000}"/>
    <cellStyle name="20% - Accent1 4 3 3 2" xfId="21454" xr:uid="{95F25F94-C87F-445A-AC92-38ED6017BF3E}"/>
    <cellStyle name="20% - Accent1 4 3 3 3" xfId="13833" xr:uid="{5FFB0A5F-A207-48DA-A96A-E4C78391FA36}"/>
    <cellStyle name="20% - Accent1 4 3 4" xfId="17241" xr:uid="{C34F788D-AC4C-4A82-A4A5-A8CECE36AC35}"/>
    <cellStyle name="20% - Accent1 4 3 5" xfId="9620" xr:uid="{9D7D5ECA-664E-409D-8287-AA12E5C93C4E}"/>
    <cellStyle name="20% - Accent1 4 4" xfId="1444" xr:uid="{00000000-0005-0000-0000-000083000000}"/>
    <cellStyle name="20% - Accent1 4 4 2" xfId="3674" xr:uid="{00000000-0005-0000-0000-000084000000}"/>
    <cellStyle name="20% - Accent1 4 4 2 2" xfId="7896" xr:uid="{00000000-0005-0000-0000-000085000000}"/>
    <cellStyle name="20% - Accent1 4 4 2 2 2" xfId="24012" xr:uid="{5E55EFDC-0CD4-4DC9-866F-1E67C4FC5651}"/>
    <cellStyle name="20% - Accent1 4 4 2 2 3" xfId="16391" xr:uid="{6D2A9AEF-E0A3-4BDB-A549-E98CA068A73E}"/>
    <cellStyle name="20% - Accent1 4 4 2 3" xfId="19799" xr:uid="{CC78E270-E0CD-471A-A04F-F0BB44538ED0}"/>
    <cellStyle name="20% - Accent1 4 4 2 4" xfId="12178" xr:uid="{EB6D8E9B-A48C-4F19-B013-83F742DF1895}"/>
    <cellStyle name="20% - Accent1 4 4 3" xfId="5751" xr:uid="{00000000-0005-0000-0000-000086000000}"/>
    <cellStyle name="20% - Accent1 4 4 3 2" xfId="21867" xr:uid="{7F33861D-1F98-4EAA-B5A7-ADBD6A0AB9E8}"/>
    <cellStyle name="20% - Accent1 4 4 3 3" xfId="14246" xr:uid="{91CBDB4D-2A80-419D-AC0B-977688B938CD}"/>
    <cellStyle name="20% - Accent1 4 4 4" xfId="17654" xr:uid="{09803219-D156-497B-8E16-B6296A46183D}"/>
    <cellStyle name="20% - Accent1 4 4 5" xfId="10033" xr:uid="{8B03AA24-5BA2-4F6D-9D95-0F8B43865525}"/>
    <cellStyle name="20% - Accent1 4 5" xfId="1858" xr:uid="{00000000-0005-0000-0000-000087000000}"/>
    <cellStyle name="20% - Accent1 4 5 2" xfId="4087" xr:uid="{00000000-0005-0000-0000-000088000000}"/>
    <cellStyle name="20% - Accent1 4 5 2 2" xfId="8309" xr:uid="{00000000-0005-0000-0000-000089000000}"/>
    <cellStyle name="20% - Accent1 4 5 2 2 2" xfId="24425" xr:uid="{DD121850-8EA7-42ED-A168-FC822B2DB279}"/>
    <cellStyle name="20% - Accent1 4 5 2 2 3" xfId="16804" xr:uid="{8EB043C7-58AA-4DEE-A854-AD551F3BA4DB}"/>
    <cellStyle name="20% - Accent1 4 5 2 3" xfId="20212" xr:uid="{64F7A403-EB7A-45E1-9BE2-C8A5CFEEC144}"/>
    <cellStyle name="20% - Accent1 4 5 2 4" xfId="12591" xr:uid="{0879E0FA-0E4B-42FB-B0E4-93E96A25D5A8}"/>
    <cellStyle name="20% - Accent1 4 5 3" xfId="6164" xr:uid="{00000000-0005-0000-0000-00008A000000}"/>
    <cellStyle name="20% - Accent1 4 5 3 2" xfId="22280" xr:uid="{8699722F-9E9D-4E01-83B6-591D91548939}"/>
    <cellStyle name="20% - Accent1 4 5 3 3" xfId="14659" xr:uid="{00B867AB-602B-4FA0-8618-129C9DBE8A5E}"/>
    <cellStyle name="20% - Accent1 4 5 4" xfId="18067" xr:uid="{7B38951F-DDA0-464C-B8C5-64A2565A36C6}"/>
    <cellStyle name="20% - Accent1 4 5 5" xfId="10446" xr:uid="{7F1C6F03-5894-4AE5-83E3-C6A054F6286A}"/>
    <cellStyle name="20% - Accent1 4 6" xfId="2271" xr:uid="{00000000-0005-0000-0000-00008B000000}"/>
    <cellStyle name="20% - Accent1 4 6 2" xfId="6577" xr:uid="{00000000-0005-0000-0000-00008C000000}"/>
    <cellStyle name="20% - Accent1 4 6 2 2" xfId="22693" xr:uid="{4A79B154-2707-4FCF-8B2D-A6FCDB79E023}"/>
    <cellStyle name="20% - Accent1 4 6 2 3" xfId="15072" xr:uid="{9228E4EA-198D-46C2-B82E-5BD49C0D6AEA}"/>
    <cellStyle name="20% - Accent1 4 6 3" xfId="18480" xr:uid="{F50C16E4-CF60-44A9-B812-BF63DDEFF081}"/>
    <cellStyle name="20% - Accent1 4 6 4" xfId="10859" xr:uid="{FF1FD769-1184-4532-81DF-619019D13158}"/>
    <cellStyle name="20% - Accent1 4 7" xfId="4511" xr:uid="{00000000-0005-0000-0000-00008D000000}"/>
    <cellStyle name="20% - Accent1 4 7 2" xfId="20628" xr:uid="{3CED8BC0-59B4-470C-A5D8-DCFD06F4D613}"/>
    <cellStyle name="20% - Accent1 4 7 3" xfId="13007" xr:uid="{E9603F16-3A18-4FB6-AC3B-4BA599CBB47D}"/>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2 2 2" xfId="23179" xr:uid="{4CB9E406-304B-4AED-BB80-969D4B215D12}"/>
    <cellStyle name="20% - Accent1 5 2 2 3" xfId="15558" xr:uid="{956D893B-399D-47A9-8FDB-0DEBD488DF2B}"/>
    <cellStyle name="20% - Accent1 5 2 3" xfId="18966" xr:uid="{42FC8CDB-5597-4AC3-A5C4-0FE49D52BA0E}"/>
    <cellStyle name="20% - Accent1 5 2 4" xfId="11345" xr:uid="{9479D4CE-88CA-4BF9-9B7B-4D909F95DE0B}"/>
    <cellStyle name="20% - Accent1 5 3" xfId="4918" xr:uid="{00000000-0005-0000-0000-000091000000}"/>
    <cellStyle name="20% - Accent1 5 3 2" xfId="21034" xr:uid="{2C5CAB12-A002-4F23-91D2-DFCD5A60EAFF}"/>
    <cellStyle name="20% - Accent1 5 3 3" xfId="13413" xr:uid="{F9AD1C20-88D2-4760-9775-00554F37526C}"/>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2 2 2" xfId="23592" xr:uid="{9F22D52E-7D5D-4530-9BE6-DBFBEB964E3D}"/>
    <cellStyle name="20% - Accent1 6 2 2 3" xfId="15971" xr:uid="{24B32664-0B6A-46CE-A8FA-B07E03C982B9}"/>
    <cellStyle name="20% - Accent1 6 2 3" xfId="19379" xr:uid="{3C0D249F-0A6F-4460-A074-78E10969F457}"/>
    <cellStyle name="20% - Accent1 6 2 4" xfId="11758" xr:uid="{5D1BC6CC-76F5-4EB9-81C0-5B8815EF685F}"/>
    <cellStyle name="20% - Accent1 6 3" xfId="5331" xr:uid="{00000000-0005-0000-0000-000095000000}"/>
    <cellStyle name="20% - Accent1 6 3 2" xfId="21447" xr:uid="{4C187F0F-ACE5-4BB0-8FCE-86C31A1BB66A}"/>
    <cellStyle name="20% - Accent1 6 3 3" xfId="13826" xr:uid="{0A677C26-85F8-4B3B-B200-AC1CA9695AEE}"/>
    <cellStyle name="20% - Accent1 6 4" xfId="17234" xr:uid="{5E436548-50A9-44BF-BD94-73C5035434B3}"/>
    <cellStyle name="20% - Accent1 6 5" xfId="9613" xr:uid="{0A640416-51F8-40E4-9075-DD827B86B882}"/>
    <cellStyle name="20% - Accent1 7" xfId="1437" xr:uid="{00000000-0005-0000-0000-000096000000}"/>
    <cellStyle name="20% - Accent1 7 2" xfId="3667" xr:uid="{00000000-0005-0000-0000-000097000000}"/>
    <cellStyle name="20% - Accent1 7 2 2" xfId="7889" xr:uid="{00000000-0005-0000-0000-000098000000}"/>
    <cellStyle name="20% - Accent1 7 2 2 2" xfId="24005" xr:uid="{5A66E706-4606-43B7-80EF-DDAFC828C556}"/>
    <cellStyle name="20% - Accent1 7 2 2 3" xfId="16384" xr:uid="{9D21EF74-B620-4523-B1D8-07652E761350}"/>
    <cellStyle name="20% - Accent1 7 2 3" xfId="19792" xr:uid="{E28C5B44-98C7-4C21-A09C-FA0DC4335E2A}"/>
    <cellStyle name="20% - Accent1 7 2 4" xfId="12171" xr:uid="{12F7015F-B055-4410-A41A-6988ACDB3762}"/>
    <cellStyle name="20% - Accent1 7 3" xfId="5744" xr:uid="{00000000-0005-0000-0000-000099000000}"/>
    <cellStyle name="20% - Accent1 7 3 2" xfId="21860" xr:uid="{6BE0EDC6-17BB-44C3-9BC0-03EE695F0856}"/>
    <cellStyle name="20% - Accent1 7 3 3" xfId="14239" xr:uid="{7A371B94-6653-4244-9E25-C6437D54C2C5}"/>
    <cellStyle name="20% - Accent1 7 4" xfId="17647" xr:uid="{16EBE12E-D0EC-4874-B6D9-0EA706113191}"/>
    <cellStyle name="20% - Accent1 7 5" xfId="10026" xr:uid="{085C7CF4-D726-4635-922F-0F3B4EB738B5}"/>
    <cellStyle name="20% - Accent1 8" xfId="1851" xr:uid="{00000000-0005-0000-0000-00009A000000}"/>
    <cellStyle name="20% - Accent1 8 2" xfId="4080" xr:uid="{00000000-0005-0000-0000-00009B000000}"/>
    <cellStyle name="20% - Accent1 8 2 2" xfId="8302" xr:uid="{00000000-0005-0000-0000-00009C000000}"/>
    <cellStyle name="20% - Accent1 8 2 2 2" xfId="24418" xr:uid="{4F5F8B32-4DEB-4AFC-9886-0D5F160A5B6C}"/>
    <cellStyle name="20% - Accent1 8 2 2 3" xfId="16797" xr:uid="{561D0F72-449A-4AF7-BF97-553DF836267C}"/>
    <cellStyle name="20% - Accent1 8 2 3" xfId="20205" xr:uid="{D9E107C5-6A55-4A29-ABDD-DA21258A0B91}"/>
    <cellStyle name="20% - Accent1 8 2 4" xfId="12584" xr:uid="{DA7CA1B6-DFF1-45C0-B32E-6C44EC8EBF5C}"/>
    <cellStyle name="20% - Accent1 8 3" xfId="6157" xr:uid="{00000000-0005-0000-0000-00009D000000}"/>
    <cellStyle name="20% - Accent1 8 3 2" xfId="22273" xr:uid="{6FFAED81-B5E5-4711-8858-2B319ADD3A6D}"/>
    <cellStyle name="20% - Accent1 8 3 3" xfId="14652" xr:uid="{26250251-8887-4C64-9852-24CD3CEE8087}"/>
    <cellStyle name="20% - Accent1 8 4" xfId="18060" xr:uid="{FB457AC9-1829-4EFB-AB4C-712C057685D5}"/>
    <cellStyle name="20% - Accent1 8 5" xfId="10439" xr:uid="{BF51B318-4B40-404D-A991-4C5F96582B47}"/>
    <cellStyle name="20% - Accent1 9" xfId="2264" xr:uid="{00000000-0005-0000-0000-00009E000000}"/>
    <cellStyle name="20% - Accent1 9 2" xfId="6570" xr:uid="{00000000-0005-0000-0000-00009F000000}"/>
    <cellStyle name="20% - Accent1 9 2 2" xfId="22686" xr:uid="{64ED57EC-9E75-4142-8A59-B8FF66F760BD}"/>
    <cellStyle name="20% - Accent1 9 2 3" xfId="15065" xr:uid="{5A8E9F76-32CC-428A-86AF-2DCE5A79D28A}"/>
    <cellStyle name="20% - Accent1 9 3" xfId="18473" xr:uid="{31AEA8AB-20E5-4B35-9DCC-76ACAE926FFF}"/>
    <cellStyle name="20% - Accent1 9 4" xfId="10852" xr:uid="{687DC95C-E880-4C66-99C8-BBF726B3E13C}"/>
    <cellStyle name="20% - Accent2" xfId="9" builtinId="34" customBuiltin="1"/>
    <cellStyle name="20% - Accent2 10" xfId="4512" xr:uid="{00000000-0005-0000-0000-0000A1000000}"/>
    <cellStyle name="20% - Accent2 10 2" xfId="20629" xr:uid="{8C7FCC03-61EB-4BFE-899E-EE179A83A1CA}"/>
    <cellStyle name="20% - Accent2 10 3" xfId="13008" xr:uid="{971658D2-F341-43E6-B7A2-EB3AA09B66ED}"/>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23190" xr:uid="{C7143CA9-5427-4840-B9EB-40D03B739EB7}"/>
    <cellStyle name="20% - Accent2 2 2 2 2 2 2 3" xfId="15569" xr:uid="{482D5B36-D4F1-4837-BD24-0416073AD034}"/>
    <cellStyle name="20% - Accent2 2 2 2 2 2 3" xfId="18977" xr:uid="{3D914805-C611-4578-AA5D-C206E066B0AB}"/>
    <cellStyle name="20% - Accent2 2 2 2 2 2 4" xfId="11356" xr:uid="{8074E5F2-85BF-4AD6-8028-E6469AEF89C6}"/>
    <cellStyle name="20% - Accent2 2 2 2 2 3" xfId="4929" xr:uid="{00000000-0005-0000-0000-0000A8000000}"/>
    <cellStyle name="20% - Accent2 2 2 2 2 3 2" xfId="21045" xr:uid="{F3E90AAB-B627-4085-AD01-E2BA37000907}"/>
    <cellStyle name="20% - Accent2 2 2 2 2 3 3" xfId="13424" xr:uid="{FD47FB4E-A69E-400F-B248-6658A8C56904}"/>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23603" xr:uid="{034CCFC5-0111-46F9-97EE-3A1DD80630E2}"/>
    <cellStyle name="20% - Accent2 2 2 2 3 2 2 3" xfId="15982" xr:uid="{0FC2E7F0-2D17-45FF-8D2B-C80C949C5693}"/>
    <cellStyle name="20% - Accent2 2 2 2 3 2 3" xfId="19390" xr:uid="{5790D759-08EB-4343-AFFE-254FDF0BE20D}"/>
    <cellStyle name="20% - Accent2 2 2 2 3 2 4" xfId="11769" xr:uid="{4BC37DEC-EDEE-4995-B5AD-44B2613FB57B}"/>
    <cellStyle name="20% - Accent2 2 2 2 3 3" xfId="5342" xr:uid="{00000000-0005-0000-0000-0000AC000000}"/>
    <cellStyle name="20% - Accent2 2 2 2 3 3 2" xfId="21458" xr:uid="{ADA72402-3FE0-4182-A43D-6BB23D6DF178}"/>
    <cellStyle name="20% - Accent2 2 2 2 3 3 3" xfId="13837" xr:uid="{B35CF2DC-3EDB-44BA-9932-011E1297B253}"/>
    <cellStyle name="20% - Accent2 2 2 2 3 4" xfId="17245" xr:uid="{F85FABE2-7969-47EA-9017-9426E3BCC74B}"/>
    <cellStyle name="20% - Accent2 2 2 2 3 5" xfId="9624" xr:uid="{E960703F-C284-441F-8D91-59125FDF5018}"/>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24016" xr:uid="{A6CC51F3-6A6B-43DB-9E98-12577AB3349E}"/>
    <cellStyle name="20% - Accent2 2 2 2 4 2 2 3" xfId="16395" xr:uid="{2B0E6BFA-C4B5-4424-B045-EA22BDC8F8D4}"/>
    <cellStyle name="20% - Accent2 2 2 2 4 2 3" xfId="19803" xr:uid="{590EC4A0-8A48-4A12-8E70-FB407A70ED1F}"/>
    <cellStyle name="20% - Accent2 2 2 2 4 2 4" xfId="12182" xr:uid="{46F654C2-F3D5-4B80-8070-547F11FCB52D}"/>
    <cellStyle name="20% - Accent2 2 2 2 4 3" xfId="5755" xr:uid="{00000000-0005-0000-0000-0000B0000000}"/>
    <cellStyle name="20% - Accent2 2 2 2 4 3 2" xfId="21871" xr:uid="{5EFE6CC5-C821-4373-AAE6-C83C2F59B168}"/>
    <cellStyle name="20% - Accent2 2 2 2 4 3 3" xfId="14250" xr:uid="{29011D8B-B3FE-4498-A211-C0FC8C9BBCC7}"/>
    <cellStyle name="20% - Accent2 2 2 2 4 4" xfId="17658" xr:uid="{C92A45E3-96A7-4FB6-B4B2-59D0807B5E33}"/>
    <cellStyle name="20% - Accent2 2 2 2 4 5" xfId="10037" xr:uid="{D67C5AAA-6621-4994-8C5D-C7122B8FB7D2}"/>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24429" xr:uid="{52D767F0-C5B0-4FBB-854A-C96E157D4F94}"/>
    <cellStyle name="20% - Accent2 2 2 2 5 2 2 3" xfId="16808" xr:uid="{2497955F-89B6-4AF1-A818-D7C0EB6DD4CD}"/>
    <cellStyle name="20% - Accent2 2 2 2 5 2 3" xfId="20216" xr:uid="{98B1141F-A33D-41B8-BF0B-84A69A49E61E}"/>
    <cellStyle name="20% - Accent2 2 2 2 5 2 4" xfId="12595" xr:uid="{82DE6923-BDF9-49D6-91D7-9A55998323F9}"/>
    <cellStyle name="20% - Accent2 2 2 2 5 3" xfId="6168" xr:uid="{00000000-0005-0000-0000-0000B4000000}"/>
    <cellStyle name="20% - Accent2 2 2 2 5 3 2" xfId="22284" xr:uid="{1645E2F6-F051-472F-BE32-F56EB923FD30}"/>
    <cellStyle name="20% - Accent2 2 2 2 5 3 3" xfId="14663" xr:uid="{F8A5294C-4460-4455-8484-077B7C5B5EAC}"/>
    <cellStyle name="20% - Accent2 2 2 2 5 4" xfId="18071" xr:uid="{25A99483-CF56-4BF0-9A4D-84D3E515FEFB}"/>
    <cellStyle name="20% - Accent2 2 2 2 5 5" xfId="10450" xr:uid="{F7D71938-C12C-4F2A-9B9F-6EC37FCF5A7D}"/>
    <cellStyle name="20% - Accent2 2 2 2 6" xfId="2275" xr:uid="{00000000-0005-0000-0000-0000B5000000}"/>
    <cellStyle name="20% - Accent2 2 2 2 6 2" xfId="6581" xr:uid="{00000000-0005-0000-0000-0000B6000000}"/>
    <cellStyle name="20% - Accent2 2 2 2 6 2 2" xfId="22697" xr:uid="{F452309F-A256-4571-833C-94E6F7E4976D}"/>
    <cellStyle name="20% - Accent2 2 2 2 6 2 3" xfId="15076" xr:uid="{64B44DE2-7E2D-4EDF-986E-68696DA28089}"/>
    <cellStyle name="20% - Accent2 2 2 2 6 3" xfId="18484" xr:uid="{3D4E80A6-0985-4008-8483-62367F945385}"/>
    <cellStyle name="20% - Accent2 2 2 2 6 4" xfId="10863" xr:uid="{D04DEDA9-458A-4AE6-99D6-135A55C31EDB}"/>
    <cellStyle name="20% - Accent2 2 2 2 7" xfId="4515" xr:uid="{00000000-0005-0000-0000-0000B7000000}"/>
    <cellStyle name="20% - Accent2 2 2 2 7 2" xfId="20632" xr:uid="{64D62126-CF53-43F0-877A-D807512200E1}"/>
    <cellStyle name="20% - Accent2 2 2 2 7 3" xfId="13011" xr:uid="{066C590F-615A-4CDA-9E94-F0B6ABAD883E}"/>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23189" xr:uid="{9343D224-B0D0-4891-A3C3-74F73D40E276}"/>
    <cellStyle name="20% - Accent2 2 2 3 2 2 3" xfId="15568" xr:uid="{64F1F7E9-2F41-482A-954D-8FC813355397}"/>
    <cellStyle name="20% - Accent2 2 2 3 2 3" xfId="18976" xr:uid="{CDC9FDC9-336B-45BB-855F-4132435F50E9}"/>
    <cellStyle name="20% - Accent2 2 2 3 2 4" xfId="11355" xr:uid="{61B42BAB-73AC-4699-905C-138628F95801}"/>
    <cellStyle name="20% - Accent2 2 2 3 3" xfId="4928" xr:uid="{00000000-0005-0000-0000-0000BB000000}"/>
    <cellStyle name="20% - Accent2 2 2 3 3 2" xfId="21044" xr:uid="{AB129E17-A286-4937-B3C6-FBC6ED29B9FF}"/>
    <cellStyle name="20% - Accent2 2 2 3 3 3" xfId="13423" xr:uid="{2028764B-F11C-4BB5-848E-6C7B5FAB4213}"/>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23602" xr:uid="{4A8D09B4-FA35-4A3A-8A22-4B5800D55E19}"/>
    <cellStyle name="20% - Accent2 2 2 4 2 2 3" xfId="15981" xr:uid="{6FADD8C4-D278-472F-B80E-5FF7A0FFAEEE}"/>
    <cellStyle name="20% - Accent2 2 2 4 2 3" xfId="19389" xr:uid="{33BC5B44-2B69-4204-9DCA-84E0C24363C1}"/>
    <cellStyle name="20% - Accent2 2 2 4 2 4" xfId="11768" xr:uid="{9962DD33-448C-4E06-B2A8-107499D35682}"/>
    <cellStyle name="20% - Accent2 2 2 4 3" xfId="5341" xr:uid="{00000000-0005-0000-0000-0000BF000000}"/>
    <cellStyle name="20% - Accent2 2 2 4 3 2" xfId="21457" xr:uid="{EA6C3D14-E5F5-49BA-A109-8179E32944A6}"/>
    <cellStyle name="20% - Accent2 2 2 4 3 3" xfId="13836" xr:uid="{4C281FFB-607E-46BB-BEF0-DC676E643A2C}"/>
    <cellStyle name="20% - Accent2 2 2 4 4" xfId="17244" xr:uid="{96F34EE1-2739-4BD1-BF6C-1C49BD4B0B06}"/>
    <cellStyle name="20% - Accent2 2 2 4 5" xfId="9623" xr:uid="{855C2EB9-3F96-4D2C-B22D-1C4FE609F7F2}"/>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24015" xr:uid="{457DB392-72E3-42DE-B818-4AB3D1925809}"/>
    <cellStyle name="20% - Accent2 2 2 5 2 2 3" xfId="16394" xr:uid="{1E32F7DB-D35B-48D0-9567-02713C519426}"/>
    <cellStyle name="20% - Accent2 2 2 5 2 3" xfId="19802" xr:uid="{260BFA94-70A9-42DF-865D-0B51E572FEDA}"/>
    <cellStyle name="20% - Accent2 2 2 5 2 4" xfId="12181" xr:uid="{F103B6E2-1FDA-43F6-BBE7-00794FB50ABF}"/>
    <cellStyle name="20% - Accent2 2 2 5 3" xfId="5754" xr:uid="{00000000-0005-0000-0000-0000C3000000}"/>
    <cellStyle name="20% - Accent2 2 2 5 3 2" xfId="21870" xr:uid="{B9679AB5-010C-4793-88B2-47637B029BAB}"/>
    <cellStyle name="20% - Accent2 2 2 5 3 3" xfId="14249" xr:uid="{40285513-4BA0-4476-A380-64E3E218E573}"/>
    <cellStyle name="20% - Accent2 2 2 5 4" xfId="17657" xr:uid="{7B70364B-417C-4B02-8AFD-ECFB4C1A2A37}"/>
    <cellStyle name="20% - Accent2 2 2 5 5" xfId="10036" xr:uid="{31663AC6-E934-4CAB-B1FE-2DF53CFDE4A0}"/>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24428" xr:uid="{7893AD70-4D99-4147-864F-EA4CEE72D444}"/>
    <cellStyle name="20% - Accent2 2 2 6 2 2 3" xfId="16807" xr:uid="{50FE0A59-9149-42A2-8D61-2780DBBA7335}"/>
    <cellStyle name="20% - Accent2 2 2 6 2 3" xfId="20215" xr:uid="{AB720325-D3CF-41D0-A0E8-7C66081C24F4}"/>
    <cellStyle name="20% - Accent2 2 2 6 2 4" xfId="12594" xr:uid="{6BB450A6-9568-4936-A103-5E22EB128933}"/>
    <cellStyle name="20% - Accent2 2 2 6 3" xfId="6167" xr:uid="{00000000-0005-0000-0000-0000C7000000}"/>
    <cellStyle name="20% - Accent2 2 2 6 3 2" xfId="22283" xr:uid="{0F93F90F-3449-4C43-BB10-59CDFC2D5EC7}"/>
    <cellStyle name="20% - Accent2 2 2 6 3 3" xfId="14662" xr:uid="{082335BC-1D32-4CBF-96CF-11A78FBD1872}"/>
    <cellStyle name="20% - Accent2 2 2 6 4" xfId="18070" xr:uid="{12DF9BE3-BAEF-4A6F-B4CA-1495CB419524}"/>
    <cellStyle name="20% - Accent2 2 2 6 5" xfId="10449" xr:uid="{405D6EC7-9F27-4D24-B0DE-A775CF9214AD}"/>
    <cellStyle name="20% - Accent2 2 2 7" xfId="2274" xr:uid="{00000000-0005-0000-0000-0000C8000000}"/>
    <cellStyle name="20% - Accent2 2 2 7 2" xfId="6580" xr:uid="{00000000-0005-0000-0000-0000C9000000}"/>
    <cellStyle name="20% - Accent2 2 2 7 2 2" xfId="22696" xr:uid="{275856B3-A7E8-460B-A0ED-DBEA95810DE8}"/>
    <cellStyle name="20% - Accent2 2 2 7 2 3" xfId="15075" xr:uid="{D7B77508-A83A-4A7E-8A2D-C1D3B1B75033}"/>
    <cellStyle name="20% - Accent2 2 2 7 3" xfId="18483" xr:uid="{68F29D97-1B68-4DE2-80D9-AA3B44003FF1}"/>
    <cellStyle name="20% - Accent2 2 2 7 4" xfId="10862" xr:uid="{373E76B9-234D-474F-B767-B3B568676242}"/>
    <cellStyle name="20% - Accent2 2 2 8" xfId="4514" xr:uid="{00000000-0005-0000-0000-0000CA000000}"/>
    <cellStyle name="20% - Accent2 2 2 8 2" xfId="20631" xr:uid="{73D935C9-78B1-464D-93AC-EE95F19F1419}"/>
    <cellStyle name="20% - Accent2 2 2 8 3" xfId="13010" xr:uid="{4023EEC6-0691-44C7-91A8-AB27CA421D95}"/>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23191" xr:uid="{07C7C360-0E11-43E7-A833-F0C02F1BBE6A}"/>
    <cellStyle name="20% - Accent2 2 3 2 2 2 3" xfId="15570" xr:uid="{06C1B7C9-A6A1-4E6D-ACCC-7C91D6846F19}"/>
    <cellStyle name="20% - Accent2 2 3 2 2 3" xfId="18978" xr:uid="{00B1009A-3464-4987-B0F9-B77A65456913}"/>
    <cellStyle name="20% - Accent2 2 3 2 2 4" xfId="11357" xr:uid="{D292CB5D-619D-43D2-911C-2523A18F3CAB}"/>
    <cellStyle name="20% - Accent2 2 3 2 3" xfId="4930" xr:uid="{00000000-0005-0000-0000-0000CF000000}"/>
    <cellStyle name="20% - Accent2 2 3 2 3 2" xfId="21046" xr:uid="{D754063A-E624-432B-8835-FAABD75679D8}"/>
    <cellStyle name="20% - Accent2 2 3 2 3 3" xfId="13425" xr:uid="{89187442-6F9A-472E-89B2-4B9DE1BD3B6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23604" xr:uid="{814C5437-2B25-41A5-A68C-AA84823870D4}"/>
    <cellStyle name="20% - Accent2 2 3 3 2 2 3" xfId="15983" xr:uid="{A25FB6F5-25DA-4D42-A6CD-BEED9285C93F}"/>
    <cellStyle name="20% - Accent2 2 3 3 2 3" xfId="19391" xr:uid="{40EFE243-171C-4BCD-802A-FFB97695D405}"/>
    <cellStyle name="20% - Accent2 2 3 3 2 4" xfId="11770" xr:uid="{D2023F25-D831-465B-B091-81A783DA9527}"/>
    <cellStyle name="20% - Accent2 2 3 3 3" xfId="5343" xr:uid="{00000000-0005-0000-0000-0000D3000000}"/>
    <cellStyle name="20% - Accent2 2 3 3 3 2" xfId="21459" xr:uid="{6D561709-0C08-48F4-8C8E-BC8080FAAFA9}"/>
    <cellStyle name="20% - Accent2 2 3 3 3 3" xfId="13838" xr:uid="{76FE2D36-9D8D-4CEC-8FFE-B1BABB2414BE}"/>
    <cellStyle name="20% - Accent2 2 3 3 4" xfId="17246" xr:uid="{72442464-030B-435B-A198-04842D134D9B}"/>
    <cellStyle name="20% - Accent2 2 3 3 5" xfId="9625" xr:uid="{59E2E376-A0DB-40CA-B39B-521EE781923E}"/>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24017" xr:uid="{F498DE31-4532-48B8-8053-4A65944E2247}"/>
    <cellStyle name="20% - Accent2 2 3 4 2 2 3" xfId="16396" xr:uid="{C67B185F-F002-453F-8CB6-5C022A125F8D}"/>
    <cellStyle name="20% - Accent2 2 3 4 2 3" xfId="19804" xr:uid="{771E5031-6E83-42C5-B32E-3557B0406B2A}"/>
    <cellStyle name="20% - Accent2 2 3 4 2 4" xfId="12183" xr:uid="{BC6EF0C0-0D17-4230-8D96-420AB107F2C3}"/>
    <cellStyle name="20% - Accent2 2 3 4 3" xfId="5756" xr:uid="{00000000-0005-0000-0000-0000D7000000}"/>
    <cellStyle name="20% - Accent2 2 3 4 3 2" xfId="21872" xr:uid="{85C9B18A-368D-45C4-8347-7A5E15F5206B}"/>
    <cellStyle name="20% - Accent2 2 3 4 3 3" xfId="14251" xr:uid="{BF5D38A6-11E5-4AA9-AC19-40BA59DC56DF}"/>
    <cellStyle name="20% - Accent2 2 3 4 4" xfId="17659" xr:uid="{42196684-56D6-4AA4-B37B-C72997C14B72}"/>
    <cellStyle name="20% - Accent2 2 3 4 5" xfId="10038" xr:uid="{E8520F8F-1881-46B7-8751-3B979BC956F5}"/>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24430" xr:uid="{1A65B3E8-34D1-4A49-A365-846D81E6F2A5}"/>
    <cellStyle name="20% - Accent2 2 3 5 2 2 3" xfId="16809" xr:uid="{F3D3E8E4-27B2-462F-9754-E08EF8D20C1A}"/>
    <cellStyle name="20% - Accent2 2 3 5 2 3" xfId="20217" xr:uid="{036312B8-748A-4AC9-A749-EAE0AB57FAA7}"/>
    <cellStyle name="20% - Accent2 2 3 5 2 4" xfId="12596" xr:uid="{C4076DEA-E779-4A94-A1E4-4AF91208A51D}"/>
    <cellStyle name="20% - Accent2 2 3 5 3" xfId="6169" xr:uid="{00000000-0005-0000-0000-0000DB000000}"/>
    <cellStyle name="20% - Accent2 2 3 5 3 2" xfId="22285" xr:uid="{D889FDCD-4B25-459B-A994-9C2E7E827944}"/>
    <cellStyle name="20% - Accent2 2 3 5 3 3" xfId="14664" xr:uid="{89A837C7-A1E2-4B69-AC17-B3E8D28D625C}"/>
    <cellStyle name="20% - Accent2 2 3 5 4" xfId="18072" xr:uid="{F8A6E50D-4C3A-461A-AAB1-3378DDA9A1EB}"/>
    <cellStyle name="20% - Accent2 2 3 5 5" xfId="10451" xr:uid="{EE84C507-5131-4DC8-A490-BA0E01237567}"/>
    <cellStyle name="20% - Accent2 2 3 6" xfId="2276" xr:uid="{00000000-0005-0000-0000-0000DC000000}"/>
    <cellStyle name="20% - Accent2 2 3 6 2" xfId="6582" xr:uid="{00000000-0005-0000-0000-0000DD000000}"/>
    <cellStyle name="20% - Accent2 2 3 6 2 2" xfId="22698" xr:uid="{04B5847E-BAE9-4C7C-971D-D5AA3BB95E4C}"/>
    <cellStyle name="20% - Accent2 2 3 6 2 3" xfId="15077" xr:uid="{9951627B-173C-4B07-B8C4-31187A02BE65}"/>
    <cellStyle name="20% - Accent2 2 3 6 3" xfId="18485" xr:uid="{1FED37C9-C684-4AD1-88E6-E460D3B4B0BC}"/>
    <cellStyle name="20% - Accent2 2 3 6 4" xfId="10864" xr:uid="{4A6C8A32-3BF5-4AEB-BD12-1F40EE9585B5}"/>
    <cellStyle name="20% - Accent2 2 3 7" xfId="4516" xr:uid="{00000000-0005-0000-0000-0000DE000000}"/>
    <cellStyle name="20% - Accent2 2 3 7 2" xfId="20633" xr:uid="{4D9AC657-681E-45F8-87D2-2C2C48CBC978}"/>
    <cellStyle name="20% - Accent2 2 3 7 3" xfId="13012" xr:uid="{9DEE1A2E-DB48-4422-BB92-0A3564B4C874}"/>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2 2 2" xfId="23188" xr:uid="{D4501F33-ED4D-49A2-9CB2-8909F9AD1500}"/>
    <cellStyle name="20% - Accent2 2 4 2 2 3" xfId="15567" xr:uid="{066BB66C-F497-41CA-A6CA-1936C8CF2923}"/>
    <cellStyle name="20% - Accent2 2 4 2 3" xfId="18975" xr:uid="{18479625-7E07-4BC1-84FD-D4ABF600DCDD}"/>
    <cellStyle name="20% - Accent2 2 4 2 4" xfId="11354" xr:uid="{F5CBF13A-9BED-4DCD-AECA-3F8774F552CB}"/>
    <cellStyle name="20% - Accent2 2 4 3" xfId="4927" xr:uid="{00000000-0005-0000-0000-0000E2000000}"/>
    <cellStyle name="20% - Accent2 2 4 3 2" xfId="21043" xr:uid="{D2B1A1A9-6C7C-4B00-94A9-FBD5EECF09BA}"/>
    <cellStyle name="20% - Accent2 2 4 3 3" xfId="13422" xr:uid="{781B411C-9D10-47B2-8A7E-2110AA93055C}"/>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2 2 2" xfId="23601" xr:uid="{6EF41B1C-B10B-487D-8E3B-22E48ABF58D2}"/>
    <cellStyle name="20% - Accent2 2 5 2 2 3" xfId="15980" xr:uid="{B8722D0D-6CC4-4612-A9F9-E110B3181905}"/>
    <cellStyle name="20% - Accent2 2 5 2 3" xfId="19388" xr:uid="{AC94C59B-4DD8-4F18-B240-823B61FA8FD7}"/>
    <cellStyle name="20% - Accent2 2 5 2 4" xfId="11767" xr:uid="{0785098A-1CB8-47A4-93DF-9D42D475A679}"/>
    <cellStyle name="20% - Accent2 2 5 3" xfId="5340" xr:uid="{00000000-0005-0000-0000-0000E6000000}"/>
    <cellStyle name="20% - Accent2 2 5 3 2" xfId="21456" xr:uid="{F648DD64-1D8E-4E43-A462-BCD1B4E74603}"/>
    <cellStyle name="20% - Accent2 2 5 3 3" xfId="13835" xr:uid="{E18C4BD4-7AC4-439F-85B5-2D2043D839AD}"/>
    <cellStyle name="20% - Accent2 2 5 4" xfId="17243" xr:uid="{0393F5C6-5A7F-4347-964E-4E003639D5C2}"/>
    <cellStyle name="20% - Accent2 2 5 5" xfId="9622" xr:uid="{236DB8B9-876F-4141-A8C7-C694C53B1894}"/>
    <cellStyle name="20% - Accent2 2 6" xfId="1446" xr:uid="{00000000-0005-0000-0000-0000E7000000}"/>
    <cellStyle name="20% - Accent2 2 6 2" xfId="3676" xr:uid="{00000000-0005-0000-0000-0000E8000000}"/>
    <cellStyle name="20% - Accent2 2 6 2 2" xfId="7898" xr:uid="{00000000-0005-0000-0000-0000E9000000}"/>
    <cellStyle name="20% - Accent2 2 6 2 2 2" xfId="24014" xr:uid="{37C8BD82-BFC7-4734-B464-9594A87D0A53}"/>
    <cellStyle name="20% - Accent2 2 6 2 2 3" xfId="16393" xr:uid="{B0842C0A-056A-4D1C-9E59-AC1359BD57E1}"/>
    <cellStyle name="20% - Accent2 2 6 2 3" xfId="19801" xr:uid="{01E24388-E398-4C85-8766-957EDE8CDEBA}"/>
    <cellStyle name="20% - Accent2 2 6 2 4" xfId="12180" xr:uid="{886643FA-6B0F-42D7-A242-4A74F2B150CD}"/>
    <cellStyle name="20% - Accent2 2 6 3" xfId="5753" xr:uid="{00000000-0005-0000-0000-0000EA000000}"/>
    <cellStyle name="20% - Accent2 2 6 3 2" xfId="21869" xr:uid="{6F27FF49-D996-40D8-9C76-33C5FEE95BE5}"/>
    <cellStyle name="20% - Accent2 2 6 3 3" xfId="14248" xr:uid="{DE686B46-434C-47D5-9E2A-15DE9E1829FB}"/>
    <cellStyle name="20% - Accent2 2 6 4" xfId="17656" xr:uid="{AFCE457C-9198-4646-8433-6520176FA8D6}"/>
    <cellStyle name="20% - Accent2 2 6 5" xfId="10035" xr:uid="{EA1B02FD-7B4B-45AD-B988-5F8BC8E36ED1}"/>
    <cellStyle name="20% - Accent2 2 7" xfId="1860" xr:uid="{00000000-0005-0000-0000-0000EB000000}"/>
    <cellStyle name="20% - Accent2 2 7 2" xfId="4089" xr:uid="{00000000-0005-0000-0000-0000EC000000}"/>
    <cellStyle name="20% - Accent2 2 7 2 2" xfId="8311" xr:uid="{00000000-0005-0000-0000-0000ED000000}"/>
    <cellStyle name="20% - Accent2 2 7 2 2 2" xfId="24427" xr:uid="{0949356B-AC14-46A9-B0EE-6CD179A286A3}"/>
    <cellStyle name="20% - Accent2 2 7 2 2 3" xfId="16806" xr:uid="{F0D77913-BE38-49CA-A983-5AFB49D62D72}"/>
    <cellStyle name="20% - Accent2 2 7 2 3" xfId="20214" xr:uid="{5BCBF62D-71A6-4455-AD5A-6A42848924A9}"/>
    <cellStyle name="20% - Accent2 2 7 2 4" xfId="12593" xr:uid="{154F3256-1E6E-48FF-BEA1-69F056D38136}"/>
    <cellStyle name="20% - Accent2 2 7 3" xfId="6166" xr:uid="{00000000-0005-0000-0000-0000EE000000}"/>
    <cellStyle name="20% - Accent2 2 7 3 2" xfId="22282" xr:uid="{E834B876-2339-4306-92DD-7CD967E1A22B}"/>
    <cellStyle name="20% - Accent2 2 7 3 3" xfId="14661" xr:uid="{798A3B0F-F718-4B76-9EDC-2A04523D6A25}"/>
    <cellStyle name="20% - Accent2 2 7 4" xfId="18069" xr:uid="{2F8937A1-245D-4A8F-B99A-90C33FF73497}"/>
    <cellStyle name="20% - Accent2 2 7 5" xfId="10448" xr:uid="{7FCF2FD0-C62D-443B-A431-A4D2BE6326E7}"/>
    <cellStyle name="20% - Accent2 2 8" xfId="2273" xr:uid="{00000000-0005-0000-0000-0000EF000000}"/>
    <cellStyle name="20% - Accent2 2 8 2" xfId="6579" xr:uid="{00000000-0005-0000-0000-0000F0000000}"/>
    <cellStyle name="20% - Accent2 2 8 2 2" xfId="22695" xr:uid="{2B881666-69B1-4D33-9E72-79CE7AF9E7EE}"/>
    <cellStyle name="20% - Accent2 2 8 2 3" xfId="15074" xr:uid="{C14E7DAD-3934-4724-B523-457A7C003B6D}"/>
    <cellStyle name="20% - Accent2 2 8 3" xfId="18482" xr:uid="{E90BEF39-EF1A-4462-825C-1E6E15E38734}"/>
    <cellStyle name="20% - Accent2 2 8 4" xfId="10861" xr:uid="{2F2871BD-4B73-48F2-B30F-48EE8AD14FFA}"/>
    <cellStyle name="20% - Accent2 2 9" xfId="4513" xr:uid="{00000000-0005-0000-0000-0000F1000000}"/>
    <cellStyle name="20% - Accent2 2 9 2" xfId="20630" xr:uid="{CA12CB35-4A9D-4AB2-9D4C-5A635459C603}"/>
    <cellStyle name="20% - Accent2 2 9 3" xfId="13009" xr:uid="{F44447A4-8BEF-4C0A-990E-8BA3D24092C9}"/>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23193" xr:uid="{37E0AF2C-B8F4-4980-AF9C-6ADF13AAD553}"/>
    <cellStyle name="20% - Accent2 3 2 2 2 2 3" xfId="15572" xr:uid="{1AB8A4DD-FBAB-4464-9A34-702DA81482A7}"/>
    <cellStyle name="20% - Accent2 3 2 2 2 3" xfId="18980" xr:uid="{378E8E5C-D0F1-4190-ABA8-D40E7BDB64A7}"/>
    <cellStyle name="20% - Accent2 3 2 2 2 4" xfId="11359" xr:uid="{42DE7CFD-BCE0-4624-B93E-5A6D7D1452F1}"/>
    <cellStyle name="20% - Accent2 3 2 2 3" xfId="4932" xr:uid="{00000000-0005-0000-0000-0000F7000000}"/>
    <cellStyle name="20% - Accent2 3 2 2 3 2" xfId="21048" xr:uid="{A41948A5-7587-432E-9B2D-9E8A30476E57}"/>
    <cellStyle name="20% - Accent2 3 2 2 3 3" xfId="13427" xr:uid="{9672B4E0-2E9B-41CA-8FAE-54DCBDC4F40E}"/>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23606" xr:uid="{6A47F121-3019-4A19-A602-40C9BAD1C5CA}"/>
    <cellStyle name="20% - Accent2 3 2 3 2 2 3" xfId="15985" xr:uid="{E8464AC6-622E-4FA8-A6A8-677E096DE7FB}"/>
    <cellStyle name="20% - Accent2 3 2 3 2 3" xfId="19393" xr:uid="{9C1798E1-85E5-4224-A712-75CD12E2E98D}"/>
    <cellStyle name="20% - Accent2 3 2 3 2 4" xfId="11772" xr:uid="{A802D6B3-DFFA-4498-82DC-9163FE9FADAE}"/>
    <cellStyle name="20% - Accent2 3 2 3 3" xfId="5345" xr:uid="{00000000-0005-0000-0000-0000FB000000}"/>
    <cellStyle name="20% - Accent2 3 2 3 3 2" xfId="21461" xr:uid="{80AC43E0-D353-4B49-96C1-41CE8108543B}"/>
    <cellStyle name="20% - Accent2 3 2 3 3 3" xfId="13840" xr:uid="{E333AA5D-6BEA-4FDF-8887-E6D5B0A9D4B3}"/>
    <cellStyle name="20% - Accent2 3 2 3 4" xfId="17248" xr:uid="{52D31D04-FC63-439E-B2F1-C0602762770E}"/>
    <cellStyle name="20% - Accent2 3 2 3 5" xfId="9627" xr:uid="{DA2E0B44-04C5-4F8F-AD72-039C83D00EC1}"/>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24019" xr:uid="{179DB7D8-F2FA-4F16-8A25-B68747DFC6FC}"/>
    <cellStyle name="20% - Accent2 3 2 4 2 2 3" xfId="16398" xr:uid="{9179ACF4-6130-4FB0-8554-09A40B4E3F42}"/>
    <cellStyle name="20% - Accent2 3 2 4 2 3" xfId="19806" xr:uid="{51F07A30-9D1D-4ADC-BBB7-6B655FEF53D0}"/>
    <cellStyle name="20% - Accent2 3 2 4 2 4" xfId="12185" xr:uid="{C1FA5B1E-39BD-489E-A037-C9C17D3C1D03}"/>
    <cellStyle name="20% - Accent2 3 2 4 3" xfId="5758" xr:uid="{00000000-0005-0000-0000-0000FF000000}"/>
    <cellStyle name="20% - Accent2 3 2 4 3 2" xfId="21874" xr:uid="{F1A0ACE5-27EE-4E45-ABC8-54379A61D82E}"/>
    <cellStyle name="20% - Accent2 3 2 4 3 3" xfId="14253" xr:uid="{7426978A-226D-450A-82B9-FE0CA0E6ED93}"/>
    <cellStyle name="20% - Accent2 3 2 4 4" xfId="17661" xr:uid="{49EC2CF7-681B-43D7-BE68-A26622309B7E}"/>
    <cellStyle name="20% - Accent2 3 2 4 5" xfId="10040" xr:uid="{8A13D2DC-3DD1-4029-A3A8-1E5D479F1E1A}"/>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24432" xr:uid="{AAAB95D3-D45B-4915-8FE1-9E2311F5F9CB}"/>
    <cellStyle name="20% - Accent2 3 2 5 2 2 3" xfId="16811" xr:uid="{D644B1C0-8F0D-436C-9B4C-43F9DD02E887}"/>
    <cellStyle name="20% - Accent2 3 2 5 2 3" xfId="20219" xr:uid="{7A2E3B10-36EA-4440-8979-4FFC2B82C813}"/>
    <cellStyle name="20% - Accent2 3 2 5 2 4" xfId="12598" xr:uid="{6D748AC9-FCFF-4F62-9BCC-D2FF46195AB0}"/>
    <cellStyle name="20% - Accent2 3 2 5 3" xfId="6171" xr:uid="{00000000-0005-0000-0000-000003010000}"/>
    <cellStyle name="20% - Accent2 3 2 5 3 2" xfId="22287" xr:uid="{D5555303-D88E-4D89-992D-788BCB4F803F}"/>
    <cellStyle name="20% - Accent2 3 2 5 3 3" xfId="14666" xr:uid="{4B5093D2-10FA-4FD0-BBB3-97CE09B9A6E1}"/>
    <cellStyle name="20% - Accent2 3 2 5 4" xfId="18074" xr:uid="{79F43E59-B29C-4B1C-BC1A-074A3BED3CA7}"/>
    <cellStyle name="20% - Accent2 3 2 5 5" xfId="10453" xr:uid="{75A5A2AE-E74E-40F6-85C2-A1661BD4983D}"/>
    <cellStyle name="20% - Accent2 3 2 6" xfId="2278" xr:uid="{00000000-0005-0000-0000-000004010000}"/>
    <cellStyle name="20% - Accent2 3 2 6 2" xfId="6584" xr:uid="{00000000-0005-0000-0000-000005010000}"/>
    <cellStyle name="20% - Accent2 3 2 6 2 2" xfId="22700" xr:uid="{155A1D6F-4C2D-4118-B968-80A66BB36E6D}"/>
    <cellStyle name="20% - Accent2 3 2 6 2 3" xfId="15079" xr:uid="{C1CF9C66-4664-44C4-B3C5-389A4114CA9B}"/>
    <cellStyle name="20% - Accent2 3 2 6 3" xfId="18487" xr:uid="{09412970-ADBF-4DBA-B5F8-6568BC76B8F6}"/>
    <cellStyle name="20% - Accent2 3 2 6 4" xfId="10866" xr:uid="{A0DF4FE2-20AE-48BD-9616-189F117E856F}"/>
    <cellStyle name="20% - Accent2 3 2 7" xfId="4518" xr:uid="{00000000-0005-0000-0000-000006010000}"/>
    <cellStyle name="20% - Accent2 3 2 7 2" xfId="20635" xr:uid="{C2938946-A1C1-4876-B0FA-921C5B35FF69}"/>
    <cellStyle name="20% - Accent2 3 2 7 3" xfId="13014" xr:uid="{EF7BF10B-990F-4569-900F-8B472CF2A523}"/>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2 2 2" xfId="23192" xr:uid="{67226DB3-DED3-4160-9ACB-0669C8EB37A8}"/>
    <cellStyle name="20% - Accent2 3 3 2 2 3" xfId="15571" xr:uid="{DFEB4B0C-5492-4180-9614-20D08731CD6C}"/>
    <cellStyle name="20% - Accent2 3 3 2 3" xfId="18979" xr:uid="{E22BC308-0B8E-45B6-9D4C-C9AB9DEADE50}"/>
    <cellStyle name="20% - Accent2 3 3 2 4" xfId="11358" xr:uid="{E8E2ABFB-243F-43AB-A770-1E4F8B2A21AB}"/>
    <cellStyle name="20% - Accent2 3 3 3" xfId="4931" xr:uid="{00000000-0005-0000-0000-00000A010000}"/>
    <cellStyle name="20% - Accent2 3 3 3 2" xfId="21047" xr:uid="{1AB7A1EE-24AB-43A3-A553-F13E6A35CB93}"/>
    <cellStyle name="20% - Accent2 3 3 3 3" xfId="13426" xr:uid="{72A00F4C-7BBC-43F9-99EA-A58871B2C18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2 2 2" xfId="23605" xr:uid="{08E07E79-DB16-4599-BB71-C7B60D4AE406}"/>
    <cellStyle name="20% - Accent2 3 4 2 2 3" xfId="15984" xr:uid="{6193111A-32E5-4D49-947D-E4BF853B49AB}"/>
    <cellStyle name="20% - Accent2 3 4 2 3" xfId="19392" xr:uid="{474E7419-3B30-4105-A310-403DE0A15832}"/>
    <cellStyle name="20% - Accent2 3 4 2 4" xfId="11771" xr:uid="{99DE4693-D1D4-4BE6-8A3E-2D0F080175CF}"/>
    <cellStyle name="20% - Accent2 3 4 3" xfId="5344" xr:uid="{00000000-0005-0000-0000-00000E010000}"/>
    <cellStyle name="20% - Accent2 3 4 3 2" xfId="21460" xr:uid="{5829E008-D3DF-4493-8397-31C3C3658EA8}"/>
    <cellStyle name="20% - Accent2 3 4 3 3" xfId="13839" xr:uid="{2A7B295E-0E67-4E23-9FDE-0F7723E4E605}"/>
    <cellStyle name="20% - Accent2 3 4 4" xfId="17247" xr:uid="{ED8DB52F-A333-46E2-917A-60B0A77CFEB3}"/>
    <cellStyle name="20% - Accent2 3 4 5" xfId="9626" xr:uid="{A9CBDEB6-BC11-40E5-8D0B-46FA3695674A}"/>
    <cellStyle name="20% - Accent2 3 5" xfId="1450" xr:uid="{00000000-0005-0000-0000-00000F010000}"/>
    <cellStyle name="20% - Accent2 3 5 2" xfId="3680" xr:uid="{00000000-0005-0000-0000-000010010000}"/>
    <cellStyle name="20% - Accent2 3 5 2 2" xfId="7902" xr:uid="{00000000-0005-0000-0000-000011010000}"/>
    <cellStyle name="20% - Accent2 3 5 2 2 2" xfId="24018" xr:uid="{2E1D1594-23F6-4603-A56A-E0A679ACE46E}"/>
    <cellStyle name="20% - Accent2 3 5 2 2 3" xfId="16397" xr:uid="{0B0C1264-5A43-44B6-A319-7019D281C7A8}"/>
    <cellStyle name="20% - Accent2 3 5 2 3" xfId="19805" xr:uid="{629547C8-002A-4790-9527-814DC49EDF27}"/>
    <cellStyle name="20% - Accent2 3 5 2 4" xfId="12184" xr:uid="{C6C5A2CF-A8C2-4664-8AEE-C852CF5DFCDC}"/>
    <cellStyle name="20% - Accent2 3 5 3" xfId="5757" xr:uid="{00000000-0005-0000-0000-000012010000}"/>
    <cellStyle name="20% - Accent2 3 5 3 2" xfId="21873" xr:uid="{E8E43579-5B39-46DC-A390-019F1A64A230}"/>
    <cellStyle name="20% - Accent2 3 5 3 3" xfId="14252" xr:uid="{2E6627FE-73CF-41CD-AF09-E52FE43AF151}"/>
    <cellStyle name="20% - Accent2 3 5 4" xfId="17660" xr:uid="{E0D10236-D001-4792-9ECD-5AE75246274E}"/>
    <cellStyle name="20% - Accent2 3 5 5" xfId="10039" xr:uid="{8C1416E7-CE6F-47DB-BE6A-138D943C4B16}"/>
    <cellStyle name="20% - Accent2 3 6" xfId="1864" xr:uid="{00000000-0005-0000-0000-000013010000}"/>
    <cellStyle name="20% - Accent2 3 6 2" xfId="4093" xr:uid="{00000000-0005-0000-0000-000014010000}"/>
    <cellStyle name="20% - Accent2 3 6 2 2" xfId="8315" xr:uid="{00000000-0005-0000-0000-000015010000}"/>
    <cellStyle name="20% - Accent2 3 6 2 2 2" xfId="24431" xr:uid="{ED449D76-3631-488A-A19F-E1181427BB45}"/>
    <cellStyle name="20% - Accent2 3 6 2 2 3" xfId="16810" xr:uid="{A139EC6D-5549-4310-A0AF-154BC723B04B}"/>
    <cellStyle name="20% - Accent2 3 6 2 3" xfId="20218" xr:uid="{8EC3B089-544A-4497-AF00-A63B57DE98DA}"/>
    <cellStyle name="20% - Accent2 3 6 2 4" xfId="12597" xr:uid="{368F5EC1-4B87-4AFF-BA37-3A08899A13F0}"/>
    <cellStyle name="20% - Accent2 3 6 3" xfId="6170" xr:uid="{00000000-0005-0000-0000-000016010000}"/>
    <cellStyle name="20% - Accent2 3 6 3 2" xfId="22286" xr:uid="{AB4A1C11-AAA8-454A-B24F-4F77AD92D108}"/>
    <cellStyle name="20% - Accent2 3 6 3 3" xfId="14665" xr:uid="{9B5E1344-5B45-4FFA-B1DE-59985201CA96}"/>
    <cellStyle name="20% - Accent2 3 6 4" xfId="18073" xr:uid="{0CEF5304-B9A7-4151-9A3B-ACD608779358}"/>
    <cellStyle name="20% - Accent2 3 6 5" xfId="10452" xr:uid="{2177D2A5-B3BC-45BE-A857-65435C727FBB}"/>
    <cellStyle name="20% - Accent2 3 7" xfId="2277" xr:uid="{00000000-0005-0000-0000-000017010000}"/>
    <cellStyle name="20% - Accent2 3 7 2" xfId="6583" xr:uid="{00000000-0005-0000-0000-000018010000}"/>
    <cellStyle name="20% - Accent2 3 7 2 2" xfId="22699" xr:uid="{DA4FB268-026A-41DC-BD60-214FB4C03CF5}"/>
    <cellStyle name="20% - Accent2 3 7 2 3" xfId="15078" xr:uid="{DAD12197-9514-41A9-A88A-2F5FD58A5DFB}"/>
    <cellStyle name="20% - Accent2 3 7 3" xfId="18486" xr:uid="{C2E2C0BB-6554-481B-AF34-515C5CDE9AB2}"/>
    <cellStyle name="20% - Accent2 3 7 4" xfId="10865" xr:uid="{E1E353C5-16AA-4289-A4FC-6486FD7AE427}"/>
    <cellStyle name="20% - Accent2 3 8" xfId="4517" xr:uid="{00000000-0005-0000-0000-000019010000}"/>
    <cellStyle name="20% - Accent2 3 8 2" xfId="20634" xr:uid="{FEBE4DA3-ECD4-4E17-BE4C-5B50F82DA324}"/>
    <cellStyle name="20% - Accent2 3 8 3" xfId="13013" xr:uid="{2989F024-9573-40F3-9009-C3AB1AAF83E1}"/>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23194" xr:uid="{8CFFAF07-8C44-4683-B358-5716A3A497DD}"/>
    <cellStyle name="20% - Accent2 4 2 2 2 3" xfId="15573" xr:uid="{77B9EAF7-982F-4E0B-8EDC-88BA56C5286D}"/>
    <cellStyle name="20% - Accent2 4 2 2 3" xfId="18981" xr:uid="{CA9F1BD7-8380-45C5-8A0B-AE968F06DBF0}"/>
    <cellStyle name="20% - Accent2 4 2 2 4" xfId="11360" xr:uid="{3361AFB8-2A91-4109-8305-97A32D59F9CE}"/>
    <cellStyle name="20% - Accent2 4 2 3" xfId="4933" xr:uid="{00000000-0005-0000-0000-00001E010000}"/>
    <cellStyle name="20% - Accent2 4 2 3 2" xfId="21049" xr:uid="{1581177A-E06A-4C10-BBF1-6324E449D803}"/>
    <cellStyle name="20% - Accent2 4 2 3 3" xfId="13428" xr:uid="{688FDF52-9600-46C9-B66F-16FF43F673E3}"/>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2 2 2" xfId="23607" xr:uid="{5970BED1-AA0D-486E-855A-5A68D190CE51}"/>
    <cellStyle name="20% - Accent2 4 3 2 2 3" xfId="15986" xr:uid="{9D05C80B-5F86-42B5-B11D-296986A8A906}"/>
    <cellStyle name="20% - Accent2 4 3 2 3" xfId="19394" xr:uid="{0D81CF61-1738-4642-A2FF-A507276B9283}"/>
    <cellStyle name="20% - Accent2 4 3 2 4" xfId="11773" xr:uid="{0CD81ADE-30F8-4DDC-B9CB-019BB52AFB23}"/>
    <cellStyle name="20% - Accent2 4 3 3" xfId="5346" xr:uid="{00000000-0005-0000-0000-000022010000}"/>
    <cellStyle name="20% - Accent2 4 3 3 2" xfId="21462" xr:uid="{CBED9979-4291-474C-81C4-EE9AC6EA1B7F}"/>
    <cellStyle name="20% - Accent2 4 3 3 3" xfId="13841" xr:uid="{F88547BD-06BB-4F67-9D33-3CB90FA33E88}"/>
    <cellStyle name="20% - Accent2 4 3 4" xfId="17249" xr:uid="{F4E09DCE-C04B-4144-8E00-622445C7EF87}"/>
    <cellStyle name="20% - Accent2 4 3 5" xfId="9628" xr:uid="{764603C9-E4D6-4160-8FE0-EEE6605936F0}"/>
    <cellStyle name="20% - Accent2 4 4" xfId="1452" xr:uid="{00000000-0005-0000-0000-000023010000}"/>
    <cellStyle name="20% - Accent2 4 4 2" xfId="3682" xr:uid="{00000000-0005-0000-0000-000024010000}"/>
    <cellStyle name="20% - Accent2 4 4 2 2" xfId="7904" xr:uid="{00000000-0005-0000-0000-000025010000}"/>
    <cellStyle name="20% - Accent2 4 4 2 2 2" xfId="24020" xr:uid="{81BAB2A8-903A-4D35-A92E-004C6202865C}"/>
    <cellStyle name="20% - Accent2 4 4 2 2 3" xfId="16399" xr:uid="{A43C9377-F71C-403D-9A71-1CEF95B5956B}"/>
    <cellStyle name="20% - Accent2 4 4 2 3" xfId="19807" xr:uid="{C1B9EB22-88B8-4FF5-B5DE-E4ABCC168CFB}"/>
    <cellStyle name="20% - Accent2 4 4 2 4" xfId="12186" xr:uid="{A012103C-7A24-4867-86F2-2E63EB93C280}"/>
    <cellStyle name="20% - Accent2 4 4 3" xfId="5759" xr:uid="{00000000-0005-0000-0000-000026010000}"/>
    <cellStyle name="20% - Accent2 4 4 3 2" xfId="21875" xr:uid="{19D59284-3A53-42FC-93B5-FF10A35BDA16}"/>
    <cellStyle name="20% - Accent2 4 4 3 3" xfId="14254" xr:uid="{4A3D56DA-79D5-494F-A980-B322CB12C43C}"/>
    <cellStyle name="20% - Accent2 4 4 4" xfId="17662" xr:uid="{10ADBAA9-B5F3-4CF0-BD10-89913567FD8C}"/>
    <cellStyle name="20% - Accent2 4 4 5" xfId="10041" xr:uid="{0E23CA77-1BBB-44B5-B013-6316AA5A1A58}"/>
    <cellStyle name="20% - Accent2 4 5" xfId="1866" xr:uid="{00000000-0005-0000-0000-000027010000}"/>
    <cellStyle name="20% - Accent2 4 5 2" xfId="4095" xr:uid="{00000000-0005-0000-0000-000028010000}"/>
    <cellStyle name="20% - Accent2 4 5 2 2" xfId="8317" xr:uid="{00000000-0005-0000-0000-000029010000}"/>
    <cellStyle name="20% - Accent2 4 5 2 2 2" xfId="24433" xr:uid="{E3B48ACF-A4D2-431C-A9E3-E53A04F73913}"/>
    <cellStyle name="20% - Accent2 4 5 2 2 3" xfId="16812" xr:uid="{A437FF24-E5B0-403C-ADD4-677FD5A6A4FA}"/>
    <cellStyle name="20% - Accent2 4 5 2 3" xfId="20220" xr:uid="{A884BD5B-13D2-4839-A1AC-9BB6D64FD70F}"/>
    <cellStyle name="20% - Accent2 4 5 2 4" xfId="12599" xr:uid="{0991A3D2-7908-4DEF-8874-454CC3D6F991}"/>
    <cellStyle name="20% - Accent2 4 5 3" xfId="6172" xr:uid="{00000000-0005-0000-0000-00002A010000}"/>
    <cellStyle name="20% - Accent2 4 5 3 2" xfId="22288" xr:uid="{A17DB2D9-C3BE-43C4-8064-2DD41267E9B2}"/>
    <cellStyle name="20% - Accent2 4 5 3 3" xfId="14667" xr:uid="{BBF823D7-F09B-4FDA-9C4C-40360E9D3AF2}"/>
    <cellStyle name="20% - Accent2 4 5 4" xfId="18075" xr:uid="{7CDA2C42-FA3F-4D97-AFE8-926E430C891D}"/>
    <cellStyle name="20% - Accent2 4 5 5" xfId="10454" xr:uid="{C9043F74-D20E-45D0-AA0B-5D2491ACC7FE}"/>
    <cellStyle name="20% - Accent2 4 6" xfId="2279" xr:uid="{00000000-0005-0000-0000-00002B010000}"/>
    <cellStyle name="20% - Accent2 4 6 2" xfId="6585" xr:uid="{00000000-0005-0000-0000-00002C010000}"/>
    <cellStyle name="20% - Accent2 4 6 2 2" xfId="22701" xr:uid="{4E32424C-06B7-463D-A1E3-F53B34F8E968}"/>
    <cellStyle name="20% - Accent2 4 6 2 3" xfId="15080" xr:uid="{D095516B-F0B9-4627-8A36-419EFC681D2A}"/>
    <cellStyle name="20% - Accent2 4 6 3" xfId="18488" xr:uid="{C141D8EC-92F0-4B89-874F-AEE390DD9FCC}"/>
    <cellStyle name="20% - Accent2 4 6 4" xfId="10867" xr:uid="{B9D99E82-1D5D-4A28-AE63-AF0596AA9856}"/>
    <cellStyle name="20% - Accent2 4 7" xfId="4519" xr:uid="{00000000-0005-0000-0000-00002D010000}"/>
    <cellStyle name="20% - Accent2 4 7 2" xfId="20636" xr:uid="{7EB36CDE-A5FD-4F1F-9CDA-D507FFEA192C}"/>
    <cellStyle name="20% - Accent2 4 7 3" xfId="13015" xr:uid="{D388D397-BBD7-480E-8181-3F8E1E3CC472}"/>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2 2 2" xfId="23187" xr:uid="{D9D540CB-45EC-4DF7-940B-3930759EAF23}"/>
    <cellStyle name="20% - Accent2 5 2 2 3" xfId="15566" xr:uid="{BAC91131-7B05-4747-8D22-BD2389AED59D}"/>
    <cellStyle name="20% - Accent2 5 2 3" xfId="18974" xr:uid="{483B008B-40DB-4E25-91B2-172DFBCC3EE8}"/>
    <cellStyle name="20% - Accent2 5 2 4" xfId="11353" xr:uid="{EE4B9150-4141-4633-BEA2-F87D0A69E914}"/>
    <cellStyle name="20% - Accent2 5 3" xfId="4926" xr:uid="{00000000-0005-0000-0000-000031010000}"/>
    <cellStyle name="20% - Accent2 5 3 2" xfId="21042" xr:uid="{29D69AB1-E260-4CD4-B5DD-DF467A684C68}"/>
    <cellStyle name="20% - Accent2 5 3 3" xfId="13421" xr:uid="{D92FF3CD-8440-4569-8B36-BE7158F6D41C}"/>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2 2 2" xfId="23600" xr:uid="{3A9766DF-D425-4037-95D8-732CCA9BA0C3}"/>
    <cellStyle name="20% - Accent2 6 2 2 3" xfId="15979" xr:uid="{E731F1DF-D86D-47C9-BE69-D98E8C05C1B0}"/>
    <cellStyle name="20% - Accent2 6 2 3" xfId="19387" xr:uid="{05A092D1-1DD3-4A72-B06B-D12F84EEFE71}"/>
    <cellStyle name="20% - Accent2 6 2 4" xfId="11766" xr:uid="{989B0746-5A17-47B8-BD90-33175F66DE92}"/>
    <cellStyle name="20% - Accent2 6 3" xfId="5339" xr:uid="{00000000-0005-0000-0000-000035010000}"/>
    <cellStyle name="20% - Accent2 6 3 2" xfId="21455" xr:uid="{6419BD5B-37FA-403E-BC70-CA2005FBDD02}"/>
    <cellStyle name="20% - Accent2 6 3 3" xfId="13834" xr:uid="{1472D303-57A2-4EB9-A5E8-345337CA6C8D}"/>
    <cellStyle name="20% - Accent2 6 4" xfId="17242" xr:uid="{03E8FA6B-54F4-489C-A716-187A5B916CE8}"/>
    <cellStyle name="20% - Accent2 6 5" xfId="9621" xr:uid="{C4D7FB14-B2C6-4D01-A1D2-3BC8655AE28D}"/>
    <cellStyle name="20% - Accent2 7" xfId="1445" xr:uid="{00000000-0005-0000-0000-000036010000}"/>
    <cellStyle name="20% - Accent2 7 2" xfId="3675" xr:uid="{00000000-0005-0000-0000-000037010000}"/>
    <cellStyle name="20% - Accent2 7 2 2" xfId="7897" xr:uid="{00000000-0005-0000-0000-000038010000}"/>
    <cellStyle name="20% - Accent2 7 2 2 2" xfId="24013" xr:uid="{6B4E46F3-E00C-4DEC-BD28-9443AE8BF8B0}"/>
    <cellStyle name="20% - Accent2 7 2 2 3" xfId="16392" xr:uid="{1043D3FC-7DCB-4DEE-BD95-DDBB054733D3}"/>
    <cellStyle name="20% - Accent2 7 2 3" xfId="19800" xr:uid="{565CBC7E-EF1F-4359-9891-F2044FF50C0F}"/>
    <cellStyle name="20% - Accent2 7 2 4" xfId="12179" xr:uid="{62A5BBCF-270A-4BB2-9C86-BDA171F367E3}"/>
    <cellStyle name="20% - Accent2 7 3" xfId="5752" xr:uid="{00000000-0005-0000-0000-000039010000}"/>
    <cellStyle name="20% - Accent2 7 3 2" xfId="21868" xr:uid="{FA650D7B-825B-4C5E-A415-C43190E51EC1}"/>
    <cellStyle name="20% - Accent2 7 3 3" xfId="14247" xr:uid="{7730DE8F-A33C-410E-B3D1-730D82EE849A}"/>
    <cellStyle name="20% - Accent2 7 4" xfId="17655" xr:uid="{94F9731E-2A5F-4DA2-A8A3-0AF3C7DA2744}"/>
    <cellStyle name="20% - Accent2 7 5" xfId="10034" xr:uid="{EECF5A8A-7445-45F9-A099-2887B08840E7}"/>
    <cellStyle name="20% - Accent2 8" xfId="1859" xr:uid="{00000000-0005-0000-0000-00003A010000}"/>
    <cellStyle name="20% - Accent2 8 2" xfId="4088" xr:uid="{00000000-0005-0000-0000-00003B010000}"/>
    <cellStyle name="20% - Accent2 8 2 2" xfId="8310" xr:uid="{00000000-0005-0000-0000-00003C010000}"/>
    <cellStyle name="20% - Accent2 8 2 2 2" xfId="24426" xr:uid="{BC0DCF33-9795-4EBE-AAAD-6630FF8C9D04}"/>
    <cellStyle name="20% - Accent2 8 2 2 3" xfId="16805" xr:uid="{21AD99F9-CDF7-40AA-ACAD-887537AAE524}"/>
    <cellStyle name="20% - Accent2 8 2 3" xfId="20213" xr:uid="{C2770118-0572-4126-BB3F-EF4A0A6D3158}"/>
    <cellStyle name="20% - Accent2 8 2 4" xfId="12592" xr:uid="{A95F7E7F-927F-4CFC-9366-D94289010246}"/>
    <cellStyle name="20% - Accent2 8 3" xfId="6165" xr:uid="{00000000-0005-0000-0000-00003D010000}"/>
    <cellStyle name="20% - Accent2 8 3 2" xfId="22281" xr:uid="{1C1451B9-7147-4A9F-825C-0C61C6C74CAB}"/>
    <cellStyle name="20% - Accent2 8 3 3" xfId="14660" xr:uid="{663F2B86-0849-4333-898B-8E6370BFABD3}"/>
    <cellStyle name="20% - Accent2 8 4" xfId="18068" xr:uid="{972C4544-CD24-4AC4-B494-4476DA12F950}"/>
    <cellStyle name="20% - Accent2 8 5" xfId="10447" xr:uid="{63AB53AE-A6B4-4BC8-90DF-85AE4C8EF4FD}"/>
    <cellStyle name="20% - Accent2 9" xfId="2272" xr:uid="{00000000-0005-0000-0000-00003E010000}"/>
    <cellStyle name="20% - Accent2 9 2" xfId="6578" xr:uid="{00000000-0005-0000-0000-00003F010000}"/>
    <cellStyle name="20% - Accent2 9 2 2" xfId="22694" xr:uid="{24763C96-C122-45E9-B67E-66F7C336808D}"/>
    <cellStyle name="20% - Accent2 9 2 3" xfId="15073" xr:uid="{C5FBA7F0-E4F4-44BA-93C8-BC5E2A4A068D}"/>
    <cellStyle name="20% - Accent2 9 3" xfId="18481" xr:uid="{4C8604FB-F30C-43A7-937C-768EBB3EEA18}"/>
    <cellStyle name="20% - Accent2 9 4" xfId="10860" xr:uid="{21EF0745-4662-4CE1-ADFF-C511461DFB29}"/>
    <cellStyle name="20% - Accent3" xfId="17" builtinId="38" customBuiltin="1"/>
    <cellStyle name="20% - Accent3 10" xfId="4520" xr:uid="{00000000-0005-0000-0000-000041010000}"/>
    <cellStyle name="20% - Accent3 10 2" xfId="20637" xr:uid="{C7927702-553E-4672-9C79-9A4F751170C5}"/>
    <cellStyle name="20% - Accent3 10 3" xfId="13016" xr:uid="{399A6C2B-23A2-4E91-881C-7390D1A78196}"/>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23198" xr:uid="{34511202-E339-4E2C-B129-AE1E58F32447}"/>
    <cellStyle name="20% - Accent3 2 2 2 2 2 2 3" xfId="15577" xr:uid="{921F6298-32A3-4C70-9DD8-2B1E40DCD717}"/>
    <cellStyle name="20% - Accent3 2 2 2 2 2 3" xfId="18985" xr:uid="{E063D0B5-BEDC-4CD5-8BDA-4E4A442DE35B}"/>
    <cellStyle name="20% - Accent3 2 2 2 2 2 4" xfId="11364" xr:uid="{98C8169D-E727-4504-B716-91AA92E27574}"/>
    <cellStyle name="20% - Accent3 2 2 2 2 3" xfId="4937" xr:uid="{00000000-0005-0000-0000-000048010000}"/>
    <cellStyle name="20% - Accent3 2 2 2 2 3 2" xfId="21053" xr:uid="{8E1468FE-CB2F-463A-A34A-781979E2289B}"/>
    <cellStyle name="20% - Accent3 2 2 2 2 3 3" xfId="13432" xr:uid="{893411E7-723B-45AB-AA46-CBF3D5096D8A}"/>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23611" xr:uid="{2A076D6D-0F84-46E0-A154-E04A291EA4CB}"/>
    <cellStyle name="20% - Accent3 2 2 2 3 2 2 3" xfId="15990" xr:uid="{B61093E0-1568-4666-B17F-9843F880DF43}"/>
    <cellStyle name="20% - Accent3 2 2 2 3 2 3" xfId="19398" xr:uid="{FCC5654F-55EF-4CDD-8D10-EA8081E6CAA7}"/>
    <cellStyle name="20% - Accent3 2 2 2 3 2 4" xfId="11777" xr:uid="{34D7F85F-BF69-434C-B017-205E259DF51B}"/>
    <cellStyle name="20% - Accent3 2 2 2 3 3" xfId="5350" xr:uid="{00000000-0005-0000-0000-00004C010000}"/>
    <cellStyle name="20% - Accent3 2 2 2 3 3 2" xfId="21466" xr:uid="{9D880667-AD5D-470C-A859-27943F956DF6}"/>
    <cellStyle name="20% - Accent3 2 2 2 3 3 3" xfId="13845" xr:uid="{98D18EB8-EDF5-4A49-A6B9-DEAC7BCDF107}"/>
    <cellStyle name="20% - Accent3 2 2 2 3 4" xfId="17253" xr:uid="{1ADF2597-5326-4956-A7AC-16B7D9B61CF1}"/>
    <cellStyle name="20% - Accent3 2 2 2 3 5" xfId="9632" xr:uid="{4FD1932A-3696-4747-839B-EE5AD468A524}"/>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24024" xr:uid="{E08087B6-7F59-4D07-B896-49FF3017DB57}"/>
    <cellStyle name="20% - Accent3 2 2 2 4 2 2 3" xfId="16403" xr:uid="{62055DCF-17BC-4A1B-8CAC-73AB8F9E35DB}"/>
    <cellStyle name="20% - Accent3 2 2 2 4 2 3" xfId="19811" xr:uid="{65D10B3A-9A94-4C83-B584-0D1211A0C4E9}"/>
    <cellStyle name="20% - Accent3 2 2 2 4 2 4" xfId="12190" xr:uid="{61967E73-1E9F-4DFF-9955-A55315C57C41}"/>
    <cellStyle name="20% - Accent3 2 2 2 4 3" xfId="5763" xr:uid="{00000000-0005-0000-0000-000050010000}"/>
    <cellStyle name="20% - Accent3 2 2 2 4 3 2" xfId="21879" xr:uid="{F95DAC7D-02AD-481D-AFF2-D0EDF7DA9656}"/>
    <cellStyle name="20% - Accent3 2 2 2 4 3 3" xfId="14258" xr:uid="{D861F5C2-3989-45CA-8FFE-5DF0A4961BD8}"/>
    <cellStyle name="20% - Accent3 2 2 2 4 4" xfId="17666" xr:uid="{104A0765-1012-4CA6-ADD9-8A750F863FC8}"/>
    <cellStyle name="20% - Accent3 2 2 2 4 5" xfId="10045" xr:uid="{AF103DC1-0F8B-4911-BC1E-3B2418B42225}"/>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24437" xr:uid="{960595E1-4CDF-4F7A-98E4-254638D8F178}"/>
    <cellStyle name="20% - Accent3 2 2 2 5 2 2 3" xfId="16816" xr:uid="{D8D8266B-9BD2-4EE1-9A87-D75A041B312F}"/>
    <cellStyle name="20% - Accent3 2 2 2 5 2 3" xfId="20224" xr:uid="{853BCC6F-0A98-4743-9A8A-023E907AF1ED}"/>
    <cellStyle name="20% - Accent3 2 2 2 5 2 4" xfId="12603" xr:uid="{7CA1B70E-BB56-4BB3-A893-FEB1A4D15F69}"/>
    <cellStyle name="20% - Accent3 2 2 2 5 3" xfId="6176" xr:uid="{00000000-0005-0000-0000-000054010000}"/>
    <cellStyle name="20% - Accent3 2 2 2 5 3 2" xfId="22292" xr:uid="{A797AF09-E0D8-42B5-904B-5DD7FAF3FCD3}"/>
    <cellStyle name="20% - Accent3 2 2 2 5 3 3" xfId="14671" xr:uid="{A5E6AEAA-46D6-4253-AE60-375EA8FF9DB2}"/>
    <cellStyle name="20% - Accent3 2 2 2 5 4" xfId="18079" xr:uid="{D6D3C35A-E45A-4A05-B608-08B61A7EBE10}"/>
    <cellStyle name="20% - Accent3 2 2 2 5 5" xfId="10458" xr:uid="{5A4953E2-7652-440D-9DE2-9ACF1FBB9B04}"/>
    <cellStyle name="20% - Accent3 2 2 2 6" xfId="2283" xr:uid="{00000000-0005-0000-0000-000055010000}"/>
    <cellStyle name="20% - Accent3 2 2 2 6 2" xfId="6589" xr:uid="{00000000-0005-0000-0000-000056010000}"/>
    <cellStyle name="20% - Accent3 2 2 2 6 2 2" xfId="22705" xr:uid="{2E40E549-F8E1-4B79-BD83-59F8FCE8DD5D}"/>
    <cellStyle name="20% - Accent3 2 2 2 6 2 3" xfId="15084" xr:uid="{C653EA14-09CE-45E8-BC7C-254B74BDB6D5}"/>
    <cellStyle name="20% - Accent3 2 2 2 6 3" xfId="18492" xr:uid="{1A96DC6E-52EE-48C0-A7AC-753408411CA9}"/>
    <cellStyle name="20% - Accent3 2 2 2 6 4" xfId="10871" xr:uid="{20185AD7-E984-48F2-A62C-5E57F18A1C3E}"/>
    <cellStyle name="20% - Accent3 2 2 2 7" xfId="4523" xr:uid="{00000000-0005-0000-0000-000057010000}"/>
    <cellStyle name="20% - Accent3 2 2 2 7 2" xfId="20640" xr:uid="{E91E7BF4-EDAF-45AB-9E2D-3F428F26353A}"/>
    <cellStyle name="20% - Accent3 2 2 2 7 3" xfId="13019" xr:uid="{0225B8B6-05CF-4324-88D9-584CC5B61EBC}"/>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23197" xr:uid="{1D47D8E7-D8B9-4FFC-9257-A47992D8CB60}"/>
    <cellStyle name="20% - Accent3 2 2 3 2 2 3" xfId="15576" xr:uid="{88F95198-5634-49FB-BCFA-CCEBE7FF450D}"/>
    <cellStyle name="20% - Accent3 2 2 3 2 3" xfId="18984" xr:uid="{D9E45349-EEEB-4A39-B1F5-6EFBD3448D84}"/>
    <cellStyle name="20% - Accent3 2 2 3 2 4" xfId="11363" xr:uid="{057F0B69-F193-40A2-A49D-929F86C50C51}"/>
    <cellStyle name="20% - Accent3 2 2 3 3" xfId="4936" xr:uid="{00000000-0005-0000-0000-00005B010000}"/>
    <cellStyle name="20% - Accent3 2 2 3 3 2" xfId="21052" xr:uid="{80907545-AF0F-492A-851D-8950D38EC14E}"/>
    <cellStyle name="20% - Accent3 2 2 3 3 3" xfId="13431" xr:uid="{E1C03DBE-FC9B-42C2-AB80-0DF5394A013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23610" xr:uid="{6C3B4F53-57D2-4337-8707-43899647E585}"/>
    <cellStyle name="20% - Accent3 2 2 4 2 2 3" xfId="15989" xr:uid="{D845C1C3-2A09-4ECA-8CA3-984E3F8D5A8F}"/>
    <cellStyle name="20% - Accent3 2 2 4 2 3" xfId="19397" xr:uid="{3489215D-A605-4348-8FB5-50B9DAEC48D1}"/>
    <cellStyle name="20% - Accent3 2 2 4 2 4" xfId="11776" xr:uid="{84E0844E-2B35-4659-9912-F2157FD161FD}"/>
    <cellStyle name="20% - Accent3 2 2 4 3" xfId="5349" xr:uid="{00000000-0005-0000-0000-00005F010000}"/>
    <cellStyle name="20% - Accent3 2 2 4 3 2" xfId="21465" xr:uid="{A87CB5D5-F585-4F5B-A870-37D33B4078C6}"/>
    <cellStyle name="20% - Accent3 2 2 4 3 3" xfId="13844" xr:uid="{0A06DE96-5763-4E71-8186-DC0DB064E75C}"/>
    <cellStyle name="20% - Accent3 2 2 4 4" xfId="17252" xr:uid="{AC1DDB70-B52D-49CC-B4A3-D5C2C37AB156}"/>
    <cellStyle name="20% - Accent3 2 2 4 5" xfId="9631" xr:uid="{12A18520-0479-4C3A-8631-F1AAA0DF41CF}"/>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24023" xr:uid="{4B2A49E5-DC41-4F1C-A84B-90019A0AD4F7}"/>
    <cellStyle name="20% - Accent3 2 2 5 2 2 3" xfId="16402" xr:uid="{072C5E28-1F10-4307-A781-C50FBB9719D2}"/>
    <cellStyle name="20% - Accent3 2 2 5 2 3" xfId="19810" xr:uid="{FB62B657-DD1F-4324-83BE-E76E81ABE45A}"/>
    <cellStyle name="20% - Accent3 2 2 5 2 4" xfId="12189" xr:uid="{AC5561F6-5904-4881-A7F3-B5A0406E7E28}"/>
    <cellStyle name="20% - Accent3 2 2 5 3" xfId="5762" xr:uid="{00000000-0005-0000-0000-000063010000}"/>
    <cellStyle name="20% - Accent3 2 2 5 3 2" xfId="21878" xr:uid="{87263C59-2A31-47CA-9BA7-7C5395CEC8CF}"/>
    <cellStyle name="20% - Accent3 2 2 5 3 3" xfId="14257" xr:uid="{13D76893-3C36-459E-BF1A-BCC79713CBFA}"/>
    <cellStyle name="20% - Accent3 2 2 5 4" xfId="17665" xr:uid="{A152136D-AA05-4765-9808-EFF516C0AFF9}"/>
    <cellStyle name="20% - Accent3 2 2 5 5" xfId="10044" xr:uid="{5D5A1E01-C9C6-4D62-8DCB-A614910F139B}"/>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24436" xr:uid="{B0A4C8FD-4BFA-421A-B9B2-7BBC351F037D}"/>
    <cellStyle name="20% - Accent3 2 2 6 2 2 3" xfId="16815" xr:uid="{6A7BA41C-B267-43ED-82B5-9CD0474073C0}"/>
    <cellStyle name="20% - Accent3 2 2 6 2 3" xfId="20223" xr:uid="{E2AAA15F-7CF4-4D66-BAB9-8772CA5BDF34}"/>
    <cellStyle name="20% - Accent3 2 2 6 2 4" xfId="12602" xr:uid="{E953B07E-36D7-4654-B3A6-E9B8799B971D}"/>
    <cellStyle name="20% - Accent3 2 2 6 3" xfId="6175" xr:uid="{00000000-0005-0000-0000-000067010000}"/>
    <cellStyle name="20% - Accent3 2 2 6 3 2" xfId="22291" xr:uid="{CB0998E6-41E6-4FFA-BB59-5E8A29347380}"/>
    <cellStyle name="20% - Accent3 2 2 6 3 3" xfId="14670" xr:uid="{4479C31F-FE40-4C03-AD99-CC945AB96F66}"/>
    <cellStyle name="20% - Accent3 2 2 6 4" xfId="18078" xr:uid="{7F558D9A-C876-469A-B0A4-2315521C19B2}"/>
    <cellStyle name="20% - Accent3 2 2 6 5" xfId="10457" xr:uid="{A73A070F-3A33-4568-8F27-0CA8DA77CD58}"/>
    <cellStyle name="20% - Accent3 2 2 7" xfId="2282" xr:uid="{00000000-0005-0000-0000-000068010000}"/>
    <cellStyle name="20% - Accent3 2 2 7 2" xfId="6588" xr:uid="{00000000-0005-0000-0000-000069010000}"/>
    <cellStyle name="20% - Accent3 2 2 7 2 2" xfId="22704" xr:uid="{449619CC-6CE6-48E7-8BE3-04235FF1C752}"/>
    <cellStyle name="20% - Accent3 2 2 7 2 3" xfId="15083" xr:uid="{42822030-B857-430B-92EE-0634C2CD7D96}"/>
    <cellStyle name="20% - Accent3 2 2 7 3" xfId="18491" xr:uid="{9E6D1BD2-3767-4F9E-B919-98AE13991B4E}"/>
    <cellStyle name="20% - Accent3 2 2 7 4" xfId="10870" xr:uid="{6CF97873-62D0-4062-80BD-FA8FBF7B31BA}"/>
    <cellStyle name="20% - Accent3 2 2 8" xfId="4522" xr:uid="{00000000-0005-0000-0000-00006A010000}"/>
    <cellStyle name="20% - Accent3 2 2 8 2" xfId="20639" xr:uid="{A7758EDF-4FBF-46E7-9CB7-881E84522AA0}"/>
    <cellStyle name="20% - Accent3 2 2 8 3" xfId="13018" xr:uid="{64714328-E745-4429-9F0E-5D8F5ECCF7F7}"/>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23199" xr:uid="{31545B65-B074-4C71-AC80-1E233710FB7C}"/>
    <cellStyle name="20% - Accent3 2 3 2 2 2 3" xfId="15578" xr:uid="{79D959AF-95FD-4FBB-862E-C6D4ED822906}"/>
    <cellStyle name="20% - Accent3 2 3 2 2 3" xfId="18986" xr:uid="{2DFB4B62-78DD-4760-B990-74DF7B76E7D6}"/>
    <cellStyle name="20% - Accent3 2 3 2 2 4" xfId="11365" xr:uid="{6F770DB3-EEBB-45EC-BBEA-01305EC9162A}"/>
    <cellStyle name="20% - Accent3 2 3 2 3" xfId="4938" xr:uid="{00000000-0005-0000-0000-00006F010000}"/>
    <cellStyle name="20% - Accent3 2 3 2 3 2" xfId="21054" xr:uid="{FEF85E2E-6968-48F7-85B5-8811745820EC}"/>
    <cellStyle name="20% - Accent3 2 3 2 3 3" xfId="13433" xr:uid="{1927B347-8115-4356-B3AB-A03FFA92A791}"/>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23612" xr:uid="{BC3FE1B1-0D75-41E0-BFAD-E3CE1C8DE50B}"/>
    <cellStyle name="20% - Accent3 2 3 3 2 2 3" xfId="15991" xr:uid="{D342CB06-5EFD-4208-BEC3-686B1655571F}"/>
    <cellStyle name="20% - Accent3 2 3 3 2 3" xfId="19399" xr:uid="{E29005B5-4AD9-4867-9F62-2C9631ECEFAA}"/>
    <cellStyle name="20% - Accent3 2 3 3 2 4" xfId="11778" xr:uid="{BE9B3A46-E82B-4199-8432-B21F420B9F5D}"/>
    <cellStyle name="20% - Accent3 2 3 3 3" xfId="5351" xr:uid="{00000000-0005-0000-0000-000073010000}"/>
    <cellStyle name="20% - Accent3 2 3 3 3 2" xfId="21467" xr:uid="{2DCC5B0E-145C-4FFE-9CBE-F808C5CB21F1}"/>
    <cellStyle name="20% - Accent3 2 3 3 3 3" xfId="13846" xr:uid="{64B70306-94A5-44B8-85A0-647507C9C5D4}"/>
    <cellStyle name="20% - Accent3 2 3 3 4" xfId="17254" xr:uid="{7C4F6E56-1AB3-43BB-8FBB-163BA8B1BEBB}"/>
    <cellStyle name="20% - Accent3 2 3 3 5" xfId="9633" xr:uid="{27730182-6BAF-473C-8BF8-9E367C53733C}"/>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24025" xr:uid="{256E9B73-4728-4672-87C1-CDBB9DA9554F}"/>
    <cellStyle name="20% - Accent3 2 3 4 2 2 3" xfId="16404" xr:uid="{2DEB0E59-E61B-4D75-A55F-FA9594083B29}"/>
    <cellStyle name="20% - Accent3 2 3 4 2 3" xfId="19812" xr:uid="{4D5BB050-4098-4DA0-96AF-A9FF6CE7A70A}"/>
    <cellStyle name="20% - Accent3 2 3 4 2 4" xfId="12191" xr:uid="{B163B7E4-A73A-4D3C-A05F-BD3CEEE4112A}"/>
    <cellStyle name="20% - Accent3 2 3 4 3" xfId="5764" xr:uid="{00000000-0005-0000-0000-000077010000}"/>
    <cellStyle name="20% - Accent3 2 3 4 3 2" xfId="21880" xr:uid="{935B4CE8-83DE-4DD4-B145-13634FBD837E}"/>
    <cellStyle name="20% - Accent3 2 3 4 3 3" xfId="14259" xr:uid="{F06EE361-6E1D-4E67-9210-7DB62A0077AF}"/>
    <cellStyle name="20% - Accent3 2 3 4 4" xfId="17667" xr:uid="{93A87602-C00C-4BAF-A635-3C12878D9A4B}"/>
    <cellStyle name="20% - Accent3 2 3 4 5" xfId="10046" xr:uid="{F28A3007-2B45-41C4-AC76-D41CCCED1BA1}"/>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24438" xr:uid="{5DA99030-FC22-4001-9785-C01807CDF6E3}"/>
    <cellStyle name="20% - Accent3 2 3 5 2 2 3" xfId="16817" xr:uid="{B361C96D-D017-425D-A1C5-7BF830DF0332}"/>
    <cellStyle name="20% - Accent3 2 3 5 2 3" xfId="20225" xr:uid="{C22B134E-D462-415C-95B3-D0803036B0E4}"/>
    <cellStyle name="20% - Accent3 2 3 5 2 4" xfId="12604" xr:uid="{A696C833-FA7F-47C1-BD28-5931EE1A1822}"/>
    <cellStyle name="20% - Accent3 2 3 5 3" xfId="6177" xr:uid="{00000000-0005-0000-0000-00007B010000}"/>
    <cellStyle name="20% - Accent3 2 3 5 3 2" xfId="22293" xr:uid="{91FE093B-9EB7-4DB0-826E-CB048CD3A661}"/>
    <cellStyle name="20% - Accent3 2 3 5 3 3" xfId="14672" xr:uid="{9F53F6CA-0DC1-40F3-874D-664146803E5A}"/>
    <cellStyle name="20% - Accent3 2 3 5 4" xfId="18080" xr:uid="{7CAF1845-218E-4169-8849-57E04D6754BA}"/>
    <cellStyle name="20% - Accent3 2 3 5 5" xfId="10459" xr:uid="{4E5D2838-2A43-49F7-BDE9-1E617706B784}"/>
    <cellStyle name="20% - Accent3 2 3 6" xfId="2284" xr:uid="{00000000-0005-0000-0000-00007C010000}"/>
    <cellStyle name="20% - Accent3 2 3 6 2" xfId="6590" xr:uid="{00000000-0005-0000-0000-00007D010000}"/>
    <cellStyle name="20% - Accent3 2 3 6 2 2" xfId="22706" xr:uid="{0F03CD72-033A-421F-8A36-D2C8BD12A4C5}"/>
    <cellStyle name="20% - Accent3 2 3 6 2 3" xfId="15085" xr:uid="{1C7ACC21-AA57-45C1-8DCB-69AA7E9D90A9}"/>
    <cellStyle name="20% - Accent3 2 3 6 3" xfId="18493" xr:uid="{4929F146-A126-4D94-9DAD-3694BAD2616F}"/>
    <cellStyle name="20% - Accent3 2 3 6 4" xfId="10872" xr:uid="{BE31F493-8838-4FE4-AA40-B5BAE4AA918C}"/>
    <cellStyle name="20% - Accent3 2 3 7" xfId="4524" xr:uid="{00000000-0005-0000-0000-00007E010000}"/>
    <cellStyle name="20% - Accent3 2 3 7 2" xfId="20641" xr:uid="{D62AA8C2-144C-4A2C-BDDA-785795FE359E}"/>
    <cellStyle name="20% - Accent3 2 3 7 3" xfId="13020" xr:uid="{D8ABF064-4211-4381-8454-01B7445EA73A}"/>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2 2 2" xfId="23196" xr:uid="{EAD82990-A5C7-4293-906F-F356AADBA4A7}"/>
    <cellStyle name="20% - Accent3 2 4 2 2 3" xfId="15575" xr:uid="{1B0C3760-8145-4FFE-A061-49B1A410BAFE}"/>
    <cellStyle name="20% - Accent3 2 4 2 3" xfId="18983" xr:uid="{5FD5D2E1-DB1A-4B67-91C2-E80053255039}"/>
    <cellStyle name="20% - Accent3 2 4 2 4" xfId="11362" xr:uid="{B8C8C13A-9F78-4D49-A2CD-D64D6A674F0D}"/>
    <cellStyle name="20% - Accent3 2 4 3" xfId="4935" xr:uid="{00000000-0005-0000-0000-000082010000}"/>
    <cellStyle name="20% - Accent3 2 4 3 2" xfId="21051" xr:uid="{B48E1D1F-7101-4C48-A7B7-18E5EC92148E}"/>
    <cellStyle name="20% - Accent3 2 4 3 3" xfId="13430" xr:uid="{D9BCB550-6175-46AE-94D6-A5D15794426E}"/>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2 2 2" xfId="23609" xr:uid="{B3975C00-FA90-46C6-85CC-01C173504D67}"/>
    <cellStyle name="20% - Accent3 2 5 2 2 3" xfId="15988" xr:uid="{835F2EF4-F5E4-458C-BD5F-D8A8E5294005}"/>
    <cellStyle name="20% - Accent3 2 5 2 3" xfId="19396" xr:uid="{9FB9A17D-57E9-4F17-B2E2-A9FD70A02D26}"/>
    <cellStyle name="20% - Accent3 2 5 2 4" xfId="11775" xr:uid="{0EB15B23-E76D-42DA-95A0-1F5EDEB36480}"/>
    <cellStyle name="20% - Accent3 2 5 3" xfId="5348" xr:uid="{00000000-0005-0000-0000-000086010000}"/>
    <cellStyle name="20% - Accent3 2 5 3 2" xfId="21464" xr:uid="{7661CDFF-E2D4-4425-AF30-EFDA6CD253C8}"/>
    <cellStyle name="20% - Accent3 2 5 3 3" xfId="13843" xr:uid="{B9D2C9CA-E1FF-451C-8C0D-39621DCA9679}"/>
    <cellStyle name="20% - Accent3 2 5 4" xfId="17251" xr:uid="{505B4F8C-6DA1-447C-AACB-AD4C532996D9}"/>
    <cellStyle name="20% - Accent3 2 5 5" xfId="9630" xr:uid="{4F96D968-5CB4-43AD-A87C-1F36B86E37A4}"/>
    <cellStyle name="20% - Accent3 2 6" xfId="1454" xr:uid="{00000000-0005-0000-0000-000087010000}"/>
    <cellStyle name="20% - Accent3 2 6 2" xfId="3684" xr:uid="{00000000-0005-0000-0000-000088010000}"/>
    <cellStyle name="20% - Accent3 2 6 2 2" xfId="7906" xr:uid="{00000000-0005-0000-0000-000089010000}"/>
    <cellStyle name="20% - Accent3 2 6 2 2 2" xfId="24022" xr:uid="{92C8AD1B-9090-491A-8055-F6AFA74F97EE}"/>
    <cellStyle name="20% - Accent3 2 6 2 2 3" xfId="16401" xr:uid="{6DF20074-1C5E-42C9-B821-3CB8BD850C7E}"/>
    <cellStyle name="20% - Accent3 2 6 2 3" xfId="19809" xr:uid="{09997F99-FAD9-47D1-B69F-A5EECD529204}"/>
    <cellStyle name="20% - Accent3 2 6 2 4" xfId="12188" xr:uid="{C291775E-3A3B-4C55-9A11-12877A640753}"/>
    <cellStyle name="20% - Accent3 2 6 3" xfId="5761" xr:uid="{00000000-0005-0000-0000-00008A010000}"/>
    <cellStyle name="20% - Accent3 2 6 3 2" xfId="21877" xr:uid="{7E6A2674-D884-438F-AC66-0BB6F5F2C87E}"/>
    <cellStyle name="20% - Accent3 2 6 3 3" xfId="14256" xr:uid="{5CAE5B21-DA1E-4C7C-B96E-61268B5353F5}"/>
    <cellStyle name="20% - Accent3 2 6 4" xfId="17664" xr:uid="{34734ED5-ED3D-4864-8670-FECFAACD97F1}"/>
    <cellStyle name="20% - Accent3 2 6 5" xfId="10043" xr:uid="{9EE616A0-D1B5-4975-AF70-9960B650352B}"/>
    <cellStyle name="20% - Accent3 2 7" xfId="1868" xr:uid="{00000000-0005-0000-0000-00008B010000}"/>
    <cellStyle name="20% - Accent3 2 7 2" xfId="4097" xr:uid="{00000000-0005-0000-0000-00008C010000}"/>
    <cellStyle name="20% - Accent3 2 7 2 2" xfId="8319" xr:uid="{00000000-0005-0000-0000-00008D010000}"/>
    <cellStyle name="20% - Accent3 2 7 2 2 2" xfId="24435" xr:uid="{E0E691D9-793E-4F1B-9BD2-B84FEB25D7FC}"/>
    <cellStyle name="20% - Accent3 2 7 2 2 3" xfId="16814" xr:uid="{4045A83E-C2FD-4954-9EF6-3B814FDD47CA}"/>
    <cellStyle name="20% - Accent3 2 7 2 3" xfId="20222" xr:uid="{2EB35FC8-2673-4EFF-A542-5A0476450D86}"/>
    <cellStyle name="20% - Accent3 2 7 2 4" xfId="12601" xr:uid="{2C270F1C-3A1D-4C83-91F3-CF63BB239A0A}"/>
    <cellStyle name="20% - Accent3 2 7 3" xfId="6174" xr:uid="{00000000-0005-0000-0000-00008E010000}"/>
    <cellStyle name="20% - Accent3 2 7 3 2" xfId="22290" xr:uid="{A338CB2C-AE95-4C0C-8DBD-7F6B5F256380}"/>
    <cellStyle name="20% - Accent3 2 7 3 3" xfId="14669" xr:uid="{046D639B-8B95-4E33-89AC-7E25CA28EF9B}"/>
    <cellStyle name="20% - Accent3 2 7 4" xfId="18077" xr:uid="{2D5C78AC-FE84-4C3A-BA2A-08DB9DA20188}"/>
    <cellStyle name="20% - Accent3 2 7 5" xfId="10456" xr:uid="{A635FA68-A52C-49C0-8415-3472AF58FC51}"/>
    <cellStyle name="20% - Accent3 2 8" xfId="2281" xr:uid="{00000000-0005-0000-0000-00008F010000}"/>
    <cellStyle name="20% - Accent3 2 8 2" xfId="6587" xr:uid="{00000000-0005-0000-0000-000090010000}"/>
    <cellStyle name="20% - Accent3 2 8 2 2" xfId="22703" xr:uid="{29BB306D-38F2-4021-A4EB-436FA3A9C91A}"/>
    <cellStyle name="20% - Accent3 2 8 2 3" xfId="15082" xr:uid="{44B5DEB6-29BA-4AD8-9301-0D6E455047DA}"/>
    <cellStyle name="20% - Accent3 2 8 3" xfId="18490" xr:uid="{76737FF3-0A51-4A3C-A1FF-4CCFD4CD7F82}"/>
    <cellStyle name="20% - Accent3 2 8 4" xfId="10869" xr:uid="{E820D4B0-7741-4D1B-96D9-97B2B4D0F358}"/>
    <cellStyle name="20% - Accent3 2 9" xfId="4521" xr:uid="{00000000-0005-0000-0000-000091010000}"/>
    <cellStyle name="20% - Accent3 2 9 2" xfId="20638" xr:uid="{A30C3612-7A56-4C0C-86C9-020E4C4E7947}"/>
    <cellStyle name="20% - Accent3 2 9 3" xfId="13017" xr:uid="{CAC7090A-8BD8-40B2-BE30-CAA213E9D5C3}"/>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23201" xr:uid="{86B949CC-FD0E-49B6-8B1C-743D4384496F}"/>
    <cellStyle name="20% - Accent3 3 2 2 2 2 3" xfId="15580" xr:uid="{BB465D92-9A1D-44F3-B27D-5D113950104B}"/>
    <cellStyle name="20% - Accent3 3 2 2 2 3" xfId="18988" xr:uid="{A5196803-B179-4D50-9F3F-8E0B96ED2F3A}"/>
    <cellStyle name="20% - Accent3 3 2 2 2 4" xfId="11367" xr:uid="{E4B804CC-5960-49D2-A3B7-28D7F91560EE}"/>
    <cellStyle name="20% - Accent3 3 2 2 3" xfId="4940" xr:uid="{00000000-0005-0000-0000-000097010000}"/>
    <cellStyle name="20% - Accent3 3 2 2 3 2" xfId="21056" xr:uid="{BC20C092-E84A-4ADE-AB56-1E76A0FA16A6}"/>
    <cellStyle name="20% - Accent3 3 2 2 3 3" xfId="13435" xr:uid="{7F18E2BE-B37D-41BB-9714-B12A4D6D3BEF}"/>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23614" xr:uid="{560CE98E-99F3-42F2-8261-32DE6D971967}"/>
    <cellStyle name="20% - Accent3 3 2 3 2 2 3" xfId="15993" xr:uid="{2738B3EF-C78F-491C-B46A-BFF355508E86}"/>
    <cellStyle name="20% - Accent3 3 2 3 2 3" xfId="19401" xr:uid="{F40F7DC2-0161-4434-8519-E71D5F7B57E3}"/>
    <cellStyle name="20% - Accent3 3 2 3 2 4" xfId="11780" xr:uid="{74F55FE4-7859-4CDC-9920-C96B6D673D6F}"/>
    <cellStyle name="20% - Accent3 3 2 3 3" xfId="5353" xr:uid="{00000000-0005-0000-0000-00009B010000}"/>
    <cellStyle name="20% - Accent3 3 2 3 3 2" xfId="21469" xr:uid="{A17EB2D7-AD8C-441C-9245-0298042B9A83}"/>
    <cellStyle name="20% - Accent3 3 2 3 3 3" xfId="13848" xr:uid="{A5C5AEB0-F369-442B-8037-45B4EDA3A352}"/>
    <cellStyle name="20% - Accent3 3 2 3 4" xfId="17256" xr:uid="{35336A76-BA50-4966-BA75-7EA817AFC0EB}"/>
    <cellStyle name="20% - Accent3 3 2 3 5" xfId="9635" xr:uid="{5F6BDDBB-5A46-4FBA-8946-34A333F32D23}"/>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24027" xr:uid="{EDFF4761-EF20-4003-AA83-B5250519A7A3}"/>
    <cellStyle name="20% - Accent3 3 2 4 2 2 3" xfId="16406" xr:uid="{66CF2351-D3EA-4535-AB7C-B93AC1B96B6B}"/>
    <cellStyle name="20% - Accent3 3 2 4 2 3" xfId="19814" xr:uid="{0B16E634-5EAB-40D2-B77F-34BE574026BE}"/>
    <cellStyle name="20% - Accent3 3 2 4 2 4" xfId="12193" xr:uid="{6D20E97C-74D3-47F7-985D-0A4BBFEFDCA1}"/>
    <cellStyle name="20% - Accent3 3 2 4 3" xfId="5766" xr:uid="{00000000-0005-0000-0000-00009F010000}"/>
    <cellStyle name="20% - Accent3 3 2 4 3 2" xfId="21882" xr:uid="{F98FDFBE-D4FC-4BD0-875D-C69AB96470BB}"/>
    <cellStyle name="20% - Accent3 3 2 4 3 3" xfId="14261" xr:uid="{017B758F-93F3-4B63-AF5F-50EB0967A172}"/>
    <cellStyle name="20% - Accent3 3 2 4 4" xfId="17669" xr:uid="{FDFCB08E-E5B6-4CDD-9869-2A9B8644B79C}"/>
    <cellStyle name="20% - Accent3 3 2 4 5" xfId="10048" xr:uid="{936155AC-CE5C-469D-8EA7-643BB38FF6E7}"/>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24440" xr:uid="{9BC85A02-76C8-48A4-9804-4A0FA9A8A75C}"/>
    <cellStyle name="20% - Accent3 3 2 5 2 2 3" xfId="16819" xr:uid="{1D392DCA-5708-4A7E-A126-DB404D8D912A}"/>
    <cellStyle name="20% - Accent3 3 2 5 2 3" xfId="20227" xr:uid="{97166116-0A98-46CF-8CC0-FE46A50933D9}"/>
    <cellStyle name="20% - Accent3 3 2 5 2 4" xfId="12606" xr:uid="{BD6A838E-23BC-402B-92FF-8D16BF619673}"/>
    <cellStyle name="20% - Accent3 3 2 5 3" xfId="6179" xr:uid="{00000000-0005-0000-0000-0000A3010000}"/>
    <cellStyle name="20% - Accent3 3 2 5 3 2" xfId="22295" xr:uid="{A71AACC9-F341-4ED6-A1AF-5F01F7AC79FE}"/>
    <cellStyle name="20% - Accent3 3 2 5 3 3" xfId="14674" xr:uid="{973D1D31-1385-415D-8D09-CE1A0F34FD3F}"/>
    <cellStyle name="20% - Accent3 3 2 5 4" xfId="18082" xr:uid="{BE9E5C0D-9F0C-4F51-9DF3-1D0599B3C70D}"/>
    <cellStyle name="20% - Accent3 3 2 5 5" xfId="10461" xr:uid="{786AFDB2-1E63-4E15-967F-457719091388}"/>
    <cellStyle name="20% - Accent3 3 2 6" xfId="2286" xr:uid="{00000000-0005-0000-0000-0000A4010000}"/>
    <cellStyle name="20% - Accent3 3 2 6 2" xfId="6592" xr:uid="{00000000-0005-0000-0000-0000A5010000}"/>
    <cellStyle name="20% - Accent3 3 2 6 2 2" xfId="22708" xr:uid="{E826103F-F9D2-4DDB-AF4B-DD356FB64EB1}"/>
    <cellStyle name="20% - Accent3 3 2 6 2 3" xfId="15087" xr:uid="{D04F33A9-698C-4E61-9AE2-CD3B60D9DA22}"/>
    <cellStyle name="20% - Accent3 3 2 6 3" xfId="18495" xr:uid="{75131C94-4DF5-4FD8-AEF3-951B61DD6E0F}"/>
    <cellStyle name="20% - Accent3 3 2 6 4" xfId="10874" xr:uid="{B667F4F7-BDC3-4163-8DBF-31D750A586CF}"/>
    <cellStyle name="20% - Accent3 3 2 7" xfId="4526" xr:uid="{00000000-0005-0000-0000-0000A6010000}"/>
    <cellStyle name="20% - Accent3 3 2 7 2" xfId="20643" xr:uid="{181192F4-E848-4606-AB47-3F33FAC09B80}"/>
    <cellStyle name="20% - Accent3 3 2 7 3" xfId="13022" xr:uid="{FFC1B90E-6DC0-4D8B-9E39-0541DAD81DFD}"/>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2 2 2" xfId="23200" xr:uid="{84F960B9-D961-4530-BA67-0B7FD18C6E50}"/>
    <cellStyle name="20% - Accent3 3 3 2 2 3" xfId="15579" xr:uid="{1F5E657C-E5FE-4912-A4DD-456A19D08437}"/>
    <cellStyle name="20% - Accent3 3 3 2 3" xfId="18987" xr:uid="{CA143C4C-DE31-485E-92B8-C5665B84AE11}"/>
    <cellStyle name="20% - Accent3 3 3 2 4" xfId="11366" xr:uid="{8C743622-C62D-4081-A928-1BC49B6DB05F}"/>
    <cellStyle name="20% - Accent3 3 3 3" xfId="4939" xr:uid="{00000000-0005-0000-0000-0000AA010000}"/>
    <cellStyle name="20% - Accent3 3 3 3 2" xfId="21055" xr:uid="{D78A2664-D99C-4CB0-822A-2C34416CE7A6}"/>
    <cellStyle name="20% - Accent3 3 3 3 3" xfId="13434" xr:uid="{37CB8356-5F09-49E9-AB68-32A1E6826469}"/>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2 2 2" xfId="23613" xr:uid="{2EA4A3FA-5BCC-461F-930E-DC31537F4665}"/>
    <cellStyle name="20% - Accent3 3 4 2 2 3" xfId="15992" xr:uid="{47E7969C-2756-490E-AA43-1840E16C1CA2}"/>
    <cellStyle name="20% - Accent3 3 4 2 3" xfId="19400" xr:uid="{9C32900F-1FE9-4348-906D-13AB5E4C973E}"/>
    <cellStyle name="20% - Accent3 3 4 2 4" xfId="11779" xr:uid="{0619C7B6-F3EA-45A5-B8E7-6AB6B4F69852}"/>
    <cellStyle name="20% - Accent3 3 4 3" xfId="5352" xr:uid="{00000000-0005-0000-0000-0000AE010000}"/>
    <cellStyle name="20% - Accent3 3 4 3 2" xfId="21468" xr:uid="{37C7368D-64CC-4DBA-A049-6A580F871CEB}"/>
    <cellStyle name="20% - Accent3 3 4 3 3" xfId="13847" xr:uid="{B7C838BB-E96F-441C-AD6A-A39993EFF69B}"/>
    <cellStyle name="20% - Accent3 3 4 4" xfId="17255" xr:uid="{F1CD99FB-B2CE-4D65-BEFB-600F3C9194AC}"/>
    <cellStyle name="20% - Accent3 3 4 5" xfId="9634" xr:uid="{5A531217-F512-4CC4-AFF8-1BDBDE0BCA2B}"/>
    <cellStyle name="20% - Accent3 3 5" xfId="1458" xr:uid="{00000000-0005-0000-0000-0000AF010000}"/>
    <cellStyle name="20% - Accent3 3 5 2" xfId="3688" xr:uid="{00000000-0005-0000-0000-0000B0010000}"/>
    <cellStyle name="20% - Accent3 3 5 2 2" xfId="7910" xr:uid="{00000000-0005-0000-0000-0000B1010000}"/>
    <cellStyle name="20% - Accent3 3 5 2 2 2" xfId="24026" xr:uid="{457B25F1-9960-4EC4-AF5E-0233D4FF163C}"/>
    <cellStyle name="20% - Accent3 3 5 2 2 3" xfId="16405" xr:uid="{6F199BF2-82C5-4797-A1E5-3FB5F9087E16}"/>
    <cellStyle name="20% - Accent3 3 5 2 3" xfId="19813" xr:uid="{16FE45F1-8909-4FEC-8FC4-42A357BC4B21}"/>
    <cellStyle name="20% - Accent3 3 5 2 4" xfId="12192" xr:uid="{BC6F7051-4304-40D5-A4AE-8A03C7961D7C}"/>
    <cellStyle name="20% - Accent3 3 5 3" xfId="5765" xr:uid="{00000000-0005-0000-0000-0000B2010000}"/>
    <cellStyle name="20% - Accent3 3 5 3 2" xfId="21881" xr:uid="{04E68D29-8D7B-4A26-839F-A0D0AE044522}"/>
    <cellStyle name="20% - Accent3 3 5 3 3" xfId="14260" xr:uid="{B0449CF1-9AEA-4D90-84AF-AC9529530A51}"/>
    <cellStyle name="20% - Accent3 3 5 4" xfId="17668" xr:uid="{28E5299C-3537-4586-8DF3-A75463E52A90}"/>
    <cellStyle name="20% - Accent3 3 5 5" xfId="10047" xr:uid="{E5436C9E-F4CD-44E4-B60E-577D04EA83FA}"/>
    <cellStyle name="20% - Accent3 3 6" xfId="1872" xr:uid="{00000000-0005-0000-0000-0000B3010000}"/>
    <cellStyle name="20% - Accent3 3 6 2" xfId="4101" xr:uid="{00000000-0005-0000-0000-0000B4010000}"/>
    <cellStyle name="20% - Accent3 3 6 2 2" xfId="8323" xr:uid="{00000000-0005-0000-0000-0000B5010000}"/>
    <cellStyle name="20% - Accent3 3 6 2 2 2" xfId="24439" xr:uid="{1D64F9BC-5E33-4C7D-B32E-C01C8A2FDC33}"/>
    <cellStyle name="20% - Accent3 3 6 2 2 3" xfId="16818" xr:uid="{BF256702-7683-49C2-B29F-FCB08C6E1F34}"/>
    <cellStyle name="20% - Accent3 3 6 2 3" xfId="20226" xr:uid="{AAAD3CA3-C586-44D6-B675-D98C91A6F007}"/>
    <cellStyle name="20% - Accent3 3 6 2 4" xfId="12605" xr:uid="{6B4CB203-DBAA-414F-804F-EAEBE767DE90}"/>
    <cellStyle name="20% - Accent3 3 6 3" xfId="6178" xr:uid="{00000000-0005-0000-0000-0000B6010000}"/>
    <cellStyle name="20% - Accent3 3 6 3 2" xfId="22294" xr:uid="{D7E5644F-2623-4EF4-B27E-75D5119C2DBC}"/>
    <cellStyle name="20% - Accent3 3 6 3 3" xfId="14673" xr:uid="{DDD837A1-E667-4208-8D37-C1D37542DEC7}"/>
    <cellStyle name="20% - Accent3 3 6 4" xfId="18081" xr:uid="{7F41406A-C1F2-4D0C-B187-3F125FF2F62B}"/>
    <cellStyle name="20% - Accent3 3 6 5" xfId="10460" xr:uid="{18BBA050-54D2-4305-A8EA-10DF907ED992}"/>
    <cellStyle name="20% - Accent3 3 7" xfId="2285" xr:uid="{00000000-0005-0000-0000-0000B7010000}"/>
    <cellStyle name="20% - Accent3 3 7 2" xfId="6591" xr:uid="{00000000-0005-0000-0000-0000B8010000}"/>
    <cellStyle name="20% - Accent3 3 7 2 2" xfId="22707" xr:uid="{EC8E61E4-017C-4065-B5DA-8D7F7916D977}"/>
    <cellStyle name="20% - Accent3 3 7 2 3" xfId="15086" xr:uid="{9A2ECBE4-FE17-4266-A628-1DE8B5FDF84F}"/>
    <cellStyle name="20% - Accent3 3 7 3" xfId="18494" xr:uid="{9700C2FE-5F2B-40DC-BEC2-5033AB11A284}"/>
    <cellStyle name="20% - Accent3 3 7 4" xfId="10873" xr:uid="{08321859-707B-44C9-B6AB-8B742C44B27F}"/>
    <cellStyle name="20% - Accent3 3 8" xfId="4525" xr:uid="{00000000-0005-0000-0000-0000B9010000}"/>
    <cellStyle name="20% - Accent3 3 8 2" xfId="20642" xr:uid="{DA811F3C-3E22-4139-9ECB-BAE0EA1F5E74}"/>
    <cellStyle name="20% - Accent3 3 8 3" xfId="13021" xr:uid="{0E17BE2A-4F97-4A45-9B88-A971D79FDB69}"/>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23202" xr:uid="{60DAF48C-3E45-4124-B7D1-7EF66A188128}"/>
    <cellStyle name="20% - Accent3 4 2 2 2 3" xfId="15581" xr:uid="{21C5F851-9565-4F3E-B1F8-5AD8E88B52DC}"/>
    <cellStyle name="20% - Accent3 4 2 2 3" xfId="18989" xr:uid="{46FC503B-607F-4E41-93F8-E36FEE32F6BD}"/>
    <cellStyle name="20% - Accent3 4 2 2 4" xfId="11368" xr:uid="{02647E14-D0B9-4C0F-B8E0-124DA5808162}"/>
    <cellStyle name="20% - Accent3 4 2 3" xfId="4941" xr:uid="{00000000-0005-0000-0000-0000BE010000}"/>
    <cellStyle name="20% - Accent3 4 2 3 2" xfId="21057" xr:uid="{BF6919BD-EE47-4307-A9C5-2FA538E92FD0}"/>
    <cellStyle name="20% - Accent3 4 2 3 3" xfId="13436" xr:uid="{04ED2E11-768B-4061-B607-ACF0634C38ED}"/>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2 2 2" xfId="23615" xr:uid="{A3CAD8B1-91F4-4C14-A05F-69FA7E97F423}"/>
    <cellStyle name="20% - Accent3 4 3 2 2 3" xfId="15994" xr:uid="{0711DA83-38A1-4BB1-B7B2-4282DD1BFB14}"/>
    <cellStyle name="20% - Accent3 4 3 2 3" xfId="19402" xr:uid="{31A843FC-27EA-4FAA-9B29-7D0BC71F5E5F}"/>
    <cellStyle name="20% - Accent3 4 3 2 4" xfId="11781" xr:uid="{D22AC9CE-64E0-4225-9F64-711491C2773E}"/>
    <cellStyle name="20% - Accent3 4 3 3" xfId="5354" xr:uid="{00000000-0005-0000-0000-0000C2010000}"/>
    <cellStyle name="20% - Accent3 4 3 3 2" xfId="21470" xr:uid="{E30FF072-CAAC-4B6D-9C6D-2C6629D54354}"/>
    <cellStyle name="20% - Accent3 4 3 3 3" xfId="13849" xr:uid="{E8E5D722-DE29-4F4C-BE83-292212FDE392}"/>
    <cellStyle name="20% - Accent3 4 3 4" xfId="17257" xr:uid="{032B4054-ED22-46BF-8CA6-8039F2F9815D}"/>
    <cellStyle name="20% - Accent3 4 3 5" xfId="9636" xr:uid="{A1CE1C76-CF4E-48AB-9071-1922B58DFC97}"/>
    <cellStyle name="20% - Accent3 4 4" xfId="1460" xr:uid="{00000000-0005-0000-0000-0000C3010000}"/>
    <cellStyle name="20% - Accent3 4 4 2" xfId="3690" xr:uid="{00000000-0005-0000-0000-0000C4010000}"/>
    <cellStyle name="20% - Accent3 4 4 2 2" xfId="7912" xr:uid="{00000000-0005-0000-0000-0000C5010000}"/>
    <cellStyle name="20% - Accent3 4 4 2 2 2" xfId="24028" xr:uid="{B76C2EB6-A74F-43BD-BB94-F63D4E153CB6}"/>
    <cellStyle name="20% - Accent3 4 4 2 2 3" xfId="16407" xr:uid="{2D41D176-4E9B-45C5-A5E4-A1E6569D8670}"/>
    <cellStyle name="20% - Accent3 4 4 2 3" xfId="19815" xr:uid="{369B804B-DBC8-4361-BA54-05FFB1338B81}"/>
    <cellStyle name="20% - Accent3 4 4 2 4" xfId="12194" xr:uid="{BB71F961-6F22-421C-BD90-70DDCF172057}"/>
    <cellStyle name="20% - Accent3 4 4 3" xfId="5767" xr:uid="{00000000-0005-0000-0000-0000C6010000}"/>
    <cellStyle name="20% - Accent3 4 4 3 2" xfId="21883" xr:uid="{2A9497DC-8817-4523-949D-63B6ACBE41FA}"/>
    <cellStyle name="20% - Accent3 4 4 3 3" xfId="14262" xr:uid="{4F57375C-8F9B-4C21-82B2-59CC0A4ED7E2}"/>
    <cellStyle name="20% - Accent3 4 4 4" xfId="17670" xr:uid="{E699CB02-3C4F-403F-AB1A-EC8A904CD301}"/>
    <cellStyle name="20% - Accent3 4 4 5" xfId="10049" xr:uid="{60001D5D-7E2B-4160-AF68-00210900E6DB}"/>
    <cellStyle name="20% - Accent3 4 5" xfId="1874" xr:uid="{00000000-0005-0000-0000-0000C7010000}"/>
    <cellStyle name="20% - Accent3 4 5 2" xfId="4103" xr:uid="{00000000-0005-0000-0000-0000C8010000}"/>
    <cellStyle name="20% - Accent3 4 5 2 2" xfId="8325" xr:uid="{00000000-0005-0000-0000-0000C9010000}"/>
    <cellStyle name="20% - Accent3 4 5 2 2 2" xfId="24441" xr:uid="{A235982A-AB61-4021-9AA6-32624F807D44}"/>
    <cellStyle name="20% - Accent3 4 5 2 2 3" xfId="16820" xr:uid="{42602839-755C-43FE-9A7B-0DD61D768161}"/>
    <cellStyle name="20% - Accent3 4 5 2 3" xfId="20228" xr:uid="{4B358C2F-F5A1-4BE2-B319-46BC5C15CC34}"/>
    <cellStyle name="20% - Accent3 4 5 2 4" xfId="12607" xr:uid="{A774B80A-3E82-47B8-B196-374225B50DE6}"/>
    <cellStyle name="20% - Accent3 4 5 3" xfId="6180" xr:uid="{00000000-0005-0000-0000-0000CA010000}"/>
    <cellStyle name="20% - Accent3 4 5 3 2" xfId="22296" xr:uid="{D6D0D157-8C7A-4A05-B24B-215E2743AE5E}"/>
    <cellStyle name="20% - Accent3 4 5 3 3" xfId="14675" xr:uid="{477B8998-5FA6-41A0-9360-FF000DE85154}"/>
    <cellStyle name="20% - Accent3 4 5 4" xfId="18083" xr:uid="{66A02326-9EB3-46EC-8956-8D51C87E2831}"/>
    <cellStyle name="20% - Accent3 4 5 5" xfId="10462" xr:uid="{B84B1E46-4A33-4543-98EB-93BF8F45A865}"/>
    <cellStyle name="20% - Accent3 4 6" xfId="2287" xr:uid="{00000000-0005-0000-0000-0000CB010000}"/>
    <cellStyle name="20% - Accent3 4 6 2" xfId="6593" xr:uid="{00000000-0005-0000-0000-0000CC010000}"/>
    <cellStyle name="20% - Accent3 4 6 2 2" xfId="22709" xr:uid="{BA106716-2470-45E6-A569-1B6FF45CB649}"/>
    <cellStyle name="20% - Accent3 4 6 2 3" xfId="15088" xr:uid="{417F5EA5-233F-4EB9-89DC-03587E65AD25}"/>
    <cellStyle name="20% - Accent3 4 6 3" xfId="18496" xr:uid="{69344D9E-70A8-4C54-A2DB-EBE021DF774B}"/>
    <cellStyle name="20% - Accent3 4 6 4" xfId="10875" xr:uid="{19FF8424-12F4-4CBF-A7B1-B358F5E48872}"/>
    <cellStyle name="20% - Accent3 4 7" xfId="4527" xr:uid="{00000000-0005-0000-0000-0000CD010000}"/>
    <cellStyle name="20% - Accent3 4 7 2" xfId="20644" xr:uid="{8D4DB6EB-1178-4FB4-83F6-80396494A020}"/>
    <cellStyle name="20% - Accent3 4 7 3" xfId="13023" xr:uid="{DB8746EE-DA4C-40F4-B4FA-F92D3C9DA29D}"/>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2 2 2" xfId="23195" xr:uid="{CDEC7E84-7C82-4C9F-947E-C21B57783A80}"/>
    <cellStyle name="20% - Accent3 5 2 2 3" xfId="15574" xr:uid="{10146DE9-4A2A-4157-90AF-2C129C66AB13}"/>
    <cellStyle name="20% - Accent3 5 2 3" xfId="18982" xr:uid="{565B9908-F2D3-4BC0-9FCB-26CD65130AD5}"/>
    <cellStyle name="20% - Accent3 5 2 4" xfId="11361" xr:uid="{3AF187C6-7C51-45DD-B03F-CDDACBC7B8FF}"/>
    <cellStyle name="20% - Accent3 5 3" xfId="4934" xr:uid="{00000000-0005-0000-0000-0000D1010000}"/>
    <cellStyle name="20% - Accent3 5 3 2" xfId="21050" xr:uid="{60EB5FE7-8054-4B23-BBD4-70FE96367BF3}"/>
    <cellStyle name="20% - Accent3 5 3 3" xfId="13429" xr:uid="{14D5BB29-37D1-4472-945D-CD58E1C3570E}"/>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2 2 2" xfId="23608" xr:uid="{A7317CDC-7E39-45F7-BFFD-ABEFF771FB96}"/>
    <cellStyle name="20% - Accent3 6 2 2 3" xfId="15987" xr:uid="{18DABDA3-D76B-4894-A0F8-8B1741EF857A}"/>
    <cellStyle name="20% - Accent3 6 2 3" xfId="19395" xr:uid="{E4990DA5-ED60-42AD-B3B4-5DE06D84B96A}"/>
    <cellStyle name="20% - Accent3 6 2 4" xfId="11774" xr:uid="{D61B3E64-6EF6-4158-ACFF-BC1FC63B6F4E}"/>
    <cellStyle name="20% - Accent3 6 3" xfId="5347" xr:uid="{00000000-0005-0000-0000-0000D5010000}"/>
    <cellStyle name="20% - Accent3 6 3 2" xfId="21463" xr:uid="{B02C7985-75DB-46E3-BE13-503BE5841344}"/>
    <cellStyle name="20% - Accent3 6 3 3" xfId="13842" xr:uid="{F2DD6181-A4B8-4365-97D1-482D09389616}"/>
    <cellStyle name="20% - Accent3 6 4" xfId="17250" xr:uid="{2794536B-E9EA-42B9-8429-D2C35F11B686}"/>
    <cellStyle name="20% - Accent3 6 5" xfId="9629" xr:uid="{165BBC0B-62C3-44D5-A5BA-E7F43BE7A793}"/>
    <cellStyle name="20% - Accent3 7" xfId="1453" xr:uid="{00000000-0005-0000-0000-0000D6010000}"/>
    <cellStyle name="20% - Accent3 7 2" xfId="3683" xr:uid="{00000000-0005-0000-0000-0000D7010000}"/>
    <cellStyle name="20% - Accent3 7 2 2" xfId="7905" xr:uid="{00000000-0005-0000-0000-0000D8010000}"/>
    <cellStyle name="20% - Accent3 7 2 2 2" xfId="24021" xr:uid="{9E4D1A02-6602-4019-8F0B-EE8D7347CB03}"/>
    <cellStyle name="20% - Accent3 7 2 2 3" xfId="16400" xr:uid="{3AF6F754-9BAC-44FB-B448-5D1A364C71C7}"/>
    <cellStyle name="20% - Accent3 7 2 3" xfId="19808" xr:uid="{1FDA9FAF-C9B5-41E5-A4EB-24F13FAB8210}"/>
    <cellStyle name="20% - Accent3 7 2 4" xfId="12187" xr:uid="{ABF6A750-20D3-4A72-B1A9-F14CA0FBDD1A}"/>
    <cellStyle name="20% - Accent3 7 3" xfId="5760" xr:uid="{00000000-0005-0000-0000-0000D9010000}"/>
    <cellStyle name="20% - Accent3 7 3 2" xfId="21876" xr:uid="{1ADAA0F4-66BE-49D5-B481-3B7BAB8E536E}"/>
    <cellStyle name="20% - Accent3 7 3 3" xfId="14255" xr:uid="{5535789E-BD6B-476A-9632-47B33EAB8155}"/>
    <cellStyle name="20% - Accent3 7 4" xfId="17663" xr:uid="{5062B2B9-2B5C-4875-AEE5-148C689ECDB6}"/>
    <cellStyle name="20% - Accent3 7 5" xfId="10042" xr:uid="{9F1A5854-6D43-4DC3-817B-9FD47FF79AC5}"/>
    <cellStyle name="20% - Accent3 8" xfId="1867" xr:uid="{00000000-0005-0000-0000-0000DA010000}"/>
    <cellStyle name="20% - Accent3 8 2" xfId="4096" xr:uid="{00000000-0005-0000-0000-0000DB010000}"/>
    <cellStyle name="20% - Accent3 8 2 2" xfId="8318" xr:uid="{00000000-0005-0000-0000-0000DC010000}"/>
    <cellStyle name="20% - Accent3 8 2 2 2" xfId="24434" xr:uid="{6070FF5D-D7F0-47B1-8C96-7383D0D206C2}"/>
    <cellStyle name="20% - Accent3 8 2 2 3" xfId="16813" xr:uid="{13B48144-52BC-465A-A0B7-63657C323358}"/>
    <cellStyle name="20% - Accent3 8 2 3" xfId="20221" xr:uid="{9DC33AC8-6BEB-4498-A0A4-6920F252C731}"/>
    <cellStyle name="20% - Accent3 8 2 4" xfId="12600" xr:uid="{641226C5-0C92-4BB9-818B-D6FE84B38A68}"/>
    <cellStyle name="20% - Accent3 8 3" xfId="6173" xr:uid="{00000000-0005-0000-0000-0000DD010000}"/>
    <cellStyle name="20% - Accent3 8 3 2" xfId="22289" xr:uid="{00B048FF-D400-4C7B-8DCB-828EE1CBC43A}"/>
    <cellStyle name="20% - Accent3 8 3 3" xfId="14668" xr:uid="{B9158B6B-704F-4F80-9665-D335579B974A}"/>
    <cellStyle name="20% - Accent3 8 4" xfId="18076" xr:uid="{0731522C-6B2A-46FA-832D-B352B7D73D59}"/>
    <cellStyle name="20% - Accent3 8 5" xfId="10455" xr:uid="{2B5CBE56-E827-4000-B70F-C70F833911F9}"/>
    <cellStyle name="20% - Accent3 9" xfId="2280" xr:uid="{00000000-0005-0000-0000-0000DE010000}"/>
    <cellStyle name="20% - Accent3 9 2" xfId="6586" xr:uid="{00000000-0005-0000-0000-0000DF010000}"/>
    <cellStyle name="20% - Accent3 9 2 2" xfId="22702" xr:uid="{E0C0F5BF-727C-4A86-8468-EF9A1C91BB81}"/>
    <cellStyle name="20% - Accent3 9 2 3" xfId="15081" xr:uid="{B8D74A95-41D1-48F2-89F5-675FFA8E88A6}"/>
    <cellStyle name="20% - Accent3 9 3" xfId="18489" xr:uid="{672BD2D1-DC17-45B6-8A98-A3807717E26C}"/>
    <cellStyle name="20% - Accent3 9 4" xfId="10868" xr:uid="{1435CB66-5A33-4285-8C24-A7797BC71B6D}"/>
    <cellStyle name="20% - Accent4" xfId="25" builtinId="42" customBuiltin="1"/>
    <cellStyle name="20% - Accent4 10" xfId="4528" xr:uid="{00000000-0005-0000-0000-0000E1010000}"/>
    <cellStyle name="20% - Accent4 10 2" xfId="20645" xr:uid="{AF7F94ED-BE64-4984-AF18-FB81B3FFB6DC}"/>
    <cellStyle name="20% - Accent4 10 3" xfId="13024" xr:uid="{FD6436E8-3DD4-4B3C-9DFC-DA4D52E2176B}"/>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23206" xr:uid="{F7CE1411-5DBD-48AC-B565-55B230A7DDF1}"/>
    <cellStyle name="20% - Accent4 2 2 2 2 2 2 3" xfId="15585" xr:uid="{3C7A7168-B0C7-4EC3-99EC-25997B237C36}"/>
    <cellStyle name="20% - Accent4 2 2 2 2 2 3" xfId="18993" xr:uid="{D9C94C47-1329-4F37-903D-4849F9AD09DE}"/>
    <cellStyle name="20% - Accent4 2 2 2 2 2 4" xfId="11372" xr:uid="{3B89C5F8-C27D-4B34-A680-9C678F89D0EF}"/>
    <cellStyle name="20% - Accent4 2 2 2 2 3" xfId="4945" xr:uid="{00000000-0005-0000-0000-0000E8010000}"/>
    <cellStyle name="20% - Accent4 2 2 2 2 3 2" xfId="21061" xr:uid="{1A27CA90-7067-411B-8A1B-52B2DAD53451}"/>
    <cellStyle name="20% - Accent4 2 2 2 2 3 3" xfId="13440" xr:uid="{68088B56-3CF8-4744-8E0B-CCD89A3900ED}"/>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23619" xr:uid="{7BA38B39-C861-418C-BCB4-F8E0E5D2FACC}"/>
    <cellStyle name="20% - Accent4 2 2 2 3 2 2 3" xfId="15998" xr:uid="{0A348E54-6616-483E-85E2-9FC6C089D26B}"/>
    <cellStyle name="20% - Accent4 2 2 2 3 2 3" xfId="19406" xr:uid="{51BBECCA-C52F-413E-BB94-7FB18ECC731A}"/>
    <cellStyle name="20% - Accent4 2 2 2 3 2 4" xfId="11785" xr:uid="{ED4ED2AB-31D8-4B8D-A361-5AB8BBBBA2D2}"/>
    <cellStyle name="20% - Accent4 2 2 2 3 3" xfId="5358" xr:uid="{00000000-0005-0000-0000-0000EC010000}"/>
    <cellStyle name="20% - Accent4 2 2 2 3 3 2" xfId="21474" xr:uid="{905209A9-9F76-425B-B166-C90FF7AD6C94}"/>
    <cellStyle name="20% - Accent4 2 2 2 3 3 3" xfId="13853" xr:uid="{2F4F4067-FE64-4E3A-B4D2-97C785D7B675}"/>
    <cellStyle name="20% - Accent4 2 2 2 3 4" xfId="17261" xr:uid="{70F13CD9-B28B-4D3A-ACF8-03E7BF6DFC8A}"/>
    <cellStyle name="20% - Accent4 2 2 2 3 5" xfId="9640" xr:uid="{21EF945C-9DB8-44AF-A771-ABEB5C03EC5C}"/>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24032" xr:uid="{5A828A44-CB1F-4386-A669-F0BD7F6F30A9}"/>
    <cellStyle name="20% - Accent4 2 2 2 4 2 2 3" xfId="16411" xr:uid="{D4ED60F2-519B-45D1-AD17-F218672ABBCD}"/>
    <cellStyle name="20% - Accent4 2 2 2 4 2 3" xfId="19819" xr:uid="{4E7D5B8F-5937-4DA1-B3B0-5607C857174E}"/>
    <cellStyle name="20% - Accent4 2 2 2 4 2 4" xfId="12198" xr:uid="{B59564B2-8E67-4457-A0AD-C3E8921C4AB9}"/>
    <cellStyle name="20% - Accent4 2 2 2 4 3" xfId="5771" xr:uid="{00000000-0005-0000-0000-0000F0010000}"/>
    <cellStyle name="20% - Accent4 2 2 2 4 3 2" xfId="21887" xr:uid="{AC72B776-53D4-4919-A2BD-12319824EE5F}"/>
    <cellStyle name="20% - Accent4 2 2 2 4 3 3" xfId="14266" xr:uid="{FFE74C25-92A4-4AF6-925D-6FAF95024DB0}"/>
    <cellStyle name="20% - Accent4 2 2 2 4 4" xfId="17674" xr:uid="{344E150E-AC64-44F9-B549-4654003B7280}"/>
    <cellStyle name="20% - Accent4 2 2 2 4 5" xfId="10053" xr:uid="{F5F641DA-5F74-4992-B66A-EE39F64A8D49}"/>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24445" xr:uid="{F1D52038-3AEF-4CDC-87C8-BC4F5720D714}"/>
    <cellStyle name="20% - Accent4 2 2 2 5 2 2 3" xfId="16824" xr:uid="{A0E677B5-647B-4BA7-8742-1AD7DD6FF0FB}"/>
    <cellStyle name="20% - Accent4 2 2 2 5 2 3" xfId="20232" xr:uid="{35F9989F-6D13-48F7-B4EC-6BB48035690A}"/>
    <cellStyle name="20% - Accent4 2 2 2 5 2 4" xfId="12611" xr:uid="{BAD1679F-53A5-4C9D-AB65-F1E44F195C91}"/>
    <cellStyle name="20% - Accent4 2 2 2 5 3" xfId="6184" xr:uid="{00000000-0005-0000-0000-0000F4010000}"/>
    <cellStyle name="20% - Accent4 2 2 2 5 3 2" xfId="22300" xr:uid="{DDC1A40C-CAF6-4DF9-8EDF-4C7869C9D4AB}"/>
    <cellStyle name="20% - Accent4 2 2 2 5 3 3" xfId="14679" xr:uid="{505DB979-8520-4D87-86BD-47B3BEC36BB9}"/>
    <cellStyle name="20% - Accent4 2 2 2 5 4" xfId="18087" xr:uid="{1E459098-85ED-4423-933E-0D93C91BC8EC}"/>
    <cellStyle name="20% - Accent4 2 2 2 5 5" xfId="10466" xr:uid="{28211355-BA66-4A8F-8DE1-C2B5C00DD615}"/>
    <cellStyle name="20% - Accent4 2 2 2 6" xfId="2291" xr:uid="{00000000-0005-0000-0000-0000F5010000}"/>
    <cellStyle name="20% - Accent4 2 2 2 6 2" xfId="6597" xr:uid="{00000000-0005-0000-0000-0000F6010000}"/>
    <cellStyle name="20% - Accent4 2 2 2 6 2 2" xfId="22713" xr:uid="{CBB32464-CD22-45E1-B875-71AC1CEB3008}"/>
    <cellStyle name="20% - Accent4 2 2 2 6 2 3" xfId="15092" xr:uid="{E17D7EF8-621B-42BD-B7C6-896B50D11EBD}"/>
    <cellStyle name="20% - Accent4 2 2 2 6 3" xfId="18500" xr:uid="{71CDB2E1-B794-4377-B311-69616AE2ECE9}"/>
    <cellStyle name="20% - Accent4 2 2 2 6 4" xfId="10879" xr:uid="{4932BD0A-0847-45E1-8DC6-5D55D6E08236}"/>
    <cellStyle name="20% - Accent4 2 2 2 7" xfId="4531" xr:uid="{00000000-0005-0000-0000-0000F7010000}"/>
    <cellStyle name="20% - Accent4 2 2 2 7 2" xfId="20648" xr:uid="{5146FC0C-6F96-48A6-8243-D271C5B0F078}"/>
    <cellStyle name="20% - Accent4 2 2 2 7 3" xfId="13027" xr:uid="{F51E752F-E5FD-4859-88BD-4581A7DD06ED}"/>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23205" xr:uid="{3309D4C3-1727-4B01-8A43-D6658C03E5C2}"/>
    <cellStyle name="20% - Accent4 2 2 3 2 2 3" xfId="15584" xr:uid="{7FE68023-ED14-4C3F-9066-539B04BB3595}"/>
    <cellStyle name="20% - Accent4 2 2 3 2 3" xfId="18992" xr:uid="{3CF11F57-A2B7-4470-A7E9-D9D7FF8120A2}"/>
    <cellStyle name="20% - Accent4 2 2 3 2 4" xfId="11371" xr:uid="{33495A5B-3EC6-466A-9B6C-9E3C585DBDAE}"/>
    <cellStyle name="20% - Accent4 2 2 3 3" xfId="4944" xr:uid="{00000000-0005-0000-0000-0000FB010000}"/>
    <cellStyle name="20% - Accent4 2 2 3 3 2" xfId="21060" xr:uid="{53D04730-BF57-44DF-A4AF-37ABA116016A}"/>
    <cellStyle name="20% - Accent4 2 2 3 3 3" xfId="13439" xr:uid="{5682F5C4-07F5-4880-B3E6-78A7B2987A82}"/>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23618" xr:uid="{961BF2DB-D219-4F64-897C-5E3AF719B82A}"/>
    <cellStyle name="20% - Accent4 2 2 4 2 2 3" xfId="15997" xr:uid="{1533465A-C65D-4797-9CF8-96E013E61E74}"/>
    <cellStyle name="20% - Accent4 2 2 4 2 3" xfId="19405" xr:uid="{9D1452BE-1C56-447E-AD4D-D1E3B7B1C1AA}"/>
    <cellStyle name="20% - Accent4 2 2 4 2 4" xfId="11784" xr:uid="{19A040FB-725B-40DD-B9DA-E57CAC280128}"/>
    <cellStyle name="20% - Accent4 2 2 4 3" xfId="5357" xr:uid="{00000000-0005-0000-0000-0000FF010000}"/>
    <cellStyle name="20% - Accent4 2 2 4 3 2" xfId="21473" xr:uid="{AD990D03-29FD-449B-82C4-987BAF115907}"/>
    <cellStyle name="20% - Accent4 2 2 4 3 3" xfId="13852" xr:uid="{A98CC8B0-F86E-4B15-B6C3-26649BFBC9EB}"/>
    <cellStyle name="20% - Accent4 2 2 4 4" xfId="17260" xr:uid="{AB4B3470-BE65-4B55-B81B-2728360478C1}"/>
    <cellStyle name="20% - Accent4 2 2 4 5" xfId="9639" xr:uid="{5FC3705E-03F1-4AAD-8083-884F81EECC39}"/>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24031" xr:uid="{D11C3C06-9A24-4BA1-AC01-AA39138E8044}"/>
    <cellStyle name="20% - Accent4 2 2 5 2 2 3" xfId="16410" xr:uid="{9AA63D0D-3DB8-4B3D-85F5-94367AF76A28}"/>
    <cellStyle name="20% - Accent4 2 2 5 2 3" xfId="19818" xr:uid="{E11D8035-0ACE-4635-9623-5DC5334B1FF0}"/>
    <cellStyle name="20% - Accent4 2 2 5 2 4" xfId="12197" xr:uid="{B581366B-9724-4874-911F-7A4795680303}"/>
    <cellStyle name="20% - Accent4 2 2 5 3" xfId="5770" xr:uid="{00000000-0005-0000-0000-000003020000}"/>
    <cellStyle name="20% - Accent4 2 2 5 3 2" xfId="21886" xr:uid="{A06F3483-EA5C-4D97-9A29-39778B1D5C49}"/>
    <cellStyle name="20% - Accent4 2 2 5 3 3" xfId="14265" xr:uid="{7DCA48E3-94D9-416E-94E8-248098D118D2}"/>
    <cellStyle name="20% - Accent4 2 2 5 4" xfId="17673" xr:uid="{FBB47460-2538-4B21-A346-61C7C4A36403}"/>
    <cellStyle name="20% - Accent4 2 2 5 5" xfId="10052" xr:uid="{E340FD8C-C659-4867-907B-F4B6D41D6021}"/>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24444" xr:uid="{24042A51-08E6-45DC-9CDC-42E978637A89}"/>
    <cellStyle name="20% - Accent4 2 2 6 2 2 3" xfId="16823" xr:uid="{76C392DC-DC6D-4DD4-98DA-E4CD05A47DE9}"/>
    <cellStyle name="20% - Accent4 2 2 6 2 3" xfId="20231" xr:uid="{B8BE2723-8467-40D8-B85C-6523C0CC7FB2}"/>
    <cellStyle name="20% - Accent4 2 2 6 2 4" xfId="12610" xr:uid="{13C167F1-33A9-4772-A58B-5BAFB953E329}"/>
    <cellStyle name="20% - Accent4 2 2 6 3" xfId="6183" xr:uid="{00000000-0005-0000-0000-000007020000}"/>
    <cellStyle name="20% - Accent4 2 2 6 3 2" xfId="22299" xr:uid="{131DEDFF-54F2-4456-93AA-C3CA22346183}"/>
    <cellStyle name="20% - Accent4 2 2 6 3 3" xfId="14678" xr:uid="{FAE892BA-8AA9-4EB2-BA7A-722527AA47E0}"/>
    <cellStyle name="20% - Accent4 2 2 6 4" xfId="18086" xr:uid="{8957A3CE-7EB2-4C6F-A5D4-DF656BFFE087}"/>
    <cellStyle name="20% - Accent4 2 2 6 5" xfId="10465" xr:uid="{01C5D946-8A12-492F-960D-B83B9CCBCCCB}"/>
    <cellStyle name="20% - Accent4 2 2 7" xfId="2290" xr:uid="{00000000-0005-0000-0000-000008020000}"/>
    <cellStyle name="20% - Accent4 2 2 7 2" xfId="6596" xr:uid="{00000000-0005-0000-0000-000009020000}"/>
    <cellStyle name="20% - Accent4 2 2 7 2 2" xfId="22712" xr:uid="{65B6A420-0C67-484B-8DE5-6EB17017807A}"/>
    <cellStyle name="20% - Accent4 2 2 7 2 3" xfId="15091" xr:uid="{CF417F05-0E99-4191-B7B8-901353329A08}"/>
    <cellStyle name="20% - Accent4 2 2 7 3" xfId="18499" xr:uid="{4491B603-E561-480A-A155-A65431C9A866}"/>
    <cellStyle name="20% - Accent4 2 2 7 4" xfId="10878" xr:uid="{FEEABE8A-F1BE-4579-8D85-A71409F27C9B}"/>
    <cellStyle name="20% - Accent4 2 2 8" xfId="4530" xr:uid="{00000000-0005-0000-0000-00000A020000}"/>
    <cellStyle name="20% - Accent4 2 2 8 2" xfId="20647" xr:uid="{01E11A48-DC5D-4096-8777-04404FE702C3}"/>
    <cellStyle name="20% - Accent4 2 2 8 3" xfId="13026" xr:uid="{8B97BB5F-DA3A-4AE3-A1CB-8F5F503F68A2}"/>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23207" xr:uid="{281F0C71-829E-4F30-8A9E-1A2E5635EDDC}"/>
    <cellStyle name="20% - Accent4 2 3 2 2 2 3" xfId="15586" xr:uid="{8F6B3EA4-FE1B-4435-87FB-9829BD17A235}"/>
    <cellStyle name="20% - Accent4 2 3 2 2 3" xfId="18994" xr:uid="{7B54BE2B-9FF8-4F82-888F-4DF958BB1A82}"/>
    <cellStyle name="20% - Accent4 2 3 2 2 4" xfId="11373" xr:uid="{3BE38F84-7D51-4F22-BBDC-F8144372FB61}"/>
    <cellStyle name="20% - Accent4 2 3 2 3" xfId="4946" xr:uid="{00000000-0005-0000-0000-00000F020000}"/>
    <cellStyle name="20% - Accent4 2 3 2 3 2" xfId="21062" xr:uid="{256F2B6F-F2E4-4105-8B19-813090666145}"/>
    <cellStyle name="20% - Accent4 2 3 2 3 3" xfId="13441" xr:uid="{57929723-A690-45F1-927B-2319C9C980CE}"/>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23620" xr:uid="{A08DCFD7-A29C-4190-832C-FB58D13433A1}"/>
    <cellStyle name="20% - Accent4 2 3 3 2 2 3" xfId="15999" xr:uid="{CF7FF157-5DC3-4789-9384-A8897C99B000}"/>
    <cellStyle name="20% - Accent4 2 3 3 2 3" xfId="19407" xr:uid="{1C435760-3A79-483E-9C40-C6A4E92D093F}"/>
    <cellStyle name="20% - Accent4 2 3 3 2 4" xfId="11786" xr:uid="{720938B2-BDF2-4D54-8350-0D1F5B2CA7F7}"/>
    <cellStyle name="20% - Accent4 2 3 3 3" xfId="5359" xr:uid="{00000000-0005-0000-0000-000013020000}"/>
    <cellStyle name="20% - Accent4 2 3 3 3 2" xfId="21475" xr:uid="{143407AB-E251-46E7-8E25-61A59E119E2E}"/>
    <cellStyle name="20% - Accent4 2 3 3 3 3" xfId="13854" xr:uid="{AE209290-11AC-41D3-8693-E65BB87D0F3E}"/>
    <cellStyle name="20% - Accent4 2 3 3 4" xfId="17262" xr:uid="{CD394542-DD74-4B96-AEE1-EB8BC1437BE2}"/>
    <cellStyle name="20% - Accent4 2 3 3 5" xfId="9641" xr:uid="{D936F81E-EA64-4787-84D7-A84324861E0D}"/>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24033" xr:uid="{1CD7FC0E-60A7-4AAA-A2A3-2F1D6EF62C8A}"/>
    <cellStyle name="20% - Accent4 2 3 4 2 2 3" xfId="16412" xr:uid="{247EB160-6E95-4FA0-8D3C-98658A085F3A}"/>
    <cellStyle name="20% - Accent4 2 3 4 2 3" xfId="19820" xr:uid="{2BF42D52-D32D-4B5A-82C1-C7FAE106AF34}"/>
    <cellStyle name="20% - Accent4 2 3 4 2 4" xfId="12199" xr:uid="{1FD08A6B-9335-488E-BB20-60EACE358AEB}"/>
    <cellStyle name="20% - Accent4 2 3 4 3" xfId="5772" xr:uid="{00000000-0005-0000-0000-000017020000}"/>
    <cellStyle name="20% - Accent4 2 3 4 3 2" xfId="21888" xr:uid="{5B15E04E-8A93-42EA-A346-FA359358866E}"/>
    <cellStyle name="20% - Accent4 2 3 4 3 3" xfId="14267" xr:uid="{717620EC-23E0-45A7-9D89-3D578A8D568A}"/>
    <cellStyle name="20% - Accent4 2 3 4 4" xfId="17675" xr:uid="{42716BA2-D2AB-4595-8EE6-1CD8E4BA5585}"/>
    <cellStyle name="20% - Accent4 2 3 4 5" xfId="10054" xr:uid="{D0C4980E-B707-4AE3-991A-1243AD64808B}"/>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24446" xr:uid="{A8109AA1-4BFC-48D6-B79B-CCAAF2910A45}"/>
    <cellStyle name="20% - Accent4 2 3 5 2 2 3" xfId="16825" xr:uid="{7B780783-8F36-4F1A-9360-AFACCAACA9C5}"/>
    <cellStyle name="20% - Accent4 2 3 5 2 3" xfId="20233" xr:uid="{7BA17E57-C66B-4FA8-A557-8015EBABAEF6}"/>
    <cellStyle name="20% - Accent4 2 3 5 2 4" xfId="12612" xr:uid="{8B56A1C9-FEE4-4EA8-B063-2D3E8F649109}"/>
    <cellStyle name="20% - Accent4 2 3 5 3" xfId="6185" xr:uid="{00000000-0005-0000-0000-00001B020000}"/>
    <cellStyle name="20% - Accent4 2 3 5 3 2" xfId="22301" xr:uid="{FC23E9CE-3386-4B61-85B8-52D4FEDF0DEA}"/>
    <cellStyle name="20% - Accent4 2 3 5 3 3" xfId="14680" xr:uid="{0EECF901-207A-405D-8A04-7ECEC538693E}"/>
    <cellStyle name="20% - Accent4 2 3 5 4" xfId="18088" xr:uid="{81205373-5068-4970-9F4F-6D9136551E6D}"/>
    <cellStyle name="20% - Accent4 2 3 5 5" xfId="10467" xr:uid="{3E29D583-737A-49C9-9A22-C0FA29DC19C3}"/>
    <cellStyle name="20% - Accent4 2 3 6" xfId="2292" xr:uid="{00000000-0005-0000-0000-00001C020000}"/>
    <cellStyle name="20% - Accent4 2 3 6 2" xfId="6598" xr:uid="{00000000-0005-0000-0000-00001D020000}"/>
    <cellStyle name="20% - Accent4 2 3 6 2 2" xfId="22714" xr:uid="{48897227-2B46-4CAE-8278-C858A4EE952C}"/>
    <cellStyle name="20% - Accent4 2 3 6 2 3" xfId="15093" xr:uid="{08F8D81A-8A7E-419B-9D4E-15D096C54C69}"/>
    <cellStyle name="20% - Accent4 2 3 6 3" xfId="18501" xr:uid="{8A507ABF-6A98-4A88-A893-350F9830759A}"/>
    <cellStyle name="20% - Accent4 2 3 6 4" xfId="10880" xr:uid="{CC69C71C-2B8C-49B5-AF6B-8F78A4210542}"/>
    <cellStyle name="20% - Accent4 2 3 7" xfId="4532" xr:uid="{00000000-0005-0000-0000-00001E020000}"/>
    <cellStyle name="20% - Accent4 2 3 7 2" xfId="20649" xr:uid="{0346E025-55B2-4EA1-B000-CFE38AD61C43}"/>
    <cellStyle name="20% - Accent4 2 3 7 3" xfId="13028" xr:uid="{EBCEF219-3106-4B49-82E8-DD0589380AD2}"/>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2 2 2" xfId="23204" xr:uid="{80393F5D-09CC-4026-B343-D06448655482}"/>
    <cellStyle name="20% - Accent4 2 4 2 2 3" xfId="15583" xr:uid="{E2B8383D-1D21-4997-8C41-BD8F887C1FBB}"/>
    <cellStyle name="20% - Accent4 2 4 2 3" xfId="18991" xr:uid="{6EDC7B3D-94A6-4FF5-9883-36210A93E160}"/>
    <cellStyle name="20% - Accent4 2 4 2 4" xfId="11370" xr:uid="{E811BD7D-3B75-4307-B144-9904F361D895}"/>
    <cellStyle name="20% - Accent4 2 4 3" xfId="4943" xr:uid="{00000000-0005-0000-0000-000022020000}"/>
    <cellStyle name="20% - Accent4 2 4 3 2" xfId="21059" xr:uid="{342F543D-3C5D-4075-8264-CEFF7028A63F}"/>
    <cellStyle name="20% - Accent4 2 4 3 3" xfId="13438" xr:uid="{B5536BE6-F32E-44C7-886C-C722A5BECC21}"/>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2 2 2" xfId="23617" xr:uid="{0C08A026-2525-44BB-8275-170055362D11}"/>
    <cellStyle name="20% - Accent4 2 5 2 2 3" xfId="15996" xr:uid="{C4295805-8C43-4570-80DD-A5141A86DAE6}"/>
    <cellStyle name="20% - Accent4 2 5 2 3" xfId="19404" xr:uid="{E90F8806-19D4-46D1-BB1B-54197182F1C7}"/>
    <cellStyle name="20% - Accent4 2 5 2 4" xfId="11783" xr:uid="{E978774E-B7E6-408B-912C-8D6E86A7CFC1}"/>
    <cellStyle name="20% - Accent4 2 5 3" xfId="5356" xr:uid="{00000000-0005-0000-0000-000026020000}"/>
    <cellStyle name="20% - Accent4 2 5 3 2" xfId="21472" xr:uid="{9B81C742-CE59-48EF-848A-B2D015297480}"/>
    <cellStyle name="20% - Accent4 2 5 3 3" xfId="13851" xr:uid="{BAE10123-DFAC-41D8-848A-CF273AEA6FEB}"/>
    <cellStyle name="20% - Accent4 2 5 4" xfId="17259" xr:uid="{84093661-46D5-4385-9F82-DEEA386CB252}"/>
    <cellStyle name="20% - Accent4 2 5 5" xfId="9638" xr:uid="{AEF0E0FF-85BA-495D-B8BF-3058485B55EF}"/>
    <cellStyle name="20% - Accent4 2 6" xfId="1462" xr:uid="{00000000-0005-0000-0000-000027020000}"/>
    <cellStyle name="20% - Accent4 2 6 2" xfId="3692" xr:uid="{00000000-0005-0000-0000-000028020000}"/>
    <cellStyle name="20% - Accent4 2 6 2 2" xfId="7914" xr:uid="{00000000-0005-0000-0000-000029020000}"/>
    <cellStyle name="20% - Accent4 2 6 2 2 2" xfId="24030" xr:uid="{EAE5AB2C-7C0F-4DD0-86F0-DF1C4E583454}"/>
    <cellStyle name="20% - Accent4 2 6 2 2 3" xfId="16409" xr:uid="{3785D046-1CAE-4235-B21A-57772CBA9932}"/>
    <cellStyle name="20% - Accent4 2 6 2 3" xfId="19817" xr:uid="{5AAF5A1E-6CC3-4111-93AB-F0DFF382D69D}"/>
    <cellStyle name="20% - Accent4 2 6 2 4" xfId="12196" xr:uid="{88EB8DE9-63E1-42FF-86A1-B42AC9E78CF4}"/>
    <cellStyle name="20% - Accent4 2 6 3" xfId="5769" xr:uid="{00000000-0005-0000-0000-00002A020000}"/>
    <cellStyle name="20% - Accent4 2 6 3 2" xfId="21885" xr:uid="{CB827CB1-5858-490F-8F65-729709946815}"/>
    <cellStyle name="20% - Accent4 2 6 3 3" xfId="14264" xr:uid="{189423B9-E0A5-4564-B807-EEA631710452}"/>
    <cellStyle name="20% - Accent4 2 6 4" xfId="17672" xr:uid="{4515E383-DA2F-4834-B9DA-220563F6795E}"/>
    <cellStyle name="20% - Accent4 2 6 5" xfId="10051" xr:uid="{6793F098-834A-4FB8-BFBD-6B6E849E703C}"/>
    <cellStyle name="20% - Accent4 2 7" xfId="1876" xr:uid="{00000000-0005-0000-0000-00002B020000}"/>
    <cellStyle name="20% - Accent4 2 7 2" xfId="4105" xr:uid="{00000000-0005-0000-0000-00002C020000}"/>
    <cellStyle name="20% - Accent4 2 7 2 2" xfId="8327" xr:uid="{00000000-0005-0000-0000-00002D020000}"/>
    <cellStyle name="20% - Accent4 2 7 2 2 2" xfId="24443" xr:uid="{73A489BC-9167-4892-BA7D-C23F883FEE2F}"/>
    <cellStyle name="20% - Accent4 2 7 2 2 3" xfId="16822" xr:uid="{4D4993C5-C219-466C-8BBF-3BC4A286A968}"/>
    <cellStyle name="20% - Accent4 2 7 2 3" xfId="20230" xr:uid="{B269FAB8-171C-472F-A5FC-C77EA1DA9015}"/>
    <cellStyle name="20% - Accent4 2 7 2 4" xfId="12609" xr:uid="{0BA2FF68-6553-41CB-A114-48DEF6E841E0}"/>
    <cellStyle name="20% - Accent4 2 7 3" xfId="6182" xr:uid="{00000000-0005-0000-0000-00002E020000}"/>
    <cellStyle name="20% - Accent4 2 7 3 2" xfId="22298" xr:uid="{1C813035-105F-4611-9487-A085FFA23E9C}"/>
    <cellStyle name="20% - Accent4 2 7 3 3" xfId="14677" xr:uid="{538F9921-280A-487F-9CF9-A5E1A0139878}"/>
    <cellStyle name="20% - Accent4 2 7 4" xfId="18085" xr:uid="{0C14233C-1A3A-4FE3-A402-EED5F270FC00}"/>
    <cellStyle name="20% - Accent4 2 7 5" xfId="10464" xr:uid="{08B909BD-382A-4696-B496-221302CF2A47}"/>
    <cellStyle name="20% - Accent4 2 8" xfId="2289" xr:uid="{00000000-0005-0000-0000-00002F020000}"/>
    <cellStyle name="20% - Accent4 2 8 2" xfId="6595" xr:uid="{00000000-0005-0000-0000-000030020000}"/>
    <cellStyle name="20% - Accent4 2 8 2 2" xfId="22711" xr:uid="{00DFBB34-BEB8-4509-BB75-56C79F3D65B6}"/>
    <cellStyle name="20% - Accent4 2 8 2 3" xfId="15090" xr:uid="{4D83C09D-ED55-42B1-AEF8-47BA3EAAD356}"/>
    <cellStyle name="20% - Accent4 2 8 3" xfId="18498" xr:uid="{3C2CD701-546B-46F8-AC63-6EE5BFE32776}"/>
    <cellStyle name="20% - Accent4 2 8 4" xfId="10877" xr:uid="{A5D1370F-163E-41A3-8797-8792D3D6A7F7}"/>
    <cellStyle name="20% - Accent4 2 9" xfId="4529" xr:uid="{00000000-0005-0000-0000-000031020000}"/>
    <cellStyle name="20% - Accent4 2 9 2" xfId="20646" xr:uid="{3DE4C5BB-9C1A-49B4-B8B2-F8D6E398BCBD}"/>
    <cellStyle name="20% - Accent4 2 9 3" xfId="13025" xr:uid="{37297987-21F7-4590-9E13-09F16749F59E}"/>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23209" xr:uid="{DC857211-AA36-4C90-9C33-B7FE0818BDD8}"/>
    <cellStyle name="20% - Accent4 3 2 2 2 2 3" xfId="15588" xr:uid="{5A7526D2-51BA-41A4-9FD0-E66D9D9597DE}"/>
    <cellStyle name="20% - Accent4 3 2 2 2 3" xfId="18996" xr:uid="{2EE99E1B-AB7A-42C9-94FF-E9728BDEE448}"/>
    <cellStyle name="20% - Accent4 3 2 2 2 4" xfId="11375" xr:uid="{9983CDFC-036D-4A90-A4DF-BC35B6395257}"/>
    <cellStyle name="20% - Accent4 3 2 2 3" xfId="4948" xr:uid="{00000000-0005-0000-0000-000037020000}"/>
    <cellStyle name="20% - Accent4 3 2 2 3 2" xfId="21064" xr:uid="{48415573-1710-45FD-8D6C-9BEB01BCA16B}"/>
    <cellStyle name="20% - Accent4 3 2 2 3 3" xfId="13443" xr:uid="{70995FE4-0929-41BF-BCE0-75362A5F6EA9}"/>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23622" xr:uid="{BDD1076F-4F02-4FC0-AA90-A3C451995D52}"/>
    <cellStyle name="20% - Accent4 3 2 3 2 2 3" xfId="16001" xr:uid="{DF7051B4-A642-45D1-92D7-D42C65C4AAAE}"/>
    <cellStyle name="20% - Accent4 3 2 3 2 3" xfId="19409" xr:uid="{AC85E839-BD47-4167-A526-6689D846D79C}"/>
    <cellStyle name="20% - Accent4 3 2 3 2 4" xfId="11788" xr:uid="{AF47157A-3DA2-466A-8D8B-EB10C2783B21}"/>
    <cellStyle name="20% - Accent4 3 2 3 3" xfId="5361" xr:uid="{00000000-0005-0000-0000-00003B020000}"/>
    <cellStyle name="20% - Accent4 3 2 3 3 2" xfId="21477" xr:uid="{AC0D9E12-585F-4102-B1E0-843107534685}"/>
    <cellStyle name="20% - Accent4 3 2 3 3 3" xfId="13856" xr:uid="{AD829B75-EB5E-42F5-922B-2D14409DF082}"/>
    <cellStyle name="20% - Accent4 3 2 3 4" xfId="17264" xr:uid="{82E30757-BD77-4163-8665-93D4CBA347CE}"/>
    <cellStyle name="20% - Accent4 3 2 3 5" xfId="9643" xr:uid="{5D88680E-6525-430C-9842-209D0740B79B}"/>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24035" xr:uid="{63A74221-FA81-4AC2-BE75-74BB1B949728}"/>
    <cellStyle name="20% - Accent4 3 2 4 2 2 3" xfId="16414" xr:uid="{D11F2B57-5CD5-47D6-A615-2AA8889E5B3C}"/>
    <cellStyle name="20% - Accent4 3 2 4 2 3" xfId="19822" xr:uid="{87737D28-F9DA-4FA0-9E5A-E6EF50C39089}"/>
    <cellStyle name="20% - Accent4 3 2 4 2 4" xfId="12201" xr:uid="{EF87EAE8-982C-4BF2-985F-588C016D35D3}"/>
    <cellStyle name="20% - Accent4 3 2 4 3" xfId="5774" xr:uid="{00000000-0005-0000-0000-00003F020000}"/>
    <cellStyle name="20% - Accent4 3 2 4 3 2" xfId="21890" xr:uid="{DAD69C38-33E6-416A-BBB8-07244E7768D7}"/>
    <cellStyle name="20% - Accent4 3 2 4 3 3" xfId="14269" xr:uid="{D3CC47B0-F708-49B3-9501-50A09F2A9832}"/>
    <cellStyle name="20% - Accent4 3 2 4 4" xfId="17677" xr:uid="{0A18EF92-CA51-43EA-AE2A-AE55001604B7}"/>
    <cellStyle name="20% - Accent4 3 2 4 5" xfId="10056" xr:uid="{5738A3B6-9A78-4902-A9EA-742B3768C3FF}"/>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24448" xr:uid="{339FF9AC-030E-43DE-A1C6-0FB53F295E4D}"/>
    <cellStyle name="20% - Accent4 3 2 5 2 2 3" xfId="16827" xr:uid="{5368FF59-435F-4360-8F90-B1A368A6955B}"/>
    <cellStyle name="20% - Accent4 3 2 5 2 3" xfId="20235" xr:uid="{EC2B10D7-F050-408A-A4D1-0E9296707130}"/>
    <cellStyle name="20% - Accent4 3 2 5 2 4" xfId="12614" xr:uid="{A9FA58DE-0526-4C34-8B25-5961FE0BE002}"/>
    <cellStyle name="20% - Accent4 3 2 5 3" xfId="6187" xr:uid="{00000000-0005-0000-0000-000043020000}"/>
    <cellStyle name="20% - Accent4 3 2 5 3 2" xfId="22303" xr:uid="{10EDF0EF-FC7E-4443-90F9-27365B89E00E}"/>
    <cellStyle name="20% - Accent4 3 2 5 3 3" xfId="14682" xr:uid="{04DDE66D-D553-4E6E-8931-F7EA1867F3BC}"/>
    <cellStyle name="20% - Accent4 3 2 5 4" xfId="18090" xr:uid="{33F8D226-37FB-4295-A12B-16ED71E39218}"/>
    <cellStyle name="20% - Accent4 3 2 5 5" xfId="10469" xr:uid="{93372D0D-44CC-4A8E-A919-D58B96A3A704}"/>
    <cellStyle name="20% - Accent4 3 2 6" xfId="2294" xr:uid="{00000000-0005-0000-0000-000044020000}"/>
    <cellStyle name="20% - Accent4 3 2 6 2" xfId="6600" xr:uid="{00000000-0005-0000-0000-000045020000}"/>
    <cellStyle name="20% - Accent4 3 2 6 2 2" xfId="22716" xr:uid="{0BBC263D-ADEA-4526-B541-933DEE565E7D}"/>
    <cellStyle name="20% - Accent4 3 2 6 2 3" xfId="15095" xr:uid="{B94AACC0-7AF0-43C5-A445-A03105EA412C}"/>
    <cellStyle name="20% - Accent4 3 2 6 3" xfId="18503" xr:uid="{E914A664-697B-4476-A1AA-9E96F50F5C6A}"/>
    <cellStyle name="20% - Accent4 3 2 6 4" xfId="10882" xr:uid="{3412D8EA-AC6D-46C2-B541-B1D78AFA1103}"/>
    <cellStyle name="20% - Accent4 3 2 7" xfId="4534" xr:uid="{00000000-0005-0000-0000-000046020000}"/>
    <cellStyle name="20% - Accent4 3 2 7 2" xfId="20651" xr:uid="{19053101-8F49-4924-952B-7E86ACD16A13}"/>
    <cellStyle name="20% - Accent4 3 2 7 3" xfId="13030" xr:uid="{7293E0F2-655A-483D-863C-4B42B43CF666}"/>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2 2 2" xfId="23208" xr:uid="{7AFDCE78-1439-46DC-A13B-2C76C288A7B1}"/>
    <cellStyle name="20% - Accent4 3 3 2 2 3" xfId="15587" xr:uid="{299D1EA7-8C33-42E9-A998-7717984794EA}"/>
    <cellStyle name="20% - Accent4 3 3 2 3" xfId="18995" xr:uid="{27FDF44D-0D22-4D8A-B77D-FCA02E4D9160}"/>
    <cellStyle name="20% - Accent4 3 3 2 4" xfId="11374" xr:uid="{7536CC4E-3379-4D4D-8C84-95BFFB8C0410}"/>
    <cellStyle name="20% - Accent4 3 3 3" xfId="4947" xr:uid="{00000000-0005-0000-0000-00004A020000}"/>
    <cellStyle name="20% - Accent4 3 3 3 2" xfId="21063" xr:uid="{5B99D071-6745-47E5-A2B1-3708A666D332}"/>
    <cellStyle name="20% - Accent4 3 3 3 3" xfId="13442" xr:uid="{000EF84E-D081-4790-BF71-E2009A8D6C9D}"/>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2 2 2" xfId="23621" xr:uid="{FEDF16BD-528F-4FDF-B4AA-DACCBB279DE5}"/>
    <cellStyle name="20% - Accent4 3 4 2 2 3" xfId="16000" xr:uid="{E2639518-BEF1-4093-9349-173FE5D13744}"/>
    <cellStyle name="20% - Accent4 3 4 2 3" xfId="19408" xr:uid="{3D4EB89E-3628-418D-B927-D3151D13F95E}"/>
    <cellStyle name="20% - Accent4 3 4 2 4" xfId="11787" xr:uid="{590C716D-08EB-4942-B46C-8D1B4703278D}"/>
    <cellStyle name="20% - Accent4 3 4 3" xfId="5360" xr:uid="{00000000-0005-0000-0000-00004E020000}"/>
    <cellStyle name="20% - Accent4 3 4 3 2" xfId="21476" xr:uid="{10935A77-99B4-4226-9080-095CDA6F3E0E}"/>
    <cellStyle name="20% - Accent4 3 4 3 3" xfId="13855" xr:uid="{64015031-C5C9-4C94-B1EF-67F8294E3986}"/>
    <cellStyle name="20% - Accent4 3 4 4" xfId="17263" xr:uid="{DA15A041-3E8B-4EEC-9935-6163E470C405}"/>
    <cellStyle name="20% - Accent4 3 4 5" xfId="9642" xr:uid="{0DCB2B0A-CD9B-47E4-985B-115363AF8F00}"/>
    <cellStyle name="20% - Accent4 3 5" xfId="1466" xr:uid="{00000000-0005-0000-0000-00004F020000}"/>
    <cellStyle name="20% - Accent4 3 5 2" xfId="3696" xr:uid="{00000000-0005-0000-0000-000050020000}"/>
    <cellStyle name="20% - Accent4 3 5 2 2" xfId="7918" xr:uid="{00000000-0005-0000-0000-000051020000}"/>
    <cellStyle name="20% - Accent4 3 5 2 2 2" xfId="24034" xr:uid="{068CAE73-11E7-489B-8A9A-A46429B5D83C}"/>
    <cellStyle name="20% - Accent4 3 5 2 2 3" xfId="16413" xr:uid="{9F3AC7D8-3FF4-4E9D-AD53-11ADB1436147}"/>
    <cellStyle name="20% - Accent4 3 5 2 3" xfId="19821" xr:uid="{BA85F83E-6638-4392-A9D3-23B92368C33E}"/>
    <cellStyle name="20% - Accent4 3 5 2 4" xfId="12200" xr:uid="{E8527D52-A0D5-4240-ACE1-7EE6A0EE93D9}"/>
    <cellStyle name="20% - Accent4 3 5 3" xfId="5773" xr:uid="{00000000-0005-0000-0000-000052020000}"/>
    <cellStyle name="20% - Accent4 3 5 3 2" xfId="21889" xr:uid="{520E54A4-0659-4094-96B0-54164378201E}"/>
    <cellStyle name="20% - Accent4 3 5 3 3" xfId="14268" xr:uid="{DF1BF897-12DE-458F-A69F-3A523900BEF9}"/>
    <cellStyle name="20% - Accent4 3 5 4" xfId="17676" xr:uid="{6BD99793-A806-4C0A-8B82-36D61ADE96EF}"/>
    <cellStyle name="20% - Accent4 3 5 5" xfId="10055" xr:uid="{5B3B6A2D-70C0-4D48-8A3E-5CD2D295F743}"/>
    <cellStyle name="20% - Accent4 3 6" xfId="1880" xr:uid="{00000000-0005-0000-0000-000053020000}"/>
    <cellStyle name="20% - Accent4 3 6 2" xfId="4109" xr:uid="{00000000-0005-0000-0000-000054020000}"/>
    <cellStyle name="20% - Accent4 3 6 2 2" xfId="8331" xr:uid="{00000000-0005-0000-0000-000055020000}"/>
    <cellStyle name="20% - Accent4 3 6 2 2 2" xfId="24447" xr:uid="{0AD7E688-D529-4517-BE59-E9FDF79EB05E}"/>
    <cellStyle name="20% - Accent4 3 6 2 2 3" xfId="16826" xr:uid="{158DDF2E-A9CE-4DFC-8D9A-31C6A3633B91}"/>
    <cellStyle name="20% - Accent4 3 6 2 3" xfId="20234" xr:uid="{67F955B4-1FF0-4F04-A8C2-E8880DC9D158}"/>
    <cellStyle name="20% - Accent4 3 6 2 4" xfId="12613" xr:uid="{56AB5DB5-6632-412A-BAEA-85CEABBD5C7E}"/>
    <cellStyle name="20% - Accent4 3 6 3" xfId="6186" xr:uid="{00000000-0005-0000-0000-000056020000}"/>
    <cellStyle name="20% - Accent4 3 6 3 2" xfId="22302" xr:uid="{ABB29A42-E724-403F-B5D9-891E50F85716}"/>
    <cellStyle name="20% - Accent4 3 6 3 3" xfId="14681" xr:uid="{129BDB96-78C2-44DB-89FD-F075ECAF7D25}"/>
    <cellStyle name="20% - Accent4 3 6 4" xfId="18089" xr:uid="{F7076FA5-C368-4EFD-909F-BF32B21B32E3}"/>
    <cellStyle name="20% - Accent4 3 6 5" xfId="10468" xr:uid="{2C60D6AA-7CC8-4067-91AC-C768ED2FD248}"/>
    <cellStyle name="20% - Accent4 3 7" xfId="2293" xr:uid="{00000000-0005-0000-0000-000057020000}"/>
    <cellStyle name="20% - Accent4 3 7 2" xfId="6599" xr:uid="{00000000-0005-0000-0000-000058020000}"/>
    <cellStyle name="20% - Accent4 3 7 2 2" xfId="22715" xr:uid="{13D10FCA-A819-47EC-90B6-A16A4C3701F1}"/>
    <cellStyle name="20% - Accent4 3 7 2 3" xfId="15094" xr:uid="{88D63C69-A885-4C38-A552-B27CC9CE1848}"/>
    <cellStyle name="20% - Accent4 3 7 3" xfId="18502" xr:uid="{0D5710E1-5CC0-4749-A83D-3280D9F35CA6}"/>
    <cellStyle name="20% - Accent4 3 7 4" xfId="10881" xr:uid="{9C224D97-6659-4A61-B4FA-E4AD46D1FDFB}"/>
    <cellStyle name="20% - Accent4 3 8" xfId="4533" xr:uid="{00000000-0005-0000-0000-000059020000}"/>
    <cellStyle name="20% - Accent4 3 8 2" xfId="20650" xr:uid="{36723D64-BAF4-4B26-8D1B-CA1BE1BC32AF}"/>
    <cellStyle name="20% - Accent4 3 8 3" xfId="13029" xr:uid="{3DAAB625-C456-48A0-83BE-913C6CDF7A14}"/>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23210" xr:uid="{18738E6C-4C3B-4A4E-8590-DC0B7850CF70}"/>
    <cellStyle name="20% - Accent4 4 2 2 2 3" xfId="15589" xr:uid="{E4DF4068-1A48-41C1-87BF-A8966A8ACAD0}"/>
    <cellStyle name="20% - Accent4 4 2 2 3" xfId="18997" xr:uid="{60ECCCAE-1709-43B1-8B12-124E215B3DF6}"/>
    <cellStyle name="20% - Accent4 4 2 2 4" xfId="11376" xr:uid="{854B87F5-727B-4153-8FE0-E47E4B343185}"/>
    <cellStyle name="20% - Accent4 4 2 3" xfId="4949" xr:uid="{00000000-0005-0000-0000-00005E020000}"/>
    <cellStyle name="20% - Accent4 4 2 3 2" xfId="21065" xr:uid="{D8CF8A2E-950E-40F6-86C1-7E5CF4F903AE}"/>
    <cellStyle name="20% - Accent4 4 2 3 3" xfId="13444" xr:uid="{C7A61ACC-3992-4432-9DC6-440C3A430179}"/>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2 2 2" xfId="23623" xr:uid="{1FF04DD5-4ADE-463D-BE61-644B5C0C36D0}"/>
    <cellStyle name="20% - Accent4 4 3 2 2 3" xfId="16002" xr:uid="{C106CDC4-4F15-40BE-BD5E-F391680048D9}"/>
    <cellStyle name="20% - Accent4 4 3 2 3" xfId="19410" xr:uid="{0B7600C5-2E4F-4D85-B2EF-3D949C174ECA}"/>
    <cellStyle name="20% - Accent4 4 3 2 4" xfId="11789" xr:uid="{7733A1AF-B489-4C90-ABA9-0D3EE16B82C4}"/>
    <cellStyle name="20% - Accent4 4 3 3" xfId="5362" xr:uid="{00000000-0005-0000-0000-000062020000}"/>
    <cellStyle name="20% - Accent4 4 3 3 2" xfId="21478" xr:uid="{11E505B4-3705-4A81-8053-0B65AD89EE93}"/>
    <cellStyle name="20% - Accent4 4 3 3 3" xfId="13857" xr:uid="{C341392A-6841-4F47-BBD3-33D149BE52C9}"/>
    <cellStyle name="20% - Accent4 4 3 4" xfId="17265" xr:uid="{D91205A5-77F3-4DB0-AAFC-1FCBD17E3EAC}"/>
    <cellStyle name="20% - Accent4 4 3 5" xfId="9644" xr:uid="{1BA1FA70-4545-42AE-B140-E63E60D13A7F}"/>
    <cellStyle name="20% - Accent4 4 4" xfId="1468" xr:uid="{00000000-0005-0000-0000-000063020000}"/>
    <cellStyle name="20% - Accent4 4 4 2" xfId="3698" xr:uid="{00000000-0005-0000-0000-000064020000}"/>
    <cellStyle name="20% - Accent4 4 4 2 2" xfId="7920" xr:uid="{00000000-0005-0000-0000-000065020000}"/>
    <cellStyle name="20% - Accent4 4 4 2 2 2" xfId="24036" xr:uid="{E11AC8AC-11E2-49E3-B3A9-2EBB6D698396}"/>
    <cellStyle name="20% - Accent4 4 4 2 2 3" xfId="16415" xr:uid="{92BFD769-D3F5-4930-B5EC-27C96538AD30}"/>
    <cellStyle name="20% - Accent4 4 4 2 3" xfId="19823" xr:uid="{4D3D7112-640C-40EA-B4BF-AA8BB327D002}"/>
    <cellStyle name="20% - Accent4 4 4 2 4" xfId="12202" xr:uid="{32852A8C-49D3-4DBB-800C-1E0E2D913189}"/>
    <cellStyle name="20% - Accent4 4 4 3" xfId="5775" xr:uid="{00000000-0005-0000-0000-000066020000}"/>
    <cellStyle name="20% - Accent4 4 4 3 2" xfId="21891" xr:uid="{2A1E9439-F491-49B6-921C-E33716E47B14}"/>
    <cellStyle name="20% - Accent4 4 4 3 3" xfId="14270" xr:uid="{921E39E6-4B73-467D-B1AA-5A7915037DA3}"/>
    <cellStyle name="20% - Accent4 4 4 4" xfId="17678" xr:uid="{5D3E6448-E2FD-4649-B73D-8D221E9A3C12}"/>
    <cellStyle name="20% - Accent4 4 4 5" xfId="10057" xr:uid="{B3638A73-E316-4F94-8585-31E32AB5A02C}"/>
    <cellStyle name="20% - Accent4 4 5" xfId="1882" xr:uid="{00000000-0005-0000-0000-000067020000}"/>
    <cellStyle name="20% - Accent4 4 5 2" xfId="4111" xr:uid="{00000000-0005-0000-0000-000068020000}"/>
    <cellStyle name="20% - Accent4 4 5 2 2" xfId="8333" xr:uid="{00000000-0005-0000-0000-000069020000}"/>
    <cellStyle name="20% - Accent4 4 5 2 2 2" xfId="24449" xr:uid="{299B23DA-EC1E-4EBC-A3C0-9C364B2B66CE}"/>
    <cellStyle name="20% - Accent4 4 5 2 2 3" xfId="16828" xr:uid="{DFB33B0C-C600-4FF3-BA04-EA3244830A52}"/>
    <cellStyle name="20% - Accent4 4 5 2 3" xfId="20236" xr:uid="{6AEE3C9D-2BEE-40AA-9248-FA0DE229FC4D}"/>
    <cellStyle name="20% - Accent4 4 5 2 4" xfId="12615" xr:uid="{5FD24E60-E9EE-465F-B620-9563B27F5A9A}"/>
    <cellStyle name="20% - Accent4 4 5 3" xfId="6188" xr:uid="{00000000-0005-0000-0000-00006A020000}"/>
    <cellStyle name="20% - Accent4 4 5 3 2" xfId="22304" xr:uid="{072B4818-EB8C-4D6F-92F4-7EAF166C9CB1}"/>
    <cellStyle name="20% - Accent4 4 5 3 3" xfId="14683" xr:uid="{D795664A-B64C-4703-9C5E-9F33BFF12D00}"/>
    <cellStyle name="20% - Accent4 4 5 4" xfId="18091" xr:uid="{D660038E-F511-4129-8FCB-EF7F59E5645D}"/>
    <cellStyle name="20% - Accent4 4 5 5" xfId="10470" xr:uid="{23F39ABC-7967-4BBC-81E2-7F6701341FFD}"/>
    <cellStyle name="20% - Accent4 4 6" xfId="2295" xr:uid="{00000000-0005-0000-0000-00006B020000}"/>
    <cellStyle name="20% - Accent4 4 6 2" xfId="6601" xr:uid="{00000000-0005-0000-0000-00006C020000}"/>
    <cellStyle name="20% - Accent4 4 6 2 2" xfId="22717" xr:uid="{B290EE98-0483-47CF-A3B6-EE3BE4799A10}"/>
    <cellStyle name="20% - Accent4 4 6 2 3" xfId="15096" xr:uid="{90E006C2-D0C4-4961-A260-26C4A9DA35B6}"/>
    <cellStyle name="20% - Accent4 4 6 3" xfId="18504" xr:uid="{DB543784-41CC-45EB-8A3B-959461EA8DF2}"/>
    <cellStyle name="20% - Accent4 4 6 4" xfId="10883" xr:uid="{ECCA3AFF-38F5-4C3E-8229-C8439B4E9D59}"/>
    <cellStyle name="20% - Accent4 4 7" xfId="4535" xr:uid="{00000000-0005-0000-0000-00006D020000}"/>
    <cellStyle name="20% - Accent4 4 7 2" xfId="20652" xr:uid="{FD6B35A5-985C-4715-BB32-38510F887143}"/>
    <cellStyle name="20% - Accent4 4 7 3" xfId="13031" xr:uid="{637122A2-B0BD-4FE4-A1D0-4874B3184293}"/>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2 2 2" xfId="23203" xr:uid="{70B0E5E9-E7D6-4B77-B65C-8B5F51E5DDAE}"/>
    <cellStyle name="20% - Accent4 5 2 2 3" xfId="15582" xr:uid="{B84890F9-842B-4990-888D-C7287F9FCCF8}"/>
    <cellStyle name="20% - Accent4 5 2 3" xfId="18990" xr:uid="{3BEEA7B6-C713-4041-91B3-F6265A6E9BC5}"/>
    <cellStyle name="20% - Accent4 5 2 4" xfId="11369" xr:uid="{30DBC6CC-CFCC-4CAC-93BA-528B58318090}"/>
    <cellStyle name="20% - Accent4 5 3" xfId="4942" xr:uid="{00000000-0005-0000-0000-000071020000}"/>
    <cellStyle name="20% - Accent4 5 3 2" xfId="21058" xr:uid="{5431957A-7F11-41EE-AC98-69FD34DA3300}"/>
    <cellStyle name="20% - Accent4 5 3 3" xfId="13437" xr:uid="{C03D853A-7609-40EA-BEEE-1B10FA169B01}"/>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2 2 2" xfId="23616" xr:uid="{75CACBAB-0E94-4AEB-8FF7-FA77A781C3FB}"/>
    <cellStyle name="20% - Accent4 6 2 2 3" xfId="15995" xr:uid="{55E25C54-90E3-4D52-A496-D441A2231E93}"/>
    <cellStyle name="20% - Accent4 6 2 3" xfId="19403" xr:uid="{D2E9808C-6465-4A2A-9A03-22F171678E1E}"/>
    <cellStyle name="20% - Accent4 6 2 4" xfId="11782" xr:uid="{1C8FD9F8-F213-48E2-B89F-4A96C6766582}"/>
    <cellStyle name="20% - Accent4 6 3" xfId="5355" xr:uid="{00000000-0005-0000-0000-000075020000}"/>
    <cellStyle name="20% - Accent4 6 3 2" xfId="21471" xr:uid="{D5B73AEC-59FD-466D-B202-6F015C1F1D42}"/>
    <cellStyle name="20% - Accent4 6 3 3" xfId="13850" xr:uid="{364E14C4-75FC-43BE-83B2-768D9F042B26}"/>
    <cellStyle name="20% - Accent4 6 4" xfId="17258" xr:uid="{81F5CF69-AA49-4E59-9D6E-563776670B82}"/>
    <cellStyle name="20% - Accent4 6 5" xfId="9637" xr:uid="{2E2C25B2-9C02-4C60-9302-0B32C305E0B2}"/>
    <cellStyle name="20% - Accent4 7" xfId="1461" xr:uid="{00000000-0005-0000-0000-000076020000}"/>
    <cellStyle name="20% - Accent4 7 2" xfId="3691" xr:uid="{00000000-0005-0000-0000-000077020000}"/>
    <cellStyle name="20% - Accent4 7 2 2" xfId="7913" xr:uid="{00000000-0005-0000-0000-000078020000}"/>
    <cellStyle name="20% - Accent4 7 2 2 2" xfId="24029" xr:uid="{A693EB2B-F945-48DB-882B-F2C3CC2D1F49}"/>
    <cellStyle name="20% - Accent4 7 2 2 3" xfId="16408" xr:uid="{9F0CCDCD-32A7-416C-9204-8087116DB2F4}"/>
    <cellStyle name="20% - Accent4 7 2 3" xfId="19816" xr:uid="{AB609282-A0A2-40C1-BADC-A34E66D18A6C}"/>
    <cellStyle name="20% - Accent4 7 2 4" xfId="12195" xr:uid="{0EE2FD35-44DF-424A-B737-82D132AE7137}"/>
    <cellStyle name="20% - Accent4 7 3" xfId="5768" xr:uid="{00000000-0005-0000-0000-000079020000}"/>
    <cellStyle name="20% - Accent4 7 3 2" xfId="21884" xr:uid="{7CA99924-5E95-4408-B4F4-CB033E79E43B}"/>
    <cellStyle name="20% - Accent4 7 3 3" xfId="14263" xr:uid="{12620EFB-43A5-4D98-A409-6DFDFCD6CFEA}"/>
    <cellStyle name="20% - Accent4 7 4" xfId="17671" xr:uid="{2BE8333F-94FD-44FE-B415-0873FCEBCD32}"/>
    <cellStyle name="20% - Accent4 7 5" xfId="10050" xr:uid="{83AA7BA3-9AB9-4A68-A4A9-18A4747756B6}"/>
    <cellStyle name="20% - Accent4 8" xfId="1875" xr:uid="{00000000-0005-0000-0000-00007A020000}"/>
    <cellStyle name="20% - Accent4 8 2" xfId="4104" xr:uid="{00000000-0005-0000-0000-00007B020000}"/>
    <cellStyle name="20% - Accent4 8 2 2" xfId="8326" xr:uid="{00000000-0005-0000-0000-00007C020000}"/>
    <cellStyle name="20% - Accent4 8 2 2 2" xfId="24442" xr:uid="{D6E7269E-4B2B-455A-89AF-3D34AA897E06}"/>
    <cellStyle name="20% - Accent4 8 2 2 3" xfId="16821" xr:uid="{FD2B38F3-89BB-4D44-9E2C-832E1518FFC2}"/>
    <cellStyle name="20% - Accent4 8 2 3" xfId="20229" xr:uid="{EBC1AA92-D874-4343-87C3-5DACCE35112F}"/>
    <cellStyle name="20% - Accent4 8 2 4" xfId="12608" xr:uid="{C8E99E13-9CEE-43B7-9871-FE45EF32DECB}"/>
    <cellStyle name="20% - Accent4 8 3" xfId="6181" xr:uid="{00000000-0005-0000-0000-00007D020000}"/>
    <cellStyle name="20% - Accent4 8 3 2" xfId="22297" xr:uid="{EAF651C2-ACF8-4F3F-9234-4150AC6CB028}"/>
    <cellStyle name="20% - Accent4 8 3 3" xfId="14676" xr:uid="{CC51F61C-EF66-4FF8-97FF-7225FF771721}"/>
    <cellStyle name="20% - Accent4 8 4" xfId="18084" xr:uid="{628DBE19-3B7E-4439-982E-AAEABE4FB711}"/>
    <cellStyle name="20% - Accent4 8 5" xfId="10463" xr:uid="{B8EDE1C0-5C15-4296-9738-2993D6100653}"/>
    <cellStyle name="20% - Accent4 9" xfId="2288" xr:uid="{00000000-0005-0000-0000-00007E020000}"/>
    <cellStyle name="20% - Accent4 9 2" xfId="6594" xr:uid="{00000000-0005-0000-0000-00007F020000}"/>
    <cellStyle name="20% - Accent4 9 2 2" xfId="22710" xr:uid="{76876351-D625-44D2-A3B1-3093AD7A7AB2}"/>
    <cellStyle name="20% - Accent4 9 2 3" xfId="15089" xr:uid="{0FCE6780-DE87-40AA-B52F-A234C05D1FEF}"/>
    <cellStyle name="20% - Accent4 9 3" xfId="18497" xr:uid="{16B21FE9-F892-4FA3-8631-434B79816DC4}"/>
    <cellStyle name="20% - Accent4 9 4" xfId="10876" xr:uid="{957CF09C-20EB-4745-8D30-C823D605D9F5}"/>
    <cellStyle name="20% - Accent5" xfId="33" builtinId="46" customBuiltin="1"/>
    <cellStyle name="20% - Accent5 10" xfId="4536" xr:uid="{00000000-0005-0000-0000-000081020000}"/>
    <cellStyle name="20% - Accent5 10 2" xfId="20653" xr:uid="{BD3017D6-A0AB-4D23-9D6F-BA670A56B327}"/>
    <cellStyle name="20% - Accent5 10 3" xfId="13032" xr:uid="{D24C5710-D0CA-4A70-B006-8C62973DB10B}"/>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23214" xr:uid="{F276EDCE-0FC5-456E-BE68-E96861DFCF81}"/>
    <cellStyle name="20% - Accent5 2 2 2 2 2 2 3" xfId="15593" xr:uid="{1CBFC26E-D21E-4382-9856-FA8778C6E379}"/>
    <cellStyle name="20% - Accent5 2 2 2 2 2 3" xfId="19001" xr:uid="{EE5092A7-A628-46CB-AD09-DAD21E83F38C}"/>
    <cellStyle name="20% - Accent5 2 2 2 2 2 4" xfId="11380" xr:uid="{4B9A1E0C-2D06-40B9-B37C-A9DFA825C96D}"/>
    <cellStyle name="20% - Accent5 2 2 2 2 3" xfId="4953" xr:uid="{00000000-0005-0000-0000-000088020000}"/>
    <cellStyle name="20% - Accent5 2 2 2 2 3 2" xfId="21069" xr:uid="{85DB5F5C-D3EC-4346-B335-DCEFE168A90B}"/>
    <cellStyle name="20% - Accent5 2 2 2 2 3 3" xfId="13448" xr:uid="{14BD11A6-7B56-4F50-A6C4-0A2635361016}"/>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23627" xr:uid="{A0E149CA-ED91-4CA9-9781-CC1F91D74501}"/>
    <cellStyle name="20% - Accent5 2 2 2 3 2 2 3" xfId="16006" xr:uid="{048FFA64-5833-451C-9F82-9E354573B66E}"/>
    <cellStyle name="20% - Accent5 2 2 2 3 2 3" xfId="19414" xr:uid="{2C63BF0D-27A7-4A5D-A3FE-2B7BCD222231}"/>
    <cellStyle name="20% - Accent5 2 2 2 3 2 4" xfId="11793" xr:uid="{D32A21F8-4673-429D-A08C-D85FCFD789C7}"/>
    <cellStyle name="20% - Accent5 2 2 2 3 3" xfId="5366" xr:uid="{00000000-0005-0000-0000-00008C020000}"/>
    <cellStyle name="20% - Accent5 2 2 2 3 3 2" xfId="21482" xr:uid="{32F6D06E-27EC-4AE8-98DF-4B241C8AAD52}"/>
    <cellStyle name="20% - Accent5 2 2 2 3 3 3" xfId="13861" xr:uid="{87CA7CF4-5B4C-4429-8D3C-C9A5C648CFE1}"/>
    <cellStyle name="20% - Accent5 2 2 2 3 4" xfId="17269" xr:uid="{8E4F2E32-4E0B-4016-8793-BF8170C96577}"/>
    <cellStyle name="20% - Accent5 2 2 2 3 5" xfId="9648" xr:uid="{DFCEF74D-AF38-40B6-9653-A91B3C4F61EF}"/>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24040" xr:uid="{CB852146-D034-49A3-B7F6-5563B70C5D67}"/>
    <cellStyle name="20% - Accent5 2 2 2 4 2 2 3" xfId="16419" xr:uid="{DF708FD1-F1B5-4A40-AA23-FE42BF9FDDD0}"/>
    <cellStyle name="20% - Accent5 2 2 2 4 2 3" xfId="19827" xr:uid="{E4B2177A-0C7B-4E6F-AF81-C114D6B3FFB5}"/>
    <cellStyle name="20% - Accent5 2 2 2 4 2 4" xfId="12206" xr:uid="{919ACC29-37ED-4321-ABEF-98078C4D83B3}"/>
    <cellStyle name="20% - Accent5 2 2 2 4 3" xfId="5779" xr:uid="{00000000-0005-0000-0000-000090020000}"/>
    <cellStyle name="20% - Accent5 2 2 2 4 3 2" xfId="21895" xr:uid="{B4D6DEE4-1106-429A-90E7-7383FE8DA25D}"/>
    <cellStyle name="20% - Accent5 2 2 2 4 3 3" xfId="14274" xr:uid="{D2E2418D-C012-420F-BDCE-B8DBBFBAF9ED}"/>
    <cellStyle name="20% - Accent5 2 2 2 4 4" xfId="17682" xr:uid="{810E5631-268D-430B-AE1B-3C67A5619C30}"/>
    <cellStyle name="20% - Accent5 2 2 2 4 5" xfId="10061" xr:uid="{1B78FD56-A369-4FDC-A3E4-4432C0CE5816}"/>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24453" xr:uid="{42380ECC-011F-48CD-8425-CB6116E3A087}"/>
    <cellStyle name="20% - Accent5 2 2 2 5 2 2 3" xfId="16832" xr:uid="{4CABFCFA-B58C-48B7-8963-BC48F8317B22}"/>
    <cellStyle name="20% - Accent5 2 2 2 5 2 3" xfId="20240" xr:uid="{79FF2F04-63C6-4233-9BD2-FF90E439953C}"/>
    <cellStyle name="20% - Accent5 2 2 2 5 2 4" xfId="12619" xr:uid="{2FA3D301-9C88-4F54-82E0-1FE864F8BD99}"/>
    <cellStyle name="20% - Accent5 2 2 2 5 3" xfId="6192" xr:uid="{00000000-0005-0000-0000-000094020000}"/>
    <cellStyle name="20% - Accent5 2 2 2 5 3 2" xfId="22308" xr:uid="{642090DA-003E-4B5E-A5B9-4F36D63A36F4}"/>
    <cellStyle name="20% - Accent5 2 2 2 5 3 3" xfId="14687" xr:uid="{5DD04CAC-5911-4379-9C5F-77458AF1050A}"/>
    <cellStyle name="20% - Accent5 2 2 2 5 4" xfId="18095" xr:uid="{50723C7A-0353-4D26-9BF8-8AE8ECC9063A}"/>
    <cellStyle name="20% - Accent5 2 2 2 5 5" xfId="10474" xr:uid="{7B8BFB06-3DB2-46EF-B41C-C5F54A130C44}"/>
    <cellStyle name="20% - Accent5 2 2 2 6" xfId="2299" xr:uid="{00000000-0005-0000-0000-000095020000}"/>
    <cellStyle name="20% - Accent5 2 2 2 6 2" xfId="6605" xr:uid="{00000000-0005-0000-0000-000096020000}"/>
    <cellStyle name="20% - Accent5 2 2 2 6 2 2" xfId="22721" xr:uid="{A29131AF-DF92-43C5-81EC-46B757E83DD6}"/>
    <cellStyle name="20% - Accent5 2 2 2 6 2 3" xfId="15100" xr:uid="{976B241E-16CF-4CC5-92A5-287DCBAB0C53}"/>
    <cellStyle name="20% - Accent5 2 2 2 6 3" xfId="18508" xr:uid="{7D3D13C3-89C8-46D4-AB11-F404F90B6F64}"/>
    <cellStyle name="20% - Accent5 2 2 2 6 4" xfId="10887" xr:uid="{34437217-D635-44CE-A28D-B99D01A88F5F}"/>
    <cellStyle name="20% - Accent5 2 2 2 7" xfId="4539" xr:uid="{00000000-0005-0000-0000-000097020000}"/>
    <cellStyle name="20% - Accent5 2 2 2 7 2" xfId="20656" xr:uid="{0EE209A0-F018-42E2-A3B4-AD27AE46FAF3}"/>
    <cellStyle name="20% - Accent5 2 2 2 7 3" xfId="13035" xr:uid="{7DA2402A-6B08-4FBF-AFFD-8DA3716125D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23213" xr:uid="{5D9EB2F7-27A5-47D4-B593-A3DBAC92A8A9}"/>
    <cellStyle name="20% - Accent5 2 2 3 2 2 3" xfId="15592" xr:uid="{5A538F24-116D-495B-B5D7-EFF3ECC960E2}"/>
    <cellStyle name="20% - Accent5 2 2 3 2 3" xfId="19000" xr:uid="{9ECEF55B-10F2-4147-8ADA-DC67A093882A}"/>
    <cellStyle name="20% - Accent5 2 2 3 2 4" xfId="11379" xr:uid="{B4633F56-46AA-4E24-9315-056C645126A3}"/>
    <cellStyle name="20% - Accent5 2 2 3 3" xfId="4952" xr:uid="{00000000-0005-0000-0000-00009B020000}"/>
    <cellStyle name="20% - Accent5 2 2 3 3 2" xfId="21068" xr:uid="{821F0C83-0015-4089-9E4F-6EBDF55A48F1}"/>
    <cellStyle name="20% - Accent5 2 2 3 3 3" xfId="13447" xr:uid="{8304B1CA-DB1D-4069-9D4D-D3C101BB0408}"/>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23626" xr:uid="{000B2F47-8E33-446A-8B78-CC09B80F030B}"/>
    <cellStyle name="20% - Accent5 2 2 4 2 2 3" xfId="16005" xr:uid="{8F61D4E1-944F-4296-BD5F-C2DE74B181E3}"/>
    <cellStyle name="20% - Accent5 2 2 4 2 3" xfId="19413" xr:uid="{ADCFA73B-C141-4450-AD1C-871BF1FEB55B}"/>
    <cellStyle name="20% - Accent5 2 2 4 2 4" xfId="11792" xr:uid="{A85B58FF-E622-4B13-BC04-2E53C3787703}"/>
    <cellStyle name="20% - Accent5 2 2 4 3" xfId="5365" xr:uid="{00000000-0005-0000-0000-00009F020000}"/>
    <cellStyle name="20% - Accent5 2 2 4 3 2" xfId="21481" xr:uid="{A70A08BF-8094-4607-A4D2-50DDEDF5DFC3}"/>
    <cellStyle name="20% - Accent5 2 2 4 3 3" xfId="13860" xr:uid="{C2FB350A-2F66-45FA-9837-86DC68B9B72D}"/>
    <cellStyle name="20% - Accent5 2 2 4 4" xfId="17268" xr:uid="{A4554E82-44C4-40A9-B88F-6377A54BDFA9}"/>
    <cellStyle name="20% - Accent5 2 2 4 5" xfId="9647" xr:uid="{ED20BF9C-3C84-48BC-8C8D-8A56DFF37774}"/>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24039" xr:uid="{572487CD-9829-41B4-9018-01B77C0A4EF3}"/>
    <cellStyle name="20% - Accent5 2 2 5 2 2 3" xfId="16418" xr:uid="{1E88841E-88F4-4F34-A9CB-933E8A4ECBD6}"/>
    <cellStyle name="20% - Accent5 2 2 5 2 3" xfId="19826" xr:uid="{0D4FC889-F6D3-4F9A-9C9A-792227075FE4}"/>
    <cellStyle name="20% - Accent5 2 2 5 2 4" xfId="12205" xr:uid="{5058685A-2ECE-4D95-8DBA-81C738236FD2}"/>
    <cellStyle name="20% - Accent5 2 2 5 3" xfId="5778" xr:uid="{00000000-0005-0000-0000-0000A3020000}"/>
    <cellStyle name="20% - Accent5 2 2 5 3 2" xfId="21894" xr:uid="{8257DAA5-A199-4E74-947A-9E0CAF6B80A9}"/>
    <cellStyle name="20% - Accent5 2 2 5 3 3" xfId="14273" xr:uid="{2001973D-5513-4897-9590-2699AD48BB9F}"/>
    <cellStyle name="20% - Accent5 2 2 5 4" xfId="17681" xr:uid="{844F309E-5AF2-461B-B3DE-B41ACCEE6E39}"/>
    <cellStyle name="20% - Accent5 2 2 5 5" xfId="10060" xr:uid="{EA0DDE24-7771-4583-B77C-B4E46E78D891}"/>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24452" xr:uid="{E8227453-D68B-4EB3-BAC9-4AD8B21B173D}"/>
    <cellStyle name="20% - Accent5 2 2 6 2 2 3" xfId="16831" xr:uid="{FEF95A55-A45E-4377-BDE2-7C324BBDDC03}"/>
    <cellStyle name="20% - Accent5 2 2 6 2 3" xfId="20239" xr:uid="{2FB86E2B-7EF5-4B36-8B03-1EC7E82F757D}"/>
    <cellStyle name="20% - Accent5 2 2 6 2 4" xfId="12618" xr:uid="{D167EDB2-1E46-45BE-90BF-224A44DA317D}"/>
    <cellStyle name="20% - Accent5 2 2 6 3" xfId="6191" xr:uid="{00000000-0005-0000-0000-0000A7020000}"/>
    <cellStyle name="20% - Accent5 2 2 6 3 2" xfId="22307" xr:uid="{BC2484A0-073C-49CB-B63F-123914BEA5AF}"/>
    <cellStyle name="20% - Accent5 2 2 6 3 3" xfId="14686" xr:uid="{EC9CA5D9-DAD0-4A00-8C08-100DC938BF69}"/>
    <cellStyle name="20% - Accent5 2 2 6 4" xfId="18094" xr:uid="{B74E3827-D54B-4F68-8097-BED1941EFCD7}"/>
    <cellStyle name="20% - Accent5 2 2 6 5" xfId="10473" xr:uid="{20827216-30F4-43D8-B54C-43CCA32E362F}"/>
    <cellStyle name="20% - Accent5 2 2 7" xfId="2298" xr:uid="{00000000-0005-0000-0000-0000A8020000}"/>
    <cellStyle name="20% - Accent5 2 2 7 2" xfId="6604" xr:uid="{00000000-0005-0000-0000-0000A9020000}"/>
    <cellStyle name="20% - Accent5 2 2 7 2 2" xfId="22720" xr:uid="{EE13C808-B999-4D68-B31A-B8FCDACF4541}"/>
    <cellStyle name="20% - Accent5 2 2 7 2 3" xfId="15099" xr:uid="{66279F4C-A6F1-4340-9223-03677C76A3E6}"/>
    <cellStyle name="20% - Accent5 2 2 7 3" xfId="18507" xr:uid="{AC7315A0-E576-4A8D-9760-6CFF0DBA088B}"/>
    <cellStyle name="20% - Accent5 2 2 7 4" xfId="10886" xr:uid="{35759951-8F33-4E80-A2B4-C5514D6AEA55}"/>
    <cellStyle name="20% - Accent5 2 2 8" xfId="4538" xr:uid="{00000000-0005-0000-0000-0000AA020000}"/>
    <cellStyle name="20% - Accent5 2 2 8 2" xfId="20655" xr:uid="{BF4507A3-9C17-4891-8405-5444B7BBC549}"/>
    <cellStyle name="20% - Accent5 2 2 8 3" xfId="13034" xr:uid="{DDEC6A32-84A4-4F68-8C83-EFF3D65F7765}"/>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23215" xr:uid="{9BA37E3D-3542-4837-B521-C6B7E7B78D4A}"/>
    <cellStyle name="20% - Accent5 2 3 2 2 2 3" xfId="15594" xr:uid="{B4C23EED-CA01-4583-9F85-5DF7F00988CF}"/>
    <cellStyle name="20% - Accent5 2 3 2 2 3" xfId="19002" xr:uid="{7552BFDC-9DB5-4AA4-88EE-3B5103B7A5DC}"/>
    <cellStyle name="20% - Accent5 2 3 2 2 4" xfId="11381" xr:uid="{DD698C4E-F29C-46B4-A9E3-9CC62AE146D3}"/>
    <cellStyle name="20% - Accent5 2 3 2 3" xfId="4954" xr:uid="{00000000-0005-0000-0000-0000AF020000}"/>
    <cellStyle name="20% - Accent5 2 3 2 3 2" xfId="21070" xr:uid="{AC11E0CF-5CA8-43CF-A796-95D91AF1DE4D}"/>
    <cellStyle name="20% - Accent5 2 3 2 3 3" xfId="13449" xr:uid="{A32D6619-D80E-45A9-BCB7-1355804C701D}"/>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23628" xr:uid="{DC39F535-4394-4DEF-8A72-E253CB059D65}"/>
    <cellStyle name="20% - Accent5 2 3 3 2 2 3" xfId="16007" xr:uid="{DA95ACC3-AFD5-4574-819E-4E6DBF6492C0}"/>
    <cellStyle name="20% - Accent5 2 3 3 2 3" xfId="19415" xr:uid="{34212387-5FF1-41B7-9E83-1A91F3440A86}"/>
    <cellStyle name="20% - Accent5 2 3 3 2 4" xfId="11794" xr:uid="{E8451F8C-185C-4282-A297-147E56460FD8}"/>
    <cellStyle name="20% - Accent5 2 3 3 3" xfId="5367" xr:uid="{00000000-0005-0000-0000-0000B3020000}"/>
    <cellStyle name="20% - Accent5 2 3 3 3 2" xfId="21483" xr:uid="{044BADCA-461A-41D5-9B4E-A1BE4E93ED06}"/>
    <cellStyle name="20% - Accent5 2 3 3 3 3" xfId="13862" xr:uid="{C4B9417E-B85A-4B27-95A8-0B3D5CBA5F95}"/>
    <cellStyle name="20% - Accent5 2 3 3 4" xfId="17270" xr:uid="{6FEE2233-E3AD-4868-BB72-8D4960C06EAB}"/>
    <cellStyle name="20% - Accent5 2 3 3 5" xfId="9649" xr:uid="{67D3230B-4ADD-40D7-9D22-B7EDB4403FD4}"/>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24041" xr:uid="{A0E7F1EB-A7E6-407D-8D9E-823ABE4C2365}"/>
    <cellStyle name="20% - Accent5 2 3 4 2 2 3" xfId="16420" xr:uid="{E54173C5-762A-4C8D-BB46-D0C265175D15}"/>
    <cellStyle name="20% - Accent5 2 3 4 2 3" xfId="19828" xr:uid="{A0D3C933-7C07-416F-A8FA-406F364F2A9B}"/>
    <cellStyle name="20% - Accent5 2 3 4 2 4" xfId="12207" xr:uid="{5623EB3D-1A23-44C5-95D8-8260317CAB77}"/>
    <cellStyle name="20% - Accent5 2 3 4 3" xfId="5780" xr:uid="{00000000-0005-0000-0000-0000B7020000}"/>
    <cellStyle name="20% - Accent5 2 3 4 3 2" xfId="21896" xr:uid="{BFF9649B-4214-4D86-BA47-E68FA30DDA65}"/>
    <cellStyle name="20% - Accent5 2 3 4 3 3" xfId="14275" xr:uid="{08058076-D862-45DB-85DB-B110669FF5EE}"/>
    <cellStyle name="20% - Accent5 2 3 4 4" xfId="17683" xr:uid="{4555FA4A-80E0-430F-9AFA-79282C8746D7}"/>
    <cellStyle name="20% - Accent5 2 3 4 5" xfId="10062" xr:uid="{E9C94592-2E26-4435-8EB8-FFF3A8E435D6}"/>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24454" xr:uid="{EB05BB38-C922-4424-8954-B864C086A514}"/>
    <cellStyle name="20% - Accent5 2 3 5 2 2 3" xfId="16833" xr:uid="{1BDDCCA6-4D6E-4AC5-91EC-B43A728408EB}"/>
    <cellStyle name="20% - Accent5 2 3 5 2 3" xfId="20241" xr:uid="{834859FA-B4F7-4B7A-B5C8-D182C3CE12E2}"/>
    <cellStyle name="20% - Accent5 2 3 5 2 4" xfId="12620" xr:uid="{9E0D4962-171B-4327-99C8-A1A0D3DABF17}"/>
    <cellStyle name="20% - Accent5 2 3 5 3" xfId="6193" xr:uid="{00000000-0005-0000-0000-0000BB020000}"/>
    <cellStyle name="20% - Accent5 2 3 5 3 2" xfId="22309" xr:uid="{9018AF20-89D6-4B8E-87AB-15877BE44260}"/>
    <cellStyle name="20% - Accent5 2 3 5 3 3" xfId="14688" xr:uid="{B1E27F4C-83D8-43D3-B92C-45958171B691}"/>
    <cellStyle name="20% - Accent5 2 3 5 4" xfId="18096" xr:uid="{679DD9A3-8747-45C8-BF72-DF01A35A8CF0}"/>
    <cellStyle name="20% - Accent5 2 3 5 5" xfId="10475" xr:uid="{524E2088-16ED-4BB3-AC67-9025081AB636}"/>
    <cellStyle name="20% - Accent5 2 3 6" xfId="2300" xr:uid="{00000000-0005-0000-0000-0000BC020000}"/>
    <cellStyle name="20% - Accent5 2 3 6 2" xfId="6606" xr:uid="{00000000-0005-0000-0000-0000BD020000}"/>
    <cellStyle name="20% - Accent5 2 3 6 2 2" xfId="22722" xr:uid="{05C1509F-C712-4345-A036-9BEC70FE6223}"/>
    <cellStyle name="20% - Accent5 2 3 6 2 3" xfId="15101" xr:uid="{5467508B-EFCE-4897-8DE4-17389BD56867}"/>
    <cellStyle name="20% - Accent5 2 3 6 3" xfId="18509" xr:uid="{AFC82E41-8208-4BF7-A2C4-7CC461E4405D}"/>
    <cellStyle name="20% - Accent5 2 3 6 4" xfId="10888" xr:uid="{23F20EA1-E0D9-42FD-8FEE-EDC0959384EF}"/>
    <cellStyle name="20% - Accent5 2 3 7" xfId="4540" xr:uid="{00000000-0005-0000-0000-0000BE020000}"/>
    <cellStyle name="20% - Accent5 2 3 7 2" xfId="20657" xr:uid="{E7605895-5FA7-4E41-A801-F76A0F2D75B2}"/>
    <cellStyle name="20% - Accent5 2 3 7 3" xfId="13036" xr:uid="{EC4E356F-FF85-4AA8-8E5F-AC3737F497C3}"/>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2 2 2" xfId="23212" xr:uid="{5A4BD17F-4871-4BAE-8269-F8EF7DBBC086}"/>
    <cellStyle name="20% - Accent5 2 4 2 2 3" xfId="15591" xr:uid="{F0115B1F-0D6D-4812-A583-4A98EAF6B46F}"/>
    <cellStyle name="20% - Accent5 2 4 2 3" xfId="18999" xr:uid="{AEF2D5F6-93E9-4641-B758-EC5305435999}"/>
    <cellStyle name="20% - Accent5 2 4 2 4" xfId="11378" xr:uid="{5A23C9D7-2ADE-4E2A-8801-38D9EC721376}"/>
    <cellStyle name="20% - Accent5 2 4 3" xfId="4951" xr:uid="{00000000-0005-0000-0000-0000C2020000}"/>
    <cellStyle name="20% - Accent5 2 4 3 2" xfId="21067" xr:uid="{D2A9DC45-6141-440A-B36F-3A48EADCD2D8}"/>
    <cellStyle name="20% - Accent5 2 4 3 3" xfId="13446" xr:uid="{A21B85B5-62BF-4921-99DC-DEA4A889298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2 2 2" xfId="23625" xr:uid="{19686038-836F-4A58-AAEB-0394E16E6042}"/>
    <cellStyle name="20% - Accent5 2 5 2 2 3" xfId="16004" xr:uid="{51518EA5-5D7C-4AC2-A8A9-C0D55A94F617}"/>
    <cellStyle name="20% - Accent5 2 5 2 3" xfId="19412" xr:uid="{10C82330-C737-4982-9E70-5C561758E8F3}"/>
    <cellStyle name="20% - Accent5 2 5 2 4" xfId="11791" xr:uid="{811AEBDD-B859-4EA5-B40B-BD9E04867F9D}"/>
    <cellStyle name="20% - Accent5 2 5 3" xfId="5364" xr:uid="{00000000-0005-0000-0000-0000C6020000}"/>
    <cellStyle name="20% - Accent5 2 5 3 2" xfId="21480" xr:uid="{B42922B9-9A3C-4484-9ADB-33C458BB36A8}"/>
    <cellStyle name="20% - Accent5 2 5 3 3" xfId="13859" xr:uid="{D3E7C5CB-660B-4630-A991-B87F91C0E4A1}"/>
    <cellStyle name="20% - Accent5 2 5 4" xfId="17267" xr:uid="{4AF0BF61-B912-4283-A962-9CDD16FFF069}"/>
    <cellStyle name="20% - Accent5 2 5 5" xfId="9646" xr:uid="{53C4A637-AB8F-4B80-9870-3A9DC267B6E0}"/>
    <cellStyle name="20% - Accent5 2 6" xfId="1470" xr:uid="{00000000-0005-0000-0000-0000C7020000}"/>
    <cellStyle name="20% - Accent5 2 6 2" xfId="3700" xr:uid="{00000000-0005-0000-0000-0000C8020000}"/>
    <cellStyle name="20% - Accent5 2 6 2 2" xfId="7922" xr:uid="{00000000-0005-0000-0000-0000C9020000}"/>
    <cellStyle name="20% - Accent5 2 6 2 2 2" xfId="24038" xr:uid="{5845FA4B-B9CD-4BC6-B40A-95642891C2B2}"/>
    <cellStyle name="20% - Accent5 2 6 2 2 3" xfId="16417" xr:uid="{E072F484-A6FD-4A76-9A06-1797C59A692D}"/>
    <cellStyle name="20% - Accent5 2 6 2 3" xfId="19825" xr:uid="{2A8E5413-75AA-4780-8446-3DF8809CCB1C}"/>
    <cellStyle name="20% - Accent5 2 6 2 4" xfId="12204" xr:uid="{BA5F44D2-F2F1-4683-A909-0B772C40F80E}"/>
    <cellStyle name="20% - Accent5 2 6 3" xfId="5777" xr:uid="{00000000-0005-0000-0000-0000CA020000}"/>
    <cellStyle name="20% - Accent5 2 6 3 2" xfId="21893" xr:uid="{E75080E5-9EEE-4E6D-877C-75C342F34041}"/>
    <cellStyle name="20% - Accent5 2 6 3 3" xfId="14272" xr:uid="{FCE062C4-A681-4CB4-8DCF-C26516DB619F}"/>
    <cellStyle name="20% - Accent5 2 6 4" xfId="17680" xr:uid="{40A62C4C-D601-4D75-94DE-6B12578A1DD5}"/>
    <cellStyle name="20% - Accent5 2 6 5" xfId="10059" xr:uid="{9BA2048D-FEDA-4552-A0D8-BF796D55097A}"/>
    <cellStyle name="20% - Accent5 2 7" xfId="1884" xr:uid="{00000000-0005-0000-0000-0000CB020000}"/>
    <cellStyle name="20% - Accent5 2 7 2" xfId="4113" xr:uid="{00000000-0005-0000-0000-0000CC020000}"/>
    <cellStyle name="20% - Accent5 2 7 2 2" xfId="8335" xr:uid="{00000000-0005-0000-0000-0000CD020000}"/>
    <cellStyle name="20% - Accent5 2 7 2 2 2" xfId="24451" xr:uid="{DEB627E2-F243-4E92-A35A-6D6682E99E08}"/>
    <cellStyle name="20% - Accent5 2 7 2 2 3" xfId="16830" xr:uid="{AD2E2A48-F40F-4A1B-95CA-DB898CE25A79}"/>
    <cellStyle name="20% - Accent5 2 7 2 3" xfId="20238" xr:uid="{2F7C2D4A-3B65-435A-A47E-3AED6F2213CD}"/>
    <cellStyle name="20% - Accent5 2 7 2 4" xfId="12617" xr:uid="{72BBB199-82BE-4798-9D07-2F466D4BAF7B}"/>
    <cellStyle name="20% - Accent5 2 7 3" xfId="6190" xr:uid="{00000000-0005-0000-0000-0000CE020000}"/>
    <cellStyle name="20% - Accent5 2 7 3 2" xfId="22306" xr:uid="{BDA8B1CB-F5FA-4013-BA92-7703248BA801}"/>
    <cellStyle name="20% - Accent5 2 7 3 3" xfId="14685" xr:uid="{BF1124DA-1054-43CB-89DC-C08B01CDF4C6}"/>
    <cellStyle name="20% - Accent5 2 7 4" xfId="18093" xr:uid="{FA449DA4-7A85-4F1B-B441-44AF5F90C581}"/>
    <cellStyle name="20% - Accent5 2 7 5" xfId="10472" xr:uid="{D31F6A39-1DD8-4CFB-AF10-61BD02B3A6D5}"/>
    <cellStyle name="20% - Accent5 2 8" xfId="2297" xr:uid="{00000000-0005-0000-0000-0000CF020000}"/>
    <cellStyle name="20% - Accent5 2 8 2" xfId="6603" xr:uid="{00000000-0005-0000-0000-0000D0020000}"/>
    <cellStyle name="20% - Accent5 2 8 2 2" xfId="22719" xr:uid="{35D0F767-D575-4FE5-8553-CBCF8ABF9153}"/>
    <cellStyle name="20% - Accent5 2 8 2 3" xfId="15098" xr:uid="{E0A78495-A4AF-4D58-A2DA-6CD1B7C9666C}"/>
    <cellStyle name="20% - Accent5 2 8 3" xfId="18506" xr:uid="{CB9E260C-3490-4DAC-A441-8A0D7FB44C29}"/>
    <cellStyle name="20% - Accent5 2 8 4" xfId="10885" xr:uid="{62D2F283-FEAB-4ADF-97A0-9C948C975E7D}"/>
    <cellStyle name="20% - Accent5 2 9" xfId="4537" xr:uid="{00000000-0005-0000-0000-0000D1020000}"/>
    <cellStyle name="20% - Accent5 2 9 2" xfId="20654" xr:uid="{F0D22FE3-F9F8-4030-A1EE-1ED9AFA556A9}"/>
    <cellStyle name="20% - Accent5 2 9 3" xfId="13033" xr:uid="{2024A99B-0801-4FA3-8F56-2C17C18F6F03}"/>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23217" xr:uid="{EBAAADA3-0E92-4BA6-BCC2-04AC4DD3F43B}"/>
    <cellStyle name="20% - Accent5 3 2 2 2 2 3" xfId="15596" xr:uid="{96A3976D-43EF-460F-9C6C-6EF54C380439}"/>
    <cellStyle name="20% - Accent5 3 2 2 2 3" xfId="19004" xr:uid="{E8F463EF-FE27-4D34-8108-92B12684C9F7}"/>
    <cellStyle name="20% - Accent5 3 2 2 2 4" xfId="11383" xr:uid="{D03E4512-F188-4E31-8FF7-272D1244D940}"/>
    <cellStyle name="20% - Accent5 3 2 2 3" xfId="4956" xr:uid="{00000000-0005-0000-0000-0000D7020000}"/>
    <cellStyle name="20% - Accent5 3 2 2 3 2" xfId="21072" xr:uid="{DDE9DC5F-5DFA-4EF6-97DC-1279053329BD}"/>
    <cellStyle name="20% - Accent5 3 2 2 3 3" xfId="13451" xr:uid="{C3A0ADC0-8BDB-4945-B505-1274BCC7FDA7}"/>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23630" xr:uid="{E5476810-FA14-425F-8EEE-CCAA43B07F01}"/>
    <cellStyle name="20% - Accent5 3 2 3 2 2 3" xfId="16009" xr:uid="{798F47AE-4BDB-41A4-8C09-AD80204668C8}"/>
    <cellStyle name="20% - Accent5 3 2 3 2 3" xfId="19417" xr:uid="{66C05BFB-C73F-415E-9C36-CE4654C0B864}"/>
    <cellStyle name="20% - Accent5 3 2 3 2 4" xfId="11796" xr:uid="{3E58B95C-B0D6-49B2-829D-42E845D68524}"/>
    <cellStyle name="20% - Accent5 3 2 3 3" xfId="5369" xr:uid="{00000000-0005-0000-0000-0000DB020000}"/>
    <cellStyle name="20% - Accent5 3 2 3 3 2" xfId="21485" xr:uid="{7A95D4C7-236C-45EA-9CDC-4C9EC1583494}"/>
    <cellStyle name="20% - Accent5 3 2 3 3 3" xfId="13864" xr:uid="{A5677ADA-C2BC-4698-8F4F-85E44D6056E0}"/>
    <cellStyle name="20% - Accent5 3 2 3 4" xfId="17272" xr:uid="{A33D96A5-6B72-4E0C-862C-7DDD1C59AA7C}"/>
    <cellStyle name="20% - Accent5 3 2 3 5" xfId="9651" xr:uid="{2A3697D5-B303-4548-B238-CEF143B25AA2}"/>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24043" xr:uid="{2AE138FC-87BF-4993-B1CA-33D5B1EF5634}"/>
    <cellStyle name="20% - Accent5 3 2 4 2 2 3" xfId="16422" xr:uid="{EA7B64BA-FF46-4FDB-8397-259F4CFC6238}"/>
    <cellStyle name="20% - Accent5 3 2 4 2 3" xfId="19830" xr:uid="{3C433D0F-35AF-4C70-961A-8ADDB9D63F41}"/>
    <cellStyle name="20% - Accent5 3 2 4 2 4" xfId="12209" xr:uid="{395A8F1C-5C06-4A0D-9C7C-4286CC92AFF8}"/>
    <cellStyle name="20% - Accent5 3 2 4 3" xfId="5782" xr:uid="{00000000-0005-0000-0000-0000DF020000}"/>
    <cellStyle name="20% - Accent5 3 2 4 3 2" xfId="21898" xr:uid="{B69584B4-DE03-474D-B593-7588BB91653A}"/>
    <cellStyle name="20% - Accent5 3 2 4 3 3" xfId="14277" xr:uid="{95129A0C-090B-49E5-9FEA-D61EA79308A2}"/>
    <cellStyle name="20% - Accent5 3 2 4 4" xfId="17685" xr:uid="{1CF1E9FA-7354-4640-B301-F5526AAC34C2}"/>
    <cellStyle name="20% - Accent5 3 2 4 5" xfId="10064" xr:uid="{9928F548-FEFD-4898-B2FF-1A061AA908B5}"/>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24456" xr:uid="{0A9CA99F-7321-486B-8B03-90C8B3B6357A}"/>
    <cellStyle name="20% - Accent5 3 2 5 2 2 3" xfId="16835" xr:uid="{F7DF8032-8602-4348-9D36-321DF9641DAE}"/>
    <cellStyle name="20% - Accent5 3 2 5 2 3" xfId="20243" xr:uid="{DB7612B5-F9E8-4377-BF71-AE6E04352F76}"/>
    <cellStyle name="20% - Accent5 3 2 5 2 4" xfId="12622" xr:uid="{445A86D3-5D96-42B5-A10D-44B3929F6FE5}"/>
    <cellStyle name="20% - Accent5 3 2 5 3" xfId="6195" xr:uid="{00000000-0005-0000-0000-0000E3020000}"/>
    <cellStyle name="20% - Accent5 3 2 5 3 2" xfId="22311" xr:uid="{B6E0EFD2-ED96-48DE-8B78-CE873CA19017}"/>
    <cellStyle name="20% - Accent5 3 2 5 3 3" xfId="14690" xr:uid="{A9523BC0-1683-4F69-9848-D520B6C7E36D}"/>
    <cellStyle name="20% - Accent5 3 2 5 4" xfId="18098" xr:uid="{685FE509-8171-4412-BCC6-6BFCE4379FC4}"/>
    <cellStyle name="20% - Accent5 3 2 5 5" xfId="10477" xr:uid="{63C17F2D-E134-494C-9B8A-FA5BD680C6E2}"/>
    <cellStyle name="20% - Accent5 3 2 6" xfId="2302" xr:uid="{00000000-0005-0000-0000-0000E4020000}"/>
    <cellStyle name="20% - Accent5 3 2 6 2" xfId="6608" xr:uid="{00000000-0005-0000-0000-0000E5020000}"/>
    <cellStyle name="20% - Accent5 3 2 6 2 2" xfId="22724" xr:uid="{D09A7127-5A15-4C75-9B27-0CCD0BDC1896}"/>
    <cellStyle name="20% - Accent5 3 2 6 2 3" xfId="15103" xr:uid="{CADC334A-F8B0-4A75-9815-C4B528E28022}"/>
    <cellStyle name="20% - Accent5 3 2 6 3" xfId="18511" xr:uid="{BD0FE304-0690-43DB-A256-A7FEC19046A6}"/>
    <cellStyle name="20% - Accent5 3 2 6 4" xfId="10890" xr:uid="{F2577BE1-A195-4437-BB50-BE8910CC6ED6}"/>
    <cellStyle name="20% - Accent5 3 2 7" xfId="4542" xr:uid="{00000000-0005-0000-0000-0000E6020000}"/>
    <cellStyle name="20% - Accent5 3 2 7 2" xfId="20659" xr:uid="{595AE154-C232-4789-AB89-6A937A0BD7FE}"/>
    <cellStyle name="20% - Accent5 3 2 7 3" xfId="13038" xr:uid="{E40637C0-9D4F-42CE-8840-71E86D0A409F}"/>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2 2 2" xfId="23216" xr:uid="{0396379C-F726-4B53-9E26-65CD0BBB45A5}"/>
    <cellStyle name="20% - Accent5 3 3 2 2 3" xfId="15595" xr:uid="{9F934ED3-D480-41E4-9523-FEFC9D127668}"/>
    <cellStyle name="20% - Accent5 3 3 2 3" xfId="19003" xr:uid="{7A39A6F6-30F1-42D3-9976-F837266442F3}"/>
    <cellStyle name="20% - Accent5 3 3 2 4" xfId="11382" xr:uid="{44CD2761-08A5-468C-8D7B-5094E8BCBDB8}"/>
    <cellStyle name="20% - Accent5 3 3 3" xfId="4955" xr:uid="{00000000-0005-0000-0000-0000EA020000}"/>
    <cellStyle name="20% - Accent5 3 3 3 2" xfId="21071" xr:uid="{A5EBFBA4-7FD2-43A0-9284-58B65B28F6FC}"/>
    <cellStyle name="20% - Accent5 3 3 3 3" xfId="13450" xr:uid="{C4D81234-FF77-4890-B208-D87D41C9B7A2}"/>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2 2 2" xfId="23629" xr:uid="{305688B8-E14C-408B-9369-D818303AEF5C}"/>
    <cellStyle name="20% - Accent5 3 4 2 2 3" xfId="16008" xr:uid="{05085058-0011-4211-87F4-758D3A7A349F}"/>
    <cellStyle name="20% - Accent5 3 4 2 3" xfId="19416" xr:uid="{3E382318-B4D7-467F-ABE8-19A2B937778E}"/>
    <cellStyle name="20% - Accent5 3 4 2 4" xfId="11795" xr:uid="{242FD84A-8324-4E61-8288-A035DA01FF54}"/>
    <cellStyle name="20% - Accent5 3 4 3" xfId="5368" xr:uid="{00000000-0005-0000-0000-0000EE020000}"/>
    <cellStyle name="20% - Accent5 3 4 3 2" xfId="21484" xr:uid="{C2757DCC-5BD1-4B84-9848-7898856E0D6D}"/>
    <cellStyle name="20% - Accent5 3 4 3 3" xfId="13863" xr:uid="{8259766B-ED7A-4926-81E2-EFB1B5DB4149}"/>
    <cellStyle name="20% - Accent5 3 4 4" xfId="17271" xr:uid="{BEEEE03C-E546-4C68-974F-1E654B40ECCA}"/>
    <cellStyle name="20% - Accent5 3 4 5" xfId="9650" xr:uid="{5FC5F81D-7731-4EE9-BF66-CCF3AD22546D}"/>
    <cellStyle name="20% - Accent5 3 5" xfId="1474" xr:uid="{00000000-0005-0000-0000-0000EF020000}"/>
    <cellStyle name="20% - Accent5 3 5 2" xfId="3704" xr:uid="{00000000-0005-0000-0000-0000F0020000}"/>
    <cellStyle name="20% - Accent5 3 5 2 2" xfId="7926" xr:uid="{00000000-0005-0000-0000-0000F1020000}"/>
    <cellStyle name="20% - Accent5 3 5 2 2 2" xfId="24042" xr:uid="{00F7B9C3-FD93-4783-B18F-E28E5DF66F64}"/>
    <cellStyle name="20% - Accent5 3 5 2 2 3" xfId="16421" xr:uid="{EE2D6034-7F46-48E2-BD3D-108AC9C037A0}"/>
    <cellStyle name="20% - Accent5 3 5 2 3" xfId="19829" xr:uid="{0B978C92-C7BE-44B1-B2AD-8FAB0FAA9468}"/>
    <cellStyle name="20% - Accent5 3 5 2 4" xfId="12208" xr:uid="{C2CA1B03-39BD-462E-9C04-997B1E46E0C7}"/>
    <cellStyle name="20% - Accent5 3 5 3" xfId="5781" xr:uid="{00000000-0005-0000-0000-0000F2020000}"/>
    <cellStyle name="20% - Accent5 3 5 3 2" xfId="21897" xr:uid="{84AB8AE6-CA6E-4D34-892C-CBE67C3C697F}"/>
    <cellStyle name="20% - Accent5 3 5 3 3" xfId="14276" xr:uid="{4C2CE697-7833-48BB-9650-8D67722AB53A}"/>
    <cellStyle name="20% - Accent5 3 5 4" xfId="17684" xr:uid="{B2C0DE4F-51F1-4168-8FA5-3D5150A4D952}"/>
    <cellStyle name="20% - Accent5 3 5 5" xfId="10063" xr:uid="{67638997-2637-40E7-80B2-51D8D04CF2C5}"/>
    <cellStyle name="20% - Accent5 3 6" xfId="1888" xr:uid="{00000000-0005-0000-0000-0000F3020000}"/>
    <cellStyle name="20% - Accent5 3 6 2" xfId="4117" xr:uid="{00000000-0005-0000-0000-0000F4020000}"/>
    <cellStyle name="20% - Accent5 3 6 2 2" xfId="8339" xr:uid="{00000000-0005-0000-0000-0000F5020000}"/>
    <cellStyle name="20% - Accent5 3 6 2 2 2" xfId="24455" xr:uid="{733057C6-749B-4C07-83E5-8562D3E45B9C}"/>
    <cellStyle name="20% - Accent5 3 6 2 2 3" xfId="16834" xr:uid="{10BA36AE-5C05-49FA-881A-7A8D9022309B}"/>
    <cellStyle name="20% - Accent5 3 6 2 3" xfId="20242" xr:uid="{B240DC21-00D3-42CD-9F57-872E71774B4E}"/>
    <cellStyle name="20% - Accent5 3 6 2 4" xfId="12621" xr:uid="{EEE2241D-B5D1-427F-AC73-034CF243EE5E}"/>
    <cellStyle name="20% - Accent5 3 6 3" xfId="6194" xr:uid="{00000000-0005-0000-0000-0000F6020000}"/>
    <cellStyle name="20% - Accent5 3 6 3 2" xfId="22310" xr:uid="{63559030-808A-42C0-91AB-58EA0321E9B9}"/>
    <cellStyle name="20% - Accent5 3 6 3 3" xfId="14689" xr:uid="{CA927831-29B3-4A14-9DA3-755DE676F25A}"/>
    <cellStyle name="20% - Accent5 3 6 4" xfId="18097" xr:uid="{89550FE3-62CB-42C2-8587-C1480D4F159A}"/>
    <cellStyle name="20% - Accent5 3 6 5" xfId="10476" xr:uid="{6FD040E2-4EC4-4E02-8B44-8C2F8FEE5B35}"/>
    <cellStyle name="20% - Accent5 3 7" xfId="2301" xr:uid="{00000000-0005-0000-0000-0000F7020000}"/>
    <cellStyle name="20% - Accent5 3 7 2" xfId="6607" xr:uid="{00000000-0005-0000-0000-0000F8020000}"/>
    <cellStyle name="20% - Accent5 3 7 2 2" xfId="22723" xr:uid="{C9825FE0-844F-487F-9B69-6AA84CA2E9CE}"/>
    <cellStyle name="20% - Accent5 3 7 2 3" xfId="15102" xr:uid="{85680898-5414-44E4-ADA2-8E9CF836BAB9}"/>
    <cellStyle name="20% - Accent5 3 7 3" xfId="18510" xr:uid="{EF3104C6-8BC4-4981-A693-A849329EADE3}"/>
    <cellStyle name="20% - Accent5 3 7 4" xfId="10889" xr:uid="{03241FC3-27EB-48DE-A4B1-95FCF7FC6C97}"/>
    <cellStyle name="20% - Accent5 3 8" xfId="4541" xr:uid="{00000000-0005-0000-0000-0000F9020000}"/>
    <cellStyle name="20% - Accent5 3 8 2" xfId="20658" xr:uid="{1EEECE10-395A-4C72-AC77-DF3D1E454804}"/>
    <cellStyle name="20% - Accent5 3 8 3" xfId="13037" xr:uid="{945AA522-E2D9-4A7F-ADF1-663A2577F397}"/>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23218" xr:uid="{C3DE738C-F638-4024-B94C-C30AAC17E26D}"/>
    <cellStyle name="20% - Accent5 4 2 2 2 3" xfId="15597" xr:uid="{79D971C2-8FEE-445A-926C-4BE8E16AAA54}"/>
    <cellStyle name="20% - Accent5 4 2 2 3" xfId="19005" xr:uid="{B451604B-D0B3-4284-A893-F14F9B64FDD7}"/>
    <cellStyle name="20% - Accent5 4 2 2 4" xfId="11384" xr:uid="{64FA46EA-D8DC-464E-9B5A-B4B6E040C0E3}"/>
    <cellStyle name="20% - Accent5 4 2 3" xfId="4957" xr:uid="{00000000-0005-0000-0000-0000FE020000}"/>
    <cellStyle name="20% - Accent5 4 2 3 2" xfId="21073" xr:uid="{81CCCEBE-9B29-4C9D-9742-12F888BDB3A4}"/>
    <cellStyle name="20% - Accent5 4 2 3 3" xfId="13452" xr:uid="{45B5BC7B-A81A-460E-930E-F9AFF215064E}"/>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2 2 2" xfId="23631" xr:uid="{AAF6D2BF-74A2-4B93-9EEC-F48AA93EEB3B}"/>
    <cellStyle name="20% - Accent5 4 3 2 2 3" xfId="16010" xr:uid="{3AEEA801-2857-4DC8-8227-F008ABF04C1F}"/>
    <cellStyle name="20% - Accent5 4 3 2 3" xfId="19418" xr:uid="{1A4AD329-99D2-487A-BA9E-03C065608BC4}"/>
    <cellStyle name="20% - Accent5 4 3 2 4" xfId="11797" xr:uid="{054895DE-E782-40BE-B918-AE6BA16256D4}"/>
    <cellStyle name="20% - Accent5 4 3 3" xfId="5370" xr:uid="{00000000-0005-0000-0000-000002030000}"/>
    <cellStyle name="20% - Accent5 4 3 3 2" xfId="21486" xr:uid="{F647C104-00B1-4053-9E81-D998D1D5655E}"/>
    <cellStyle name="20% - Accent5 4 3 3 3" xfId="13865" xr:uid="{14812AF7-CEC4-45D9-9D8D-771B1872611E}"/>
    <cellStyle name="20% - Accent5 4 3 4" xfId="17273" xr:uid="{A555722D-C58A-4219-97EF-764C34856FBB}"/>
    <cellStyle name="20% - Accent5 4 3 5" xfId="9652" xr:uid="{F8FE4ACC-5306-4654-8920-3432FC37C9ED}"/>
    <cellStyle name="20% - Accent5 4 4" xfId="1476" xr:uid="{00000000-0005-0000-0000-000003030000}"/>
    <cellStyle name="20% - Accent5 4 4 2" xfId="3706" xr:uid="{00000000-0005-0000-0000-000004030000}"/>
    <cellStyle name="20% - Accent5 4 4 2 2" xfId="7928" xr:uid="{00000000-0005-0000-0000-000005030000}"/>
    <cellStyle name="20% - Accent5 4 4 2 2 2" xfId="24044" xr:uid="{10AAD196-D29C-4F6A-A8A6-AB4651693013}"/>
    <cellStyle name="20% - Accent5 4 4 2 2 3" xfId="16423" xr:uid="{1F59AB7A-F484-4A21-96B8-BD9EC03BB70A}"/>
    <cellStyle name="20% - Accent5 4 4 2 3" xfId="19831" xr:uid="{7DD36D05-91AD-4035-AD6C-8555AC080463}"/>
    <cellStyle name="20% - Accent5 4 4 2 4" xfId="12210" xr:uid="{A770C514-7927-4147-B78A-395487B37C75}"/>
    <cellStyle name="20% - Accent5 4 4 3" xfId="5783" xr:uid="{00000000-0005-0000-0000-000006030000}"/>
    <cellStyle name="20% - Accent5 4 4 3 2" xfId="21899" xr:uid="{920BF41D-E079-413E-B2E7-B1E21C2E40F7}"/>
    <cellStyle name="20% - Accent5 4 4 3 3" xfId="14278" xr:uid="{030A66CB-98C3-4374-914E-5AD3D16EF1E8}"/>
    <cellStyle name="20% - Accent5 4 4 4" xfId="17686" xr:uid="{0745C54B-C862-4B4D-8C4F-06B77FEB9E8D}"/>
    <cellStyle name="20% - Accent5 4 4 5" xfId="10065" xr:uid="{AD637AFF-51F0-4E12-8DEC-6B064255DB07}"/>
    <cellStyle name="20% - Accent5 4 5" xfId="1890" xr:uid="{00000000-0005-0000-0000-000007030000}"/>
    <cellStyle name="20% - Accent5 4 5 2" xfId="4119" xr:uid="{00000000-0005-0000-0000-000008030000}"/>
    <cellStyle name="20% - Accent5 4 5 2 2" xfId="8341" xr:uid="{00000000-0005-0000-0000-000009030000}"/>
    <cellStyle name="20% - Accent5 4 5 2 2 2" xfId="24457" xr:uid="{21C4A302-3B41-463A-B9EB-24C702B899C3}"/>
    <cellStyle name="20% - Accent5 4 5 2 2 3" xfId="16836" xr:uid="{5A23D1C9-1194-4264-BCE9-EB7118CA38E3}"/>
    <cellStyle name="20% - Accent5 4 5 2 3" xfId="20244" xr:uid="{BFAAD32D-A438-42E0-8B67-68B2EA04A2B4}"/>
    <cellStyle name="20% - Accent5 4 5 2 4" xfId="12623" xr:uid="{6B5694D3-9160-4107-B30B-81DDA775D753}"/>
    <cellStyle name="20% - Accent5 4 5 3" xfId="6196" xr:uid="{00000000-0005-0000-0000-00000A030000}"/>
    <cellStyle name="20% - Accent5 4 5 3 2" xfId="22312" xr:uid="{3F72C935-6CA4-48BC-B4E8-C270AB84A116}"/>
    <cellStyle name="20% - Accent5 4 5 3 3" xfId="14691" xr:uid="{52615105-997D-4A5A-AFA2-1013B366AA02}"/>
    <cellStyle name="20% - Accent5 4 5 4" xfId="18099" xr:uid="{909D056E-3051-4977-BC4A-2ADB4ACFF791}"/>
    <cellStyle name="20% - Accent5 4 5 5" xfId="10478" xr:uid="{7E741C66-177C-4049-8FB5-4076833C9DD0}"/>
    <cellStyle name="20% - Accent5 4 6" xfId="2303" xr:uid="{00000000-0005-0000-0000-00000B030000}"/>
    <cellStyle name="20% - Accent5 4 6 2" xfId="6609" xr:uid="{00000000-0005-0000-0000-00000C030000}"/>
    <cellStyle name="20% - Accent5 4 6 2 2" xfId="22725" xr:uid="{27C7CE02-A3DA-442F-A393-382E01432239}"/>
    <cellStyle name="20% - Accent5 4 6 2 3" xfId="15104" xr:uid="{47C8377B-AF4A-431C-BC9B-0DDA2562C95D}"/>
    <cellStyle name="20% - Accent5 4 6 3" xfId="18512" xr:uid="{43DDDE5F-DFD7-484A-9C43-9A8E282D1A6E}"/>
    <cellStyle name="20% - Accent5 4 6 4" xfId="10891" xr:uid="{E5323BD5-6488-46EE-9303-793C0A7D0A7C}"/>
    <cellStyle name="20% - Accent5 4 7" xfId="4543" xr:uid="{00000000-0005-0000-0000-00000D030000}"/>
    <cellStyle name="20% - Accent5 4 7 2" xfId="20660" xr:uid="{98CDCBF9-4735-4D93-BE10-CE7B0CAAB965}"/>
    <cellStyle name="20% - Accent5 4 7 3" xfId="13039" xr:uid="{1BE43727-2173-4E54-9C21-EE0C580A1E3F}"/>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2 2 2" xfId="23211" xr:uid="{C363395B-8A15-42BD-A7DF-5D1529F66727}"/>
    <cellStyle name="20% - Accent5 5 2 2 3" xfId="15590" xr:uid="{FDBF4DAE-1E92-424B-B8C2-D9E27E46BF80}"/>
    <cellStyle name="20% - Accent5 5 2 3" xfId="18998" xr:uid="{6DD3F2E8-4870-4234-B535-A64952FCF6DE}"/>
    <cellStyle name="20% - Accent5 5 2 4" xfId="11377" xr:uid="{E9C2875C-1D52-4BE3-BBF4-C60D7662F540}"/>
    <cellStyle name="20% - Accent5 5 3" xfId="4950" xr:uid="{00000000-0005-0000-0000-000011030000}"/>
    <cellStyle name="20% - Accent5 5 3 2" xfId="21066" xr:uid="{F7F33D48-0D5D-45EA-BE2C-24D4D904A1E6}"/>
    <cellStyle name="20% - Accent5 5 3 3" xfId="13445" xr:uid="{7D5D2A13-BD03-4701-A870-671E9860FD32}"/>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2 2 2" xfId="23624" xr:uid="{ACA0ED3C-FB76-4743-A7B7-238CD1E6C81E}"/>
    <cellStyle name="20% - Accent5 6 2 2 3" xfId="16003" xr:uid="{3F033340-3FDB-411B-9E02-7A5CEA319AA1}"/>
    <cellStyle name="20% - Accent5 6 2 3" xfId="19411" xr:uid="{9787F871-8388-44F8-AE87-A9231D36AF2C}"/>
    <cellStyle name="20% - Accent5 6 2 4" xfId="11790" xr:uid="{9817EF3B-ACEE-42E7-B2C4-CC53DE4B3724}"/>
    <cellStyle name="20% - Accent5 6 3" xfId="5363" xr:uid="{00000000-0005-0000-0000-000015030000}"/>
    <cellStyle name="20% - Accent5 6 3 2" xfId="21479" xr:uid="{80C0951C-1D18-404C-ACCF-4C526C840145}"/>
    <cellStyle name="20% - Accent5 6 3 3" xfId="13858" xr:uid="{F4D1AAA8-9930-4D7D-80D9-04FDC82937E5}"/>
    <cellStyle name="20% - Accent5 6 4" xfId="17266" xr:uid="{69CD3ADE-10A8-42E0-B99B-4B388CE3EFAB}"/>
    <cellStyle name="20% - Accent5 6 5" xfId="9645" xr:uid="{E51AFF09-9A34-46A7-BA78-A268B90EFB9F}"/>
    <cellStyle name="20% - Accent5 7" xfId="1469" xr:uid="{00000000-0005-0000-0000-000016030000}"/>
    <cellStyle name="20% - Accent5 7 2" xfId="3699" xr:uid="{00000000-0005-0000-0000-000017030000}"/>
    <cellStyle name="20% - Accent5 7 2 2" xfId="7921" xr:uid="{00000000-0005-0000-0000-000018030000}"/>
    <cellStyle name="20% - Accent5 7 2 2 2" xfId="24037" xr:uid="{D3B24FB2-3A71-49AC-82F7-2BE5941E87B0}"/>
    <cellStyle name="20% - Accent5 7 2 2 3" xfId="16416" xr:uid="{85C1B828-53C1-4DBD-BDF4-3AA1752FD7E3}"/>
    <cellStyle name="20% - Accent5 7 2 3" xfId="19824" xr:uid="{27BC2A2A-C793-49B0-8C6D-166DC3EB7D8A}"/>
    <cellStyle name="20% - Accent5 7 2 4" xfId="12203" xr:uid="{39921D6E-5EC9-4EE1-9C6D-6CE216B3DDBC}"/>
    <cellStyle name="20% - Accent5 7 3" xfId="5776" xr:uid="{00000000-0005-0000-0000-000019030000}"/>
    <cellStyle name="20% - Accent5 7 3 2" xfId="21892" xr:uid="{4BD6DEC6-8368-41CA-B52D-AB1CC67C4D56}"/>
    <cellStyle name="20% - Accent5 7 3 3" xfId="14271" xr:uid="{D3A99443-FED4-4C6D-8F99-C962744A09FA}"/>
    <cellStyle name="20% - Accent5 7 4" xfId="17679" xr:uid="{E8FA26C3-3BC8-4C0C-ACBA-45A8EDDEF716}"/>
    <cellStyle name="20% - Accent5 7 5" xfId="10058" xr:uid="{711C3F33-ECBC-4379-AD32-BD802DF75BB9}"/>
    <cellStyle name="20% - Accent5 8" xfId="1883" xr:uid="{00000000-0005-0000-0000-00001A030000}"/>
    <cellStyle name="20% - Accent5 8 2" xfId="4112" xr:uid="{00000000-0005-0000-0000-00001B030000}"/>
    <cellStyle name="20% - Accent5 8 2 2" xfId="8334" xr:uid="{00000000-0005-0000-0000-00001C030000}"/>
    <cellStyle name="20% - Accent5 8 2 2 2" xfId="24450" xr:uid="{E1FFEFA4-7ACE-41BC-A538-CD27EA1E26D7}"/>
    <cellStyle name="20% - Accent5 8 2 2 3" xfId="16829" xr:uid="{7B58C3C0-4FF8-4C02-BAC3-F82F01BF06D5}"/>
    <cellStyle name="20% - Accent5 8 2 3" xfId="20237" xr:uid="{9AFDEB8A-1D02-49E3-8858-05FF847989DB}"/>
    <cellStyle name="20% - Accent5 8 2 4" xfId="12616" xr:uid="{432E5360-795A-4FF0-8691-9A78E2594581}"/>
    <cellStyle name="20% - Accent5 8 3" xfId="6189" xr:uid="{00000000-0005-0000-0000-00001D030000}"/>
    <cellStyle name="20% - Accent5 8 3 2" xfId="22305" xr:uid="{2772DCDD-6012-486F-9575-0BB71A478F52}"/>
    <cellStyle name="20% - Accent5 8 3 3" xfId="14684" xr:uid="{835D4EC4-8B75-416F-9BB2-6E688B97DD31}"/>
    <cellStyle name="20% - Accent5 8 4" xfId="18092" xr:uid="{26AC569D-8957-4C84-9046-33A8D6F30E44}"/>
    <cellStyle name="20% - Accent5 8 5" xfId="10471" xr:uid="{1B972405-DD9A-44DA-B990-2F52959ACB17}"/>
    <cellStyle name="20% - Accent5 9" xfId="2296" xr:uid="{00000000-0005-0000-0000-00001E030000}"/>
    <cellStyle name="20% - Accent5 9 2" xfId="6602" xr:uid="{00000000-0005-0000-0000-00001F030000}"/>
    <cellStyle name="20% - Accent5 9 2 2" xfId="22718" xr:uid="{63C20389-D0F3-48D6-9C97-6BB2C2523AFF}"/>
    <cellStyle name="20% - Accent5 9 2 3" xfId="15097" xr:uid="{7D5F34E5-21DF-4727-B977-B34246DE53C4}"/>
    <cellStyle name="20% - Accent5 9 3" xfId="18505" xr:uid="{5F045181-F6C3-4165-8468-0F05C3B3A836}"/>
    <cellStyle name="20% - Accent5 9 4" xfId="10884" xr:uid="{1F260F84-D518-4D36-B3AD-DB9D04EE986C}"/>
    <cellStyle name="20% - Accent6" xfId="41" builtinId="50" customBuiltin="1"/>
    <cellStyle name="20% - Accent6 10" xfId="4544" xr:uid="{00000000-0005-0000-0000-000021030000}"/>
    <cellStyle name="20% - Accent6 10 2" xfId="20661" xr:uid="{D155C366-92CF-4DD5-AA8A-0C9D1B067D08}"/>
    <cellStyle name="20% - Accent6 10 3" xfId="13040" xr:uid="{6833A3CB-EB33-4075-9935-B9509C933A1E}"/>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23222" xr:uid="{A21D74B7-DA1C-45D0-BA88-A8CF5BD44BA6}"/>
    <cellStyle name="20% - Accent6 2 2 2 2 2 2 3" xfId="15601" xr:uid="{2776A3BC-7585-45CB-BC3F-AB492C0DA258}"/>
    <cellStyle name="20% - Accent6 2 2 2 2 2 3" xfId="19009" xr:uid="{A71DD1F0-5E48-4430-BF1F-EC8AE2A76000}"/>
    <cellStyle name="20% - Accent6 2 2 2 2 2 4" xfId="11388" xr:uid="{65015A1B-ACBB-49BE-A638-551302192C99}"/>
    <cellStyle name="20% - Accent6 2 2 2 2 3" xfId="4961" xr:uid="{00000000-0005-0000-0000-000028030000}"/>
    <cellStyle name="20% - Accent6 2 2 2 2 3 2" xfId="21077" xr:uid="{2D7CF01E-8B2E-4DCA-BC60-7FD0A86AC63F}"/>
    <cellStyle name="20% - Accent6 2 2 2 2 3 3" xfId="13456" xr:uid="{8C7C97A4-BD4C-48F5-84EC-9E5ACAC8DFAB}"/>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23635" xr:uid="{27508BD2-A0C1-4ABC-8298-20C9BC166248}"/>
    <cellStyle name="20% - Accent6 2 2 2 3 2 2 3" xfId="16014" xr:uid="{98B51654-559E-4234-A4B9-9FAFE2011125}"/>
    <cellStyle name="20% - Accent6 2 2 2 3 2 3" xfId="19422" xr:uid="{0B5906FB-DFFE-4CF4-B876-CDDFCF81296A}"/>
    <cellStyle name="20% - Accent6 2 2 2 3 2 4" xfId="11801" xr:uid="{136A8880-69B4-4F02-ACD0-FB431396421C}"/>
    <cellStyle name="20% - Accent6 2 2 2 3 3" xfId="5374" xr:uid="{00000000-0005-0000-0000-00002C030000}"/>
    <cellStyle name="20% - Accent6 2 2 2 3 3 2" xfId="21490" xr:uid="{275D42BD-4AC9-4453-92C9-1933050D650A}"/>
    <cellStyle name="20% - Accent6 2 2 2 3 3 3" xfId="13869" xr:uid="{58B1DE28-2217-403E-91C6-1238C4795A51}"/>
    <cellStyle name="20% - Accent6 2 2 2 3 4" xfId="17277" xr:uid="{5227A872-BB43-4DFE-A4FD-4350F2252374}"/>
    <cellStyle name="20% - Accent6 2 2 2 3 5" xfId="9656" xr:uid="{FDA5FDBB-B862-4179-9C5B-8F5ACEE723B2}"/>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24048" xr:uid="{A7AFBB22-9BDC-46B2-972E-1B7B84C42894}"/>
    <cellStyle name="20% - Accent6 2 2 2 4 2 2 3" xfId="16427" xr:uid="{7F67EFAC-A40B-4275-B2BB-6F51CB0D6749}"/>
    <cellStyle name="20% - Accent6 2 2 2 4 2 3" xfId="19835" xr:uid="{FBB82468-E208-4230-9FE7-43CA2CF7F559}"/>
    <cellStyle name="20% - Accent6 2 2 2 4 2 4" xfId="12214" xr:uid="{8847F905-A271-4550-B318-BA6D084D0069}"/>
    <cellStyle name="20% - Accent6 2 2 2 4 3" xfId="5787" xr:uid="{00000000-0005-0000-0000-000030030000}"/>
    <cellStyle name="20% - Accent6 2 2 2 4 3 2" xfId="21903" xr:uid="{CEB13EBF-204F-4775-A6E1-6AE76B0C2167}"/>
    <cellStyle name="20% - Accent6 2 2 2 4 3 3" xfId="14282" xr:uid="{1F4131E9-E3E5-421D-B7B9-1F91D39201D9}"/>
    <cellStyle name="20% - Accent6 2 2 2 4 4" xfId="17690" xr:uid="{3C219F0F-F28F-42E1-9D82-186079783569}"/>
    <cellStyle name="20% - Accent6 2 2 2 4 5" xfId="10069" xr:uid="{5A775E4D-6DE4-4864-B441-4AADA6EDAF2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24461" xr:uid="{B505EE57-D13F-48F7-A806-BB9C354FFA96}"/>
    <cellStyle name="20% - Accent6 2 2 2 5 2 2 3" xfId="16840" xr:uid="{8083BD81-A228-484D-AF76-BBB145A69C41}"/>
    <cellStyle name="20% - Accent6 2 2 2 5 2 3" xfId="20248" xr:uid="{6D419844-7A19-4C8E-9CB8-363ED2B67A1B}"/>
    <cellStyle name="20% - Accent6 2 2 2 5 2 4" xfId="12627" xr:uid="{70A8C0A2-6915-466F-8440-F139C34A6829}"/>
    <cellStyle name="20% - Accent6 2 2 2 5 3" xfId="6200" xr:uid="{00000000-0005-0000-0000-000034030000}"/>
    <cellStyle name="20% - Accent6 2 2 2 5 3 2" xfId="22316" xr:uid="{FB6F5E40-C8FE-4509-8F63-329608D15FB3}"/>
    <cellStyle name="20% - Accent6 2 2 2 5 3 3" xfId="14695" xr:uid="{79D3AE01-B1F5-4331-ADE7-947A0D187E55}"/>
    <cellStyle name="20% - Accent6 2 2 2 5 4" xfId="18103" xr:uid="{2C43014A-C46E-415D-A359-B594FD422760}"/>
    <cellStyle name="20% - Accent6 2 2 2 5 5" xfId="10482" xr:uid="{E2A3D8FB-1389-498F-AEDA-CF82C5F68D3D}"/>
    <cellStyle name="20% - Accent6 2 2 2 6" xfId="2307" xr:uid="{00000000-0005-0000-0000-000035030000}"/>
    <cellStyle name="20% - Accent6 2 2 2 6 2" xfId="6613" xr:uid="{00000000-0005-0000-0000-000036030000}"/>
    <cellStyle name="20% - Accent6 2 2 2 6 2 2" xfId="22729" xr:uid="{BF82255C-FE5B-4E20-B3F0-F0886BBFD98C}"/>
    <cellStyle name="20% - Accent6 2 2 2 6 2 3" xfId="15108" xr:uid="{784B00EC-6CF2-42AB-979A-7E31CF655E03}"/>
    <cellStyle name="20% - Accent6 2 2 2 6 3" xfId="18516" xr:uid="{1C07C20E-5F91-4FAA-94B7-1CB9CC8FB19A}"/>
    <cellStyle name="20% - Accent6 2 2 2 6 4" xfId="10895" xr:uid="{79AB265E-675D-40D6-9CAC-03BD61DB0140}"/>
    <cellStyle name="20% - Accent6 2 2 2 7" xfId="4547" xr:uid="{00000000-0005-0000-0000-000037030000}"/>
    <cellStyle name="20% - Accent6 2 2 2 7 2" xfId="20664" xr:uid="{16409170-F9EF-42C0-9337-9B0564DC866C}"/>
    <cellStyle name="20% - Accent6 2 2 2 7 3" xfId="13043" xr:uid="{030C685C-1636-4CBD-A3BD-2D92AA582F05}"/>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23221" xr:uid="{0817B8DD-6FF0-4B0D-84D7-43DD432129C8}"/>
    <cellStyle name="20% - Accent6 2 2 3 2 2 3" xfId="15600" xr:uid="{0BA37619-8F02-4F08-8791-829970BA8302}"/>
    <cellStyle name="20% - Accent6 2 2 3 2 3" xfId="19008" xr:uid="{9DF44D4E-2583-4914-8DF9-8918218D4CC3}"/>
    <cellStyle name="20% - Accent6 2 2 3 2 4" xfId="11387" xr:uid="{C6E0A7BD-C53C-42DA-8CB7-2F488DE8EFB3}"/>
    <cellStyle name="20% - Accent6 2 2 3 3" xfId="4960" xr:uid="{00000000-0005-0000-0000-00003B030000}"/>
    <cellStyle name="20% - Accent6 2 2 3 3 2" xfId="21076" xr:uid="{DF1B1098-FC0F-4F21-BE1C-95A3B8675BB1}"/>
    <cellStyle name="20% - Accent6 2 2 3 3 3" xfId="13455" xr:uid="{EB684FA0-E819-4B37-8F5F-707667F76C73}"/>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23634" xr:uid="{3D2E6F1C-3579-443B-A91E-8B0FB9F07894}"/>
    <cellStyle name="20% - Accent6 2 2 4 2 2 3" xfId="16013" xr:uid="{10561A55-8721-4D3D-8995-B8C56193512F}"/>
    <cellStyle name="20% - Accent6 2 2 4 2 3" xfId="19421" xr:uid="{0B631BAB-ED1D-4840-B7AC-1A0CB2EF2175}"/>
    <cellStyle name="20% - Accent6 2 2 4 2 4" xfId="11800" xr:uid="{1E54380F-68B2-499A-B3C6-63C90E2CC7A8}"/>
    <cellStyle name="20% - Accent6 2 2 4 3" xfId="5373" xr:uid="{00000000-0005-0000-0000-00003F030000}"/>
    <cellStyle name="20% - Accent6 2 2 4 3 2" xfId="21489" xr:uid="{30F8ACB6-DFC1-4805-B6F9-69E6BC830BF8}"/>
    <cellStyle name="20% - Accent6 2 2 4 3 3" xfId="13868" xr:uid="{1B01B397-F72B-4A67-946D-857FB53212F8}"/>
    <cellStyle name="20% - Accent6 2 2 4 4" xfId="17276" xr:uid="{4DE7259E-D046-4646-9A7A-7CD0694F2F01}"/>
    <cellStyle name="20% - Accent6 2 2 4 5" xfId="9655" xr:uid="{B0552A28-4CA2-4FBD-AE30-19DB07D9AB9E}"/>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24047" xr:uid="{C143EF61-D9CB-406A-AE9C-BFC261B1CE29}"/>
    <cellStyle name="20% - Accent6 2 2 5 2 2 3" xfId="16426" xr:uid="{8F77CAED-D2EE-4636-8D95-EFF73A3006CC}"/>
    <cellStyle name="20% - Accent6 2 2 5 2 3" xfId="19834" xr:uid="{7B677D7B-7B11-40FF-A853-69CF402AF4D3}"/>
    <cellStyle name="20% - Accent6 2 2 5 2 4" xfId="12213" xr:uid="{6D91D5FC-D2AA-48E5-89E9-9B77FFF1B602}"/>
    <cellStyle name="20% - Accent6 2 2 5 3" xfId="5786" xr:uid="{00000000-0005-0000-0000-000043030000}"/>
    <cellStyle name="20% - Accent6 2 2 5 3 2" xfId="21902" xr:uid="{0B9EA4C8-0AC4-45B7-A6E8-CE2C19CB4648}"/>
    <cellStyle name="20% - Accent6 2 2 5 3 3" xfId="14281" xr:uid="{EA6554F6-6808-4A4F-93B6-178751C6BB2E}"/>
    <cellStyle name="20% - Accent6 2 2 5 4" xfId="17689" xr:uid="{C29868DA-814C-4BBC-BDC1-E8F4ED743AA8}"/>
    <cellStyle name="20% - Accent6 2 2 5 5" xfId="10068" xr:uid="{78596594-1A28-4B3B-A0C8-58E67150DBA7}"/>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24460" xr:uid="{87242464-93EA-4C4C-9581-1E98B8F70AE7}"/>
    <cellStyle name="20% - Accent6 2 2 6 2 2 3" xfId="16839" xr:uid="{2D861E15-137C-4505-875A-F5643D787619}"/>
    <cellStyle name="20% - Accent6 2 2 6 2 3" xfId="20247" xr:uid="{E71BA5E5-ADC8-4923-8EF5-E4E28813E768}"/>
    <cellStyle name="20% - Accent6 2 2 6 2 4" xfId="12626" xr:uid="{C679599A-8BA5-4563-9579-4DFFA64CD760}"/>
    <cellStyle name="20% - Accent6 2 2 6 3" xfId="6199" xr:uid="{00000000-0005-0000-0000-000047030000}"/>
    <cellStyle name="20% - Accent6 2 2 6 3 2" xfId="22315" xr:uid="{C887D0EC-A18C-436B-BAFE-374D9ACECFE9}"/>
    <cellStyle name="20% - Accent6 2 2 6 3 3" xfId="14694" xr:uid="{F88861C4-5969-47E7-8F88-C0FA7CA8083A}"/>
    <cellStyle name="20% - Accent6 2 2 6 4" xfId="18102" xr:uid="{98311F07-7DFC-4D22-A28F-492DB11F7C4E}"/>
    <cellStyle name="20% - Accent6 2 2 6 5" xfId="10481" xr:uid="{D0469969-5ED8-44F3-8098-FCF81D3DBD1D}"/>
    <cellStyle name="20% - Accent6 2 2 7" xfId="2306" xr:uid="{00000000-0005-0000-0000-000048030000}"/>
    <cellStyle name="20% - Accent6 2 2 7 2" xfId="6612" xr:uid="{00000000-0005-0000-0000-000049030000}"/>
    <cellStyle name="20% - Accent6 2 2 7 2 2" xfId="22728" xr:uid="{98464AC0-2319-4EED-B679-5941503B24EB}"/>
    <cellStyle name="20% - Accent6 2 2 7 2 3" xfId="15107" xr:uid="{A6317CE1-DC65-4D88-8E54-5595485A8001}"/>
    <cellStyle name="20% - Accent6 2 2 7 3" xfId="18515" xr:uid="{8F2DA339-4796-4A00-BD2C-9F55D2FB77FF}"/>
    <cellStyle name="20% - Accent6 2 2 7 4" xfId="10894" xr:uid="{F097078B-DCBE-4637-9221-821564AB9B57}"/>
    <cellStyle name="20% - Accent6 2 2 8" xfId="4546" xr:uid="{00000000-0005-0000-0000-00004A030000}"/>
    <cellStyle name="20% - Accent6 2 2 8 2" xfId="20663" xr:uid="{07C4C876-29DC-4B76-984B-89878F4C9978}"/>
    <cellStyle name="20% - Accent6 2 2 8 3" xfId="13042" xr:uid="{38E335F0-0FF9-43ED-96A3-3DC483D9BEBC}"/>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23223" xr:uid="{B9AE22D0-9DA9-4C89-93DD-20B365B1F31D}"/>
    <cellStyle name="20% - Accent6 2 3 2 2 2 3" xfId="15602" xr:uid="{86DE06F1-A9C2-4AB4-863E-07977FE5C8E7}"/>
    <cellStyle name="20% - Accent6 2 3 2 2 3" xfId="19010" xr:uid="{D2FE684C-7372-4DA5-9D3C-D2CA1E3650B6}"/>
    <cellStyle name="20% - Accent6 2 3 2 2 4" xfId="11389" xr:uid="{3D227260-1E58-4226-9090-B13A05BC6E36}"/>
    <cellStyle name="20% - Accent6 2 3 2 3" xfId="4962" xr:uid="{00000000-0005-0000-0000-00004F030000}"/>
    <cellStyle name="20% - Accent6 2 3 2 3 2" xfId="21078" xr:uid="{0C1996AB-36E1-4F55-8702-2D19CA1114C1}"/>
    <cellStyle name="20% - Accent6 2 3 2 3 3" xfId="13457" xr:uid="{5A4AF2AE-8FC2-48FE-90EE-E081A0273D54}"/>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23636" xr:uid="{9AD0FC94-3ABB-4CC7-931D-16AC99E977D8}"/>
    <cellStyle name="20% - Accent6 2 3 3 2 2 3" xfId="16015" xr:uid="{8DEF928C-FB4E-4C61-9F8D-3C1996B523A0}"/>
    <cellStyle name="20% - Accent6 2 3 3 2 3" xfId="19423" xr:uid="{56844D50-2300-48BE-8350-AD6499EE51EB}"/>
    <cellStyle name="20% - Accent6 2 3 3 2 4" xfId="11802" xr:uid="{39461CF5-E51A-431F-B30B-B6ED857144DC}"/>
    <cellStyle name="20% - Accent6 2 3 3 3" xfId="5375" xr:uid="{00000000-0005-0000-0000-000053030000}"/>
    <cellStyle name="20% - Accent6 2 3 3 3 2" xfId="21491" xr:uid="{876FE2B7-8E79-45E9-A114-D55E7812C1A2}"/>
    <cellStyle name="20% - Accent6 2 3 3 3 3" xfId="13870" xr:uid="{F1FF8721-1CDB-42E0-B8CB-F0191A03C11A}"/>
    <cellStyle name="20% - Accent6 2 3 3 4" xfId="17278" xr:uid="{13E2D0E4-A9CA-43ED-9BD3-DF93D0A1629C}"/>
    <cellStyle name="20% - Accent6 2 3 3 5" xfId="9657" xr:uid="{CD6CD0D5-4A05-4B73-9265-0F8F936D18E5}"/>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24049" xr:uid="{BBF58336-8BBB-48A5-98F1-663267592129}"/>
    <cellStyle name="20% - Accent6 2 3 4 2 2 3" xfId="16428" xr:uid="{BE0BD95B-E034-49DD-A64F-195E44B8C684}"/>
    <cellStyle name="20% - Accent6 2 3 4 2 3" xfId="19836" xr:uid="{C31E3D55-4845-4243-A6B1-F20E056595DC}"/>
    <cellStyle name="20% - Accent6 2 3 4 2 4" xfId="12215" xr:uid="{26E822EF-D4CA-462C-9E29-37B70E5D9C47}"/>
    <cellStyle name="20% - Accent6 2 3 4 3" xfId="5788" xr:uid="{00000000-0005-0000-0000-000057030000}"/>
    <cellStyle name="20% - Accent6 2 3 4 3 2" xfId="21904" xr:uid="{FE210BA2-2263-401D-A859-6D04B19086AD}"/>
    <cellStyle name="20% - Accent6 2 3 4 3 3" xfId="14283" xr:uid="{88D80716-4F67-408E-8E9E-72946CAC2598}"/>
    <cellStyle name="20% - Accent6 2 3 4 4" xfId="17691" xr:uid="{9D7C3E78-5149-4553-97A5-CD48E6BC4A4D}"/>
    <cellStyle name="20% - Accent6 2 3 4 5" xfId="10070" xr:uid="{4A76B6CA-95A3-4EEC-928A-0A2B66C8CD51}"/>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24462" xr:uid="{B937AB18-D150-4C35-B6A0-3FFDEB59A522}"/>
    <cellStyle name="20% - Accent6 2 3 5 2 2 3" xfId="16841" xr:uid="{7F4E16A9-05A2-4FD5-91C2-2C4CC5EF21FA}"/>
    <cellStyle name="20% - Accent6 2 3 5 2 3" xfId="20249" xr:uid="{1A3435B1-27BF-4C83-BFD4-B9BD74F9B9B6}"/>
    <cellStyle name="20% - Accent6 2 3 5 2 4" xfId="12628" xr:uid="{6572C971-C073-4616-BE71-4A8F78C69115}"/>
    <cellStyle name="20% - Accent6 2 3 5 3" xfId="6201" xr:uid="{00000000-0005-0000-0000-00005B030000}"/>
    <cellStyle name="20% - Accent6 2 3 5 3 2" xfId="22317" xr:uid="{91792E2B-9046-406D-B14D-6A3C74C01F6E}"/>
    <cellStyle name="20% - Accent6 2 3 5 3 3" xfId="14696" xr:uid="{E7382B7E-6F6A-439D-BF9A-A4BDE67D75A5}"/>
    <cellStyle name="20% - Accent6 2 3 5 4" xfId="18104" xr:uid="{705BC4C8-7A19-4668-ABF0-99F39881C177}"/>
    <cellStyle name="20% - Accent6 2 3 5 5" xfId="10483" xr:uid="{07165A8C-2F0B-4265-805F-B794FCDE7E6C}"/>
    <cellStyle name="20% - Accent6 2 3 6" xfId="2308" xr:uid="{00000000-0005-0000-0000-00005C030000}"/>
    <cellStyle name="20% - Accent6 2 3 6 2" xfId="6614" xr:uid="{00000000-0005-0000-0000-00005D030000}"/>
    <cellStyle name="20% - Accent6 2 3 6 2 2" xfId="22730" xr:uid="{89761984-C959-4341-99FE-9D5F9514042E}"/>
    <cellStyle name="20% - Accent6 2 3 6 2 3" xfId="15109" xr:uid="{BFAC5CB6-009A-467D-96EB-562510E0992A}"/>
    <cellStyle name="20% - Accent6 2 3 6 3" xfId="18517" xr:uid="{66BEC896-BE17-4114-A9AA-BF46A759557A}"/>
    <cellStyle name="20% - Accent6 2 3 6 4" xfId="10896" xr:uid="{457CCC7A-F9C6-4511-8CCA-283B6D36580F}"/>
    <cellStyle name="20% - Accent6 2 3 7" xfId="4548" xr:uid="{00000000-0005-0000-0000-00005E030000}"/>
    <cellStyle name="20% - Accent6 2 3 7 2" xfId="20665" xr:uid="{1A123F64-C6AD-497B-A806-92360D8FB40B}"/>
    <cellStyle name="20% - Accent6 2 3 7 3" xfId="13044" xr:uid="{0E3D8DFB-4049-417D-ABCA-8FB175F42214}"/>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2 2 2" xfId="23220" xr:uid="{ECC48FA7-4487-40A6-BCD6-89E0F3806135}"/>
    <cellStyle name="20% - Accent6 2 4 2 2 3" xfId="15599" xr:uid="{0BFDF03F-88D7-4867-AEEA-D61070770C19}"/>
    <cellStyle name="20% - Accent6 2 4 2 3" xfId="19007" xr:uid="{1478CFD8-5436-4200-AF4B-60AC1479D1FE}"/>
    <cellStyle name="20% - Accent6 2 4 2 4" xfId="11386" xr:uid="{AA6B20A9-2296-4900-864B-9B05819ACAB1}"/>
    <cellStyle name="20% - Accent6 2 4 3" xfId="4959" xr:uid="{00000000-0005-0000-0000-000062030000}"/>
    <cellStyle name="20% - Accent6 2 4 3 2" xfId="21075" xr:uid="{FD836D53-CF44-417D-80B6-79421EFC46C2}"/>
    <cellStyle name="20% - Accent6 2 4 3 3" xfId="13454" xr:uid="{1F25EBE3-CF51-443D-8B41-0F962CA7B3FC}"/>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2 2 2" xfId="23633" xr:uid="{9BFD96F6-6368-4A64-B03B-0F1511E58FEF}"/>
    <cellStyle name="20% - Accent6 2 5 2 2 3" xfId="16012" xr:uid="{A8C43650-F0A3-4F2B-B196-CEF79D53109D}"/>
    <cellStyle name="20% - Accent6 2 5 2 3" xfId="19420" xr:uid="{8B947592-7B0B-4F91-81DC-C5B0C898761D}"/>
    <cellStyle name="20% - Accent6 2 5 2 4" xfId="11799" xr:uid="{001E0367-F662-4CC6-9B31-EB6B2B4187D5}"/>
    <cellStyle name="20% - Accent6 2 5 3" xfId="5372" xr:uid="{00000000-0005-0000-0000-000066030000}"/>
    <cellStyle name="20% - Accent6 2 5 3 2" xfId="21488" xr:uid="{7576F6C4-B840-49C8-B048-91553E48552D}"/>
    <cellStyle name="20% - Accent6 2 5 3 3" xfId="13867" xr:uid="{6D679B0C-63B8-498D-B935-D4C155BE4BD8}"/>
    <cellStyle name="20% - Accent6 2 5 4" xfId="17275" xr:uid="{21B563FC-7122-487C-95B0-B2C1E6DB09C1}"/>
    <cellStyle name="20% - Accent6 2 5 5" xfId="9654" xr:uid="{C80FC352-5B02-4213-848B-F3027A8CE3DE}"/>
    <cellStyle name="20% - Accent6 2 6" xfId="1478" xr:uid="{00000000-0005-0000-0000-000067030000}"/>
    <cellStyle name="20% - Accent6 2 6 2" xfId="3708" xr:uid="{00000000-0005-0000-0000-000068030000}"/>
    <cellStyle name="20% - Accent6 2 6 2 2" xfId="7930" xr:uid="{00000000-0005-0000-0000-000069030000}"/>
    <cellStyle name="20% - Accent6 2 6 2 2 2" xfId="24046" xr:uid="{32E673AF-AFFC-4DDE-894F-707796415E6E}"/>
    <cellStyle name="20% - Accent6 2 6 2 2 3" xfId="16425" xr:uid="{A1ADF47E-9583-4B80-9C72-355AA7869B12}"/>
    <cellStyle name="20% - Accent6 2 6 2 3" xfId="19833" xr:uid="{8DC4A6FF-55C9-4F4B-9629-8DA350D3D2DA}"/>
    <cellStyle name="20% - Accent6 2 6 2 4" xfId="12212" xr:uid="{1DFF527A-A6B3-443D-8F49-35B72CFC8106}"/>
    <cellStyle name="20% - Accent6 2 6 3" xfId="5785" xr:uid="{00000000-0005-0000-0000-00006A030000}"/>
    <cellStyle name="20% - Accent6 2 6 3 2" xfId="21901" xr:uid="{B169C3D9-0EDA-48B4-A37D-A5192161A232}"/>
    <cellStyle name="20% - Accent6 2 6 3 3" xfId="14280" xr:uid="{219E4E62-FE27-44FB-85DE-2AA39295691F}"/>
    <cellStyle name="20% - Accent6 2 6 4" xfId="17688" xr:uid="{533A6FC9-64E5-4315-ADEB-C4A91AE8120E}"/>
    <cellStyle name="20% - Accent6 2 6 5" xfId="10067" xr:uid="{B677DC51-6C36-49E0-B098-17D26E663132}"/>
    <cellStyle name="20% - Accent6 2 7" xfId="1892" xr:uid="{00000000-0005-0000-0000-00006B030000}"/>
    <cellStyle name="20% - Accent6 2 7 2" xfId="4121" xr:uid="{00000000-0005-0000-0000-00006C030000}"/>
    <cellStyle name="20% - Accent6 2 7 2 2" xfId="8343" xr:uid="{00000000-0005-0000-0000-00006D030000}"/>
    <cellStyle name="20% - Accent6 2 7 2 2 2" xfId="24459" xr:uid="{31F4F77C-5355-4B61-B76A-26B74C2F71F4}"/>
    <cellStyle name="20% - Accent6 2 7 2 2 3" xfId="16838" xr:uid="{F6FB1ECC-94B5-45AA-99D1-01996B4B62E1}"/>
    <cellStyle name="20% - Accent6 2 7 2 3" xfId="20246" xr:uid="{90D9212D-2CC2-48CA-B41F-04C83570BFE4}"/>
    <cellStyle name="20% - Accent6 2 7 2 4" xfId="12625" xr:uid="{9B6F4CB2-0ABD-4777-8B65-551F3BB8DF00}"/>
    <cellStyle name="20% - Accent6 2 7 3" xfId="6198" xr:uid="{00000000-0005-0000-0000-00006E030000}"/>
    <cellStyle name="20% - Accent6 2 7 3 2" xfId="22314" xr:uid="{DA78636A-4F1B-4565-8E71-C3C51F356649}"/>
    <cellStyle name="20% - Accent6 2 7 3 3" xfId="14693" xr:uid="{46171ABC-0D10-4036-800F-E3EBEBE224E5}"/>
    <cellStyle name="20% - Accent6 2 7 4" xfId="18101" xr:uid="{8EBD2619-62C2-4846-9994-676B6F80C8DA}"/>
    <cellStyle name="20% - Accent6 2 7 5" xfId="10480" xr:uid="{6C881824-1EB9-4BF0-97A5-ACD01FEB2A54}"/>
    <cellStyle name="20% - Accent6 2 8" xfId="2305" xr:uid="{00000000-0005-0000-0000-00006F030000}"/>
    <cellStyle name="20% - Accent6 2 8 2" xfId="6611" xr:uid="{00000000-0005-0000-0000-000070030000}"/>
    <cellStyle name="20% - Accent6 2 8 2 2" xfId="22727" xr:uid="{ED395302-97B3-44E2-9554-A6EE460CD865}"/>
    <cellStyle name="20% - Accent6 2 8 2 3" xfId="15106" xr:uid="{EDC6ACEA-0032-4852-8234-56A820A1AD07}"/>
    <cellStyle name="20% - Accent6 2 8 3" xfId="18514" xr:uid="{B56AF078-C03E-466F-90C4-5A8F337AEE79}"/>
    <cellStyle name="20% - Accent6 2 8 4" xfId="10893" xr:uid="{F023F6B4-AE63-471A-950A-DD9DA0499C3C}"/>
    <cellStyle name="20% - Accent6 2 9" xfId="4545" xr:uid="{00000000-0005-0000-0000-000071030000}"/>
    <cellStyle name="20% - Accent6 2 9 2" xfId="20662" xr:uid="{C4B62782-C31D-4237-9E2E-AF22443131C4}"/>
    <cellStyle name="20% - Accent6 2 9 3" xfId="13041" xr:uid="{27B7AA12-6089-4503-A2F9-1A328ACCDDE2}"/>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23225" xr:uid="{35B7C450-E353-421E-99AE-BB16243A911C}"/>
    <cellStyle name="20% - Accent6 3 2 2 2 2 3" xfId="15604" xr:uid="{44046064-809A-4762-B65A-E8AF48E32B2D}"/>
    <cellStyle name="20% - Accent6 3 2 2 2 3" xfId="19012" xr:uid="{BDC702C0-0A5E-40EC-B9DD-D25458B54D5A}"/>
    <cellStyle name="20% - Accent6 3 2 2 2 4" xfId="11391" xr:uid="{6ABB18A4-F66E-4586-8867-C88AF37976BF}"/>
    <cellStyle name="20% - Accent6 3 2 2 3" xfId="4964" xr:uid="{00000000-0005-0000-0000-000077030000}"/>
    <cellStyle name="20% - Accent6 3 2 2 3 2" xfId="21080" xr:uid="{6A4FF23F-EBA0-4184-927D-07D2C4DC85A0}"/>
    <cellStyle name="20% - Accent6 3 2 2 3 3" xfId="13459" xr:uid="{9EE22977-8D7B-4EFD-AEFF-CADACA0F054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23638" xr:uid="{F1DEB9B2-DBF0-43A4-BD25-F16E39F88B6D}"/>
    <cellStyle name="20% - Accent6 3 2 3 2 2 3" xfId="16017" xr:uid="{D286F39E-302C-4F1B-9963-80B7343F7417}"/>
    <cellStyle name="20% - Accent6 3 2 3 2 3" xfId="19425" xr:uid="{12CC45A5-3AAD-4196-A721-02FC0F481179}"/>
    <cellStyle name="20% - Accent6 3 2 3 2 4" xfId="11804" xr:uid="{B37646EF-7578-451C-85A5-75F9632C580C}"/>
    <cellStyle name="20% - Accent6 3 2 3 3" xfId="5377" xr:uid="{00000000-0005-0000-0000-00007B030000}"/>
    <cellStyle name="20% - Accent6 3 2 3 3 2" xfId="21493" xr:uid="{17F26F2A-DFC1-4941-A7F8-E87615D63BCE}"/>
    <cellStyle name="20% - Accent6 3 2 3 3 3" xfId="13872" xr:uid="{13B87517-165C-4D9F-BD1F-5ADACA686258}"/>
    <cellStyle name="20% - Accent6 3 2 3 4" xfId="17280" xr:uid="{11364C43-7749-4383-9ABC-BB95365ED25E}"/>
    <cellStyle name="20% - Accent6 3 2 3 5" xfId="9659" xr:uid="{71178B14-1A73-4AD1-8082-FB5DA38F5E5F}"/>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24051" xr:uid="{9F874A03-CF82-46EF-811F-9FF8D6BD6051}"/>
    <cellStyle name="20% - Accent6 3 2 4 2 2 3" xfId="16430" xr:uid="{D6A502B9-832A-4DC9-B002-40744919A47A}"/>
    <cellStyle name="20% - Accent6 3 2 4 2 3" xfId="19838" xr:uid="{70D455DC-226A-4C2D-B2D4-52D7FDC233F4}"/>
    <cellStyle name="20% - Accent6 3 2 4 2 4" xfId="12217" xr:uid="{966B868D-A109-4C10-B628-5B39A9B35554}"/>
    <cellStyle name="20% - Accent6 3 2 4 3" xfId="5790" xr:uid="{00000000-0005-0000-0000-00007F030000}"/>
    <cellStyle name="20% - Accent6 3 2 4 3 2" xfId="21906" xr:uid="{B8728F53-46E1-4FF4-8CF3-9780D525C3C6}"/>
    <cellStyle name="20% - Accent6 3 2 4 3 3" xfId="14285" xr:uid="{54099AAC-DCFA-464C-A0CC-8BDF6E45A072}"/>
    <cellStyle name="20% - Accent6 3 2 4 4" xfId="17693" xr:uid="{773658D0-F575-48DA-8CBD-165477440E14}"/>
    <cellStyle name="20% - Accent6 3 2 4 5" xfId="10072" xr:uid="{5268F3E5-1CF9-47C9-8E7D-C595B7769B59}"/>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24464" xr:uid="{9E033DB4-01C9-4CE6-AC13-7A4EA60A7475}"/>
    <cellStyle name="20% - Accent6 3 2 5 2 2 3" xfId="16843" xr:uid="{70A15C1B-5986-4FAF-8D9D-D481E1BEAA4C}"/>
    <cellStyle name="20% - Accent6 3 2 5 2 3" xfId="20251" xr:uid="{B5821D12-B924-4052-BC22-0AA82DFF8E56}"/>
    <cellStyle name="20% - Accent6 3 2 5 2 4" xfId="12630" xr:uid="{18C79746-14F1-4B91-92A0-77C73672FA1C}"/>
    <cellStyle name="20% - Accent6 3 2 5 3" xfId="6203" xr:uid="{00000000-0005-0000-0000-000083030000}"/>
    <cellStyle name="20% - Accent6 3 2 5 3 2" xfId="22319" xr:uid="{1C84F2D1-086F-46B0-A753-30A0F3EEA5A4}"/>
    <cellStyle name="20% - Accent6 3 2 5 3 3" xfId="14698" xr:uid="{D2CA07B1-F49C-4A17-AA34-CD3985014602}"/>
    <cellStyle name="20% - Accent6 3 2 5 4" xfId="18106" xr:uid="{31709350-2566-4DD4-89F8-5194598FE1DC}"/>
    <cellStyle name="20% - Accent6 3 2 5 5" xfId="10485" xr:uid="{CF3BF885-22FB-4BEF-B8DA-591F494E71F8}"/>
    <cellStyle name="20% - Accent6 3 2 6" xfId="2310" xr:uid="{00000000-0005-0000-0000-000084030000}"/>
    <cellStyle name="20% - Accent6 3 2 6 2" xfId="6616" xr:uid="{00000000-0005-0000-0000-000085030000}"/>
    <cellStyle name="20% - Accent6 3 2 6 2 2" xfId="22732" xr:uid="{F2B91A9E-2374-4A25-AED4-0E024C1406E1}"/>
    <cellStyle name="20% - Accent6 3 2 6 2 3" xfId="15111" xr:uid="{E07FE3B3-7720-49E4-9C89-3EF430F7DADE}"/>
    <cellStyle name="20% - Accent6 3 2 6 3" xfId="18519" xr:uid="{E6825D72-5C88-4CC1-9284-1BCFDC3590DF}"/>
    <cellStyle name="20% - Accent6 3 2 6 4" xfId="10898" xr:uid="{652ED9BD-0346-4F77-811A-1875860164EC}"/>
    <cellStyle name="20% - Accent6 3 2 7" xfId="4550" xr:uid="{00000000-0005-0000-0000-000086030000}"/>
    <cellStyle name="20% - Accent6 3 2 7 2" xfId="20667" xr:uid="{3B1CB404-1C0E-4F65-A3D3-BE051958F542}"/>
    <cellStyle name="20% - Accent6 3 2 7 3" xfId="13046" xr:uid="{383CBBC7-B43C-4EBE-B802-29BC7AE8AAFD}"/>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2 2 2" xfId="23224" xr:uid="{6EAB9CBE-1629-4040-BE82-860C20AD1E85}"/>
    <cellStyle name="20% - Accent6 3 3 2 2 3" xfId="15603" xr:uid="{D28B772E-981E-4B94-9B67-D3219BFEB42E}"/>
    <cellStyle name="20% - Accent6 3 3 2 3" xfId="19011" xr:uid="{7CA72B11-E3C0-4237-9DAC-C698F768B748}"/>
    <cellStyle name="20% - Accent6 3 3 2 4" xfId="11390" xr:uid="{EBB36104-D749-4C37-8C91-8E505576BF0F}"/>
    <cellStyle name="20% - Accent6 3 3 3" xfId="4963" xr:uid="{00000000-0005-0000-0000-00008A030000}"/>
    <cellStyle name="20% - Accent6 3 3 3 2" xfId="21079" xr:uid="{F1FCB749-63FA-4348-8297-8272610D407F}"/>
    <cellStyle name="20% - Accent6 3 3 3 3" xfId="13458" xr:uid="{88EB874F-4402-475B-9BC0-DFF5779DAB03}"/>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2 2 2" xfId="23637" xr:uid="{C9DFDA79-8A0B-46A1-AD30-EDAFA2B30F47}"/>
    <cellStyle name="20% - Accent6 3 4 2 2 3" xfId="16016" xr:uid="{8DD2934C-066E-4BBE-9711-E79018DAD687}"/>
    <cellStyle name="20% - Accent6 3 4 2 3" xfId="19424" xr:uid="{E4583FC3-85B8-4AF8-9B10-F322A11D28B4}"/>
    <cellStyle name="20% - Accent6 3 4 2 4" xfId="11803" xr:uid="{8FF1AB40-DA0B-4FF9-B4AF-E20934FE84E3}"/>
    <cellStyle name="20% - Accent6 3 4 3" xfId="5376" xr:uid="{00000000-0005-0000-0000-00008E030000}"/>
    <cellStyle name="20% - Accent6 3 4 3 2" xfId="21492" xr:uid="{5E283E96-CD3B-48EC-847F-04BBBBAD0D4F}"/>
    <cellStyle name="20% - Accent6 3 4 3 3" xfId="13871" xr:uid="{F110BBCE-3410-464D-B970-BBD543D1173F}"/>
    <cellStyle name="20% - Accent6 3 4 4" xfId="17279" xr:uid="{692B5BE8-68E3-4925-93E0-99AA501284AE}"/>
    <cellStyle name="20% - Accent6 3 4 5" xfId="9658" xr:uid="{A5DF9F4F-8478-4860-B4F4-B7DBAF868396}"/>
    <cellStyle name="20% - Accent6 3 5" xfId="1482" xr:uid="{00000000-0005-0000-0000-00008F030000}"/>
    <cellStyle name="20% - Accent6 3 5 2" xfId="3712" xr:uid="{00000000-0005-0000-0000-000090030000}"/>
    <cellStyle name="20% - Accent6 3 5 2 2" xfId="7934" xr:uid="{00000000-0005-0000-0000-000091030000}"/>
    <cellStyle name="20% - Accent6 3 5 2 2 2" xfId="24050" xr:uid="{AA47628F-0084-4833-A266-88EEE8DCFDFA}"/>
    <cellStyle name="20% - Accent6 3 5 2 2 3" xfId="16429" xr:uid="{71A950E9-3834-4DC9-95A5-A75B1E9A21EE}"/>
    <cellStyle name="20% - Accent6 3 5 2 3" xfId="19837" xr:uid="{5497CD7E-9534-4F2A-96F6-8916DF3EEC49}"/>
    <cellStyle name="20% - Accent6 3 5 2 4" xfId="12216" xr:uid="{B0892CCE-FB92-46EE-9392-F2E7A4C4A684}"/>
    <cellStyle name="20% - Accent6 3 5 3" xfId="5789" xr:uid="{00000000-0005-0000-0000-000092030000}"/>
    <cellStyle name="20% - Accent6 3 5 3 2" xfId="21905" xr:uid="{747F3CFB-55F7-45B7-889D-74045AD0DF2F}"/>
    <cellStyle name="20% - Accent6 3 5 3 3" xfId="14284" xr:uid="{5DCA062A-6A4C-4F24-A188-13573EF0C5A7}"/>
    <cellStyle name="20% - Accent6 3 5 4" xfId="17692" xr:uid="{2AB7DF06-30E1-49D7-8EC7-4A02EE70C875}"/>
    <cellStyle name="20% - Accent6 3 5 5" xfId="10071" xr:uid="{5A50718D-5900-4607-B13D-6AD0F8C49AF9}"/>
    <cellStyle name="20% - Accent6 3 6" xfId="1896" xr:uid="{00000000-0005-0000-0000-000093030000}"/>
    <cellStyle name="20% - Accent6 3 6 2" xfId="4125" xr:uid="{00000000-0005-0000-0000-000094030000}"/>
    <cellStyle name="20% - Accent6 3 6 2 2" xfId="8347" xr:uid="{00000000-0005-0000-0000-000095030000}"/>
    <cellStyle name="20% - Accent6 3 6 2 2 2" xfId="24463" xr:uid="{6689998A-3BD0-46D4-80DA-0510B5C58284}"/>
    <cellStyle name="20% - Accent6 3 6 2 2 3" xfId="16842" xr:uid="{EE07A0EB-D9A0-44DF-8D5A-8E2EB297F61C}"/>
    <cellStyle name="20% - Accent6 3 6 2 3" xfId="20250" xr:uid="{ECC52C61-15C1-4852-A6DE-97DCF2B565DC}"/>
    <cellStyle name="20% - Accent6 3 6 2 4" xfId="12629" xr:uid="{45D640E0-FDF6-4DBF-8ACE-569DBC972028}"/>
    <cellStyle name="20% - Accent6 3 6 3" xfId="6202" xr:uid="{00000000-0005-0000-0000-000096030000}"/>
    <cellStyle name="20% - Accent6 3 6 3 2" xfId="22318" xr:uid="{621F6B9B-C973-4156-8056-375F8F839719}"/>
    <cellStyle name="20% - Accent6 3 6 3 3" xfId="14697" xr:uid="{52B6F7A5-3D3E-43B7-A68C-F365487E1B93}"/>
    <cellStyle name="20% - Accent6 3 6 4" xfId="18105" xr:uid="{EAE94F07-C615-4069-8019-98F15CD604C7}"/>
    <cellStyle name="20% - Accent6 3 6 5" xfId="10484" xr:uid="{1888D765-6F2F-42B0-AA8E-68D5C1F461BA}"/>
    <cellStyle name="20% - Accent6 3 7" xfId="2309" xr:uid="{00000000-0005-0000-0000-000097030000}"/>
    <cellStyle name="20% - Accent6 3 7 2" xfId="6615" xr:uid="{00000000-0005-0000-0000-000098030000}"/>
    <cellStyle name="20% - Accent6 3 7 2 2" xfId="22731" xr:uid="{42D1B0CB-20DC-4653-A493-BDFDC536175C}"/>
    <cellStyle name="20% - Accent6 3 7 2 3" xfId="15110" xr:uid="{D81DBB2F-2CF5-439E-AB1C-765C15063D92}"/>
    <cellStyle name="20% - Accent6 3 7 3" xfId="18518" xr:uid="{4BCD64F8-C6F1-4EEE-AC95-0814ACE92E54}"/>
    <cellStyle name="20% - Accent6 3 7 4" xfId="10897" xr:uid="{EC4E91BF-784B-4425-A798-74207D721EB0}"/>
    <cellStyle name="20% - Accent6 3 8" xfId="4549" xr:uid="{00000000-0005-0000-0000-000099030000}"/>
    <cellStyle name="20% - Accent6 3 8 2" xfId="20666" xr:uid="{FF924A56-BC5B-4B07-A5B7-1B44E3BA5860}"/>
    <cellStyle name="20% - Accent6 3 8 3" xfId="13045" xr:uid="{E0B170AA-15E3-487F-9D5C-8F0D1C67CBE7}"/>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23226" xr:uid="{E3FE8B5D-3625-401D-8883-97A2982E3883}"/>
    <cellStyle name="20% - Accent6 4 2 2 2 3" xfId="15605" xr:uid="{41184AF1-C39F-4B53-A37A-D92C2537CDCF}"/>
    <cellStyle name="20% - Accent6 4 2 2 3" xfId="19013" xr:uid="{7BCC496F-81FF-4528-B452-2FB0E3F826F1}"/>
    <cellStyle name="20% - Accent6 4 2 2 4" xfId="11392" xr:uid="{D3887E90-DFA5-444B-B418-09158D0B7A23}"/>
    <cellStyle name="20% - Accent6 4 2 3" xfId="4965" xr:uid="{00000000-0005-0000-0000-00009E030000}"/>
    <cellStyle name="20% - Accent6 4 2 3 2" xfId="21081" xr:uid="{81F7E5C0-DC56-4B8B-BACB-597305B980C4}"/>
    <cellStyle name="20% - Accent6 4 2 3 3" xfId="13460" xr:uid="{E6CF1375-21D7-4DF8-9F8D-26C7ACC20CAA}"/>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2 2 2" xfId="23639" xr:uid="{334402BD-6A9B-4B2D-B165-E2D6A8A2DC9F}"/>
    <cellStyle name="20% - Accent6 4 3 2 2 3" xfId="16018" xr:uid="{CE0F2274-16F5-4941-BFCF-AB55CD9E3F33}"/>
    <cellStyle name="20% - Accent6 4 3 2 3" xfId="19426" xr:uid="{8BCAE8BB-6604-4DF7-B9B6-CA41028548B1}"/>
    <cellStyle name="20% - Accent6 4 3 2 4" xfId="11805" xr:uid="{1E70AAD2-BA7E-41FA-933B-A218A2D90AB2}"/>
    <cellStyle name="20% - Accent6 4 3 3" xfId="5378" xr:uid="{00000000-0005-0000-0000-0000A2030000}"/>
    <cellStyle name="20% - Accent6 4 3 3 2" xfId="21494" xr:uid="{C6B6F970-91A3-431D-BBA0-733267F1272B}"/>
    <cellStyle name="20% - Accent6 4 3 3 3" xfId="13873" xr:uid="{56441940-1C5D-42CF-83EB-AA0C7A340701}"/>
    <cellStyle name="20% - Accent6 4 3 4" xfId="17281" xr:uid="{10A37C64-CE68-4260-BE51-135E65CD9269}"/>
    <cellStyle name="20% - Accent6 4 3 5" xfId="9660" xr:uid="{71133D68-0CDB-4FB5-96E7-3ACF144E13BB}"/>
    <cellStyle name="20% - Accent6 4 4" xfId="1484" xr:uid="{00000000-0005-0000-0000-0000A3030000}"/>
    <cellStyle name="20% - Accent6 4 4 2" xfId="3714" xr:uid="{00000000-0005-0000-0000-0000A4030000}"/>
    <cellStyle name="20% - Accent6 4 4 2 2" xfId="7936" xr:uid="{00000000-0005-0000-0000-0000A5030000}"/>
    <cellStyle name="20% - Accent6 4 4 2 2 2" xfId="24052" xr:uid="{A0C86C63-36DB-4077-ABA5-749FCD4E6B66}"/>
    <cellStyle name="20% - Accent6 4 4 2 2 3" xfId="16431" xr:uid="{B4AA6B7C-A5F3-43C8-A75C-3D691EF3FB08}"/>
    <cellStyle name="20% - Accent6 4 4 2 3" xfId="19839" xr:uid="{C72CCB79-00C2-40BF-9C68-45C843566DFF}"/>
    <cellStyle name="20% - Accent6 4 4 2 4" xfId="12218" xr:uid="{5184EB89-115D-444A-A0D5-C2F79ACD732A}"/>
    <cellStyle name="20% - Accent6 4 4 3" xfId="5791" xr:uid="{00000000-0005-0000-0000-0000A6030000}"/>
    <cellStyle name="20% - Accent6 4 4 3 2" xfId="21907" xr:uid="{9BC6D220-DF8C-4EC8-953F-DEEC54FD9592}"/>
    <cellStyle name="20% - Accent6 4 4 3 3" xfId="14286" xr:uid="{FB20C8A7-344A-4054-9C55-ABF47A1ABF43}"/>
    <cellStyle name="20% - Accent6 4 4 4" xfId="17694" xr:uid="{30F1B736-CEF8-494D-991D-6CEEECB8DCEE}"/>
    <cellStyle name="20% - Accent6 4 4 5" xfId="10073" xr:uid="{8804D0AB-CCDD-482B-AA6B-F4FA6C008A63}"/>
    <cellStyle name="20% - Accent6 4 5" xfId="1898" xr:uid="{00000000-0005-0000-0000-0000A7030000}"/>
    <cellStyle name="20% - Accent6 4 5 2" xfId="4127" xr:uid="{00000000-0005-0000-0000-0000A8030000}"/>
    <cellStyle name="20% - Accent6 4 5 2 2" xfId="8349" xr:uid="{00000000-0005-0000-0000-0000A9030000}"/>
    <cellStyle name="20% - Accent6 4 5 2 2 2" xfId="24465" xr:uid="{FF456C89-D4FD-428B-8DFC-3BB1161D13AF}"/>
    <cellStyle name="20% - Accent6 4 5 2 2 3" xfId="16844" xr:uid="{AF2E37CC-7808-4B8C-A4DB-73267132D961}"/>
    <cellStyle name="20% - Accent6 4 5 2 3" xfId="20252" xr:uid="{29F16361-68D6-411F-A7F3-A652E365A51B}"/>
    <cellStyle name="20% - Accent6 4 5 2 4" xfId="12631" xr:uid="{1DB0B242-3CAE-4179-82A1-60428F66BA52}"/>
    <cellStyle name="20% - Accent6 4 5 3" xfId="6204" xr:uid="{00000000-0005-0000-0000-0000AA030000}"/>
    <cellStyle name="20% - Accent6 4 5 3 2" xfId="22320" xr:uid="{E46C3A6A-F724-4D12-9D69-DC47F53F45C1}"/>
    <cellStyle name="20% - Accent6 4 5 3 3" xfId="14699" xr:uid="{D1F66DA4-225B-418D-8028-36C011BA41CE}"/>
    <cellStyle name="20% - Accent6 4 5 4" xfId="18107" xr:uid="{7ED573AD-57AA-4AF8-9BCD-1FC4C29C93C7}"/>
    <cellStyle name="20% - Accent6 4 5 5" xfId="10486" xr:uid="{14339CB8-7007-4192-9173-3A6BAA6D4B96}"/>
    <cellStyle name="20% - Accent6 4 6" xfId="2311" xr:uid="{00000000-0005-0000-0000-0000AB030000}"/>
    <cellStyle name="20% - Accent6 4 6 2" xfId="6617" xr:uid="{00000000-0005-0000-0000-0000AC030000}"/>
    <cellStyle name="20% - Accent6 4 6 2 2" xfId="22733" xr:uid="{7A90C416-FEB9-47E2-8C6E-AA89DEA7EBDD}"/>
    <cellStyle name="20% - Accent6 4 6 2 3" xfId="15112" xr:uid="{2055EE4D-4A0B-4F8C-A152-2716827DAE7C}"/>
    <cellStyle name="20% - Accent6 4 6 3" xfId="18520" xr:uid="{BAF416DB-C99E-494B-8762-84BDF1153D78}"/>
    <cellStyle name="20% - Accent6 4 6 4" xfId="10899" xr:uid="{A564115A-077F-4080-9637-1C4B40998DAF}"/>
    <cellStyle name="20% - Accent6 4 7" xfId="4551" xr:uid="{00000000-0005-0000-0000-0000AD030000}"/>
    <cellStyle name="20% - Accent6 4 7 2" xfId="20668" xr:uid="{2E3ECCB9-DC0D-4059-8280-8929CF4B7325}"/>
    <cellStyle name="20% - Accent6 4 7 3" xfId="13047" xr:uid="{7E60DEB0-E0F6-4D0F-856D-718CAFA0AE07}"/>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2 2 2" xfId="23219" xr:uid="{738B56E4-F2CB-4A3D-8102-FE2D6784F07E}"/>
    <cellStyle name="20% - Accent6 5 2 2 3" xfId="15598" xr:uid="{81DDDEF6-305C-4027-B378-E50EB12798F4}"/>
    <cellStyle name="20% - Accent6 5 2 3" xfId="19006" xr:uid="{379DFB36-B8FB-4DB2-9EEA-09650B2343D7}"/>
    <cellStyle name="20% - Accent6 5 2 4" xfId="11385" xr:uid="{9758ED32-B210-47B2-903B-B2F3E0CC7299}"/>
    <cellStyle name="20% - Accent6 5 3" xfId="4958" xr:uid="{00000000-0005-0000-0000-0000B1030000}"/>
    <cellStyle name="20% - Accent6 5 3 2" xfId="21074" xr:uid="{9D16A0BE-BE3D-428E-BF5C-4DB7E7D15B58}"/>
    <cellStyle name="20% - Accent6 5 3 3" xfId="13453" xr:uid="{36DF6C66-1183-41CF-9A89-E9D9544C8B13}"/>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2 2 2" xfId="23632" xr:uid="{50A0DDD3-BE7F-4931-9214-483D22C7AF36}"/>
    <cellStyle name="20% - Accent6 6 2 2 3" xfId="16011" xr:uid="{3A1BC381-C7CB-42FE-AEE8-0BC922099454}"/>
    <cellStyle name="20% - Accent6 6 2 3" xfId="19419" xr:uid="{0A8CA27B-BA2B-40FF-BB33-231AC63889BB}"/>
    <cellStyle name="20% - Accent6 6 2 4" xfId="11798" xr:uid="{21748296-588C-47D2-83CF-130A82D36724}"/>
    <cellStyle name="20% - Accent6 6 3" xfId="5371" xr:uid="{00000000-0005-0000-0000-0000B5030000}"/>
    <cellStyle name="20% - Accent6 6 3 2" xfId="21487" xr:uid="{55935A51-8381-43C5-AEBE-821659127610}"/>
    <cellStyle name="20% - Accent6 6 3 3" xfId="13866" xr:uid="{A3EDE2D4-9C3A-4ACC-A2E1-FAF324230957}"/>
    <cellStyle name="20% - Accent6 6 4" xfId="17274" xr:uid="{A8F6B91B-F967-4DA6-AE0E-254F9A376B9F}"/>
    <cellStyle name="20% - Accent6 6 5" xfId="9653" xr:uid="{C4177004-52A1-4561-9384-343EC4E90779}"/>
    <cellStyle name="20% - Accent6 7" xfId="1477" xr:uid="{00000000-0005-0000-0000-0000B6030000}"/>
    <cellStyle name="20% - Accent6 7 2" xfId="3707" xr:uid="{00000000-0005-0000-0000-0000B7030000}"/>
    <cellStyle name="20% - Accent6 7 2 2" xfId="7929" xr:uid="{00000000-0005-0000-0000-0000B8030000}"/>
    <cellStyle name="20% - Accent6 7 2 2 2" xfId="24045" xr:uid="{FB143621-6573-4246-87C0-3A6D223ABF86}"/>
    <cellStyle name="20% - Accent6 7 2 2 3" xfId="16424" xr:uid="{C8F752C5-B3D4-469C-8B84-FB53447ACB12}"/>
    <cellStyle name="20% - Accent6 7 2 3" xfId="19832" xr:uid="{02EF95F8-0067-44DB-985E-B1546815BD19}"/>
    <cellStyle name="20% - Accent6 7 2 4" xfId="12211" xr:uid="{DAF55C57-6593-4F4D-9EA4-9781F3F9856D}"/>
    <cellStyle name="20% - Accent6 7 3" xfId="5784" xr:uid="{00000000-0005-0000-0000-0000B9030000}"/>
    <cellStyle name="20% - Accent6 7 3 2" xfId="21900" xr:uid="{9F767A80-0F5A-4967-8560-32775AF1997D}"/>
    <cellStyle name="20% - Accent6 7 3 3" xfId="14279" xr:uid="{6C75C83E-6785-425E-8BF5-87E0D78B378D}"/>
    <cellStyle name="20% - Accent6 7 4" xfId="17687" xr:uid="{0F60E29C-084A-41E4-8856-81A168A73ADD}"/>
    <cellStyle name="20% - Accent6 7 5" xfId="10066" xr:uid="{4B4329F4-6D39-4713-BBE7-C4A9695EE87A}"/>
    <cellStyle name="20% - Accent6 8" xfId="1891" xr:uid="{00000000-0005-0000-0000-0000BA030000}"/>
    <cellStyle name="20% - Accent6 8 2" xfId="4120" xr:uid="{00000000-0005-0000-0000-0000BB030000}"/>
    <cellStyle name="20% - Accent6 8 2 2" xfId="8342" xr:uid="{00000000-0005-0000-0000-0000BC030000}"/>
    <cellStyle name="20% - Accent6 8 2 2 2" xfId="24458" xr:uid="{A9B6FC88-4F8B-48C1-9139-9433552C7015}"/>
    <cellStyle name="20% - Accent6 8 2 2 3" xfId="16837" xr:uid="{D06CC67E-7A9F-4309-93F7-941D1D3AC0C4}"/>
    <cellStyle name="20% - Accent6 8 2 3" xfId="20245" xr:uid="{2CC4832F-063C-4332-BF18-DE3861267C43}"/>
    <cellStyle name="20% - Accent6 8 2 4" xfId="12624" xr:uid="{D7E05B3C-EC48-4A00-BDA2-19D5F9A739F5}"/>
    <cellStyle name="20% - Accent6 8 3" xfId="6197" xr:uid="{00000000-0005-0000-0000-0000BD030000}"/>
    <cellStyle name="20% - Accent6 8 3 2" xfId="22313" xr:uid="{C7828348-0104-4FB3-A3F4-BBA4CB9BE3C4}"/>
    <cellStyle name="20% - Accent6 8 3 3" xfId="14692" xr:uid="{E23B2B78-A8F1-48DD-A8A2-3024D2BF941A}"/>
    <cellStyle name="20% - Accent6 8 4" xfId="18100" xr:uid="{17BD396C-B62F-4E0F-9A49-DDBC1189F0F3}"/>
    <cellStyle name="20% - Accent6 8 5" xfId="10479" xr:uid="{127C2A6D-01E6-4530-AD58-889744A3868F}"/>
    <cellStyle name="20% - Accent6 9" xfId="2304" xr:uid="{00000000-0005-0000-0000-0000BE030000}"/>
    <cellStyle name="20% - Accent6 9 2" xfId="6610" xr:uid="{00000000-0005-0000-0000-0000BF030000}"/>
    <cellStyle name="20% - Accent6 9 2 2" xfId="22726" xr:uid="{39A4FBA3-0A79-4592-9013-D90EC7FB343B}"/>
    <cellStyle name="20% - Accent6 9 2 3" xfId="15105" xr:uid="{D4C0150E-013F-4CCD-8391-363CA1066EB7}"/>
    <cellStyle name="20% - Accent6 9 3" xfId="18513" xr:uid="{D8F9F06C-14FA-4A56-AD82-8BD4CD2306BE}"/>
    <cellStyle name="20% - Accent6 9 4" xfId="10892" xr:uid="{9F9DF9ED-27ED-43C7-802F-B44CFC591BE9}"/>
    <cellStyle name="40% - Accent1" xfId="49" builtinId="31" customBuiltin="1"/>
    <cellStyle name="40% - Accent1 10" xfId="4552" xr:uid="{00000000-0005-0000-0000-0000C1030000}"/>
    <cellStyle name="40% - Accent1 10 2" xfId="20669" xr:uid="{10140F3D-5365-4FF6-B7BA-BB8E8526B868}"/>
    <cellStyle name="40% - Accent1 10 3" xfId="13048" xr:uid="{230D918F-54ED-41BF-A24C-D085F630B074}"/>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23230" xr:uid="{0A5E9758-9B52-4C97-A47F-68C1C12E80EF}"/>
    <cellStyle name="40% - Accent1 2 2 2 2 2 2 3" xfId="15609" xr:uid="{8DA0B133-051E-43D5-ACD7-99DDCBAA05EB}"/>
    <cellStyle name="40% - Accent1 2 2 2 2 2 3" xfId="19017" xr:uid="{7FFEC3E0-A819-4401-B3CB-85B534547911}"/>
    <cellStyle name="40% - Accent1 2 2 2 2 2 4" xfId="11396" xr:uid="{06B64B62-CC50-412F-90CF-4EE0BF58A8D5}"/>
    <cellStyle name="40% - Accent1 2 2 2 2 3" xfId="4969" xr:uid="{00000000-0005-0000-0000-0000C8030000}"/>
    <cellStyle name="40% - Accent1 2 2 2 2 3 2" xfId="21085" xr:uid="{A0A2C7BF-E714-427B-8312-E50E225E68B0}"/>
    <cellStyle name="40% - Accent1 2 2 2 2 3 3" xfId="13464" xr:uid="{0EDC7AED-9EE0-4135-9960-34A3B48AB5DB}"/>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23643" xr:uid="{9B47B66B-73AA-4644-AA27-4D1DC7198975}"/>
    <cellStyle name="40% - Accent1 2 2 2 3 2 2 3" xfId="16022" xr:uid="{3F1097E0-A480-44CA-90F4-3FC70A5A9A67}"/>
    <cellStyle name="40% - Accent1 2 2 2 3 2 3" xfId="19430" xr:uid="{2A8D234A-7E2D-43F1-B422-229AF2D5600C}"/>
    <cellStyle name="40% - Accent1 2 2 2 3 2 4" xfId="11809" xr:uid="{92F35419-DFCE-44F5-BCF9-ABA4B6B32A94}"/>
    <cellStyle name="40% - Accent1 2 2 2 3 3" xfId="5382" xr:uid="{00000000-0005-0000-0000-0000CC030000}"/>
    <cellStyle name="40% - Accent1 2 2 2 3 3 2" xfId="21498" xr:uid="{7D99D096-961F-41C5-A52B-F02D0FE1651E}"/>
    <cellStyle name="40% - Accent1 2 2 2 3 3 3" xfId="13877" xr:uid="{0F9D22CC-0839-4FB7-9E6F-DFB984AB176B}"/>
    <cellStyle name="40% - Accent1 2 2 2 3 4" xfId="17285" xr:uid="{456676FD-5AA3-400A-8827-DFA0872CC738}"/>
    <cellStyle name="40% - Accent1 2 2 2 3 5" xfId="9664" xr:uid="{95B7A448-D6F9-446C-80C3-C52CB8C3C10C}"/>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24056" xr:uid="{616C27B6-DBF0-4196-9F4E-3BACC5375FCF}"/>
    <cellStyle name="40% - Accent1 2 2 2 4 2 2 3" xfId="16435" xr:uid="{3DB4ED57-931F-4F7F-97A9-000E13F32430}"/>
    <cellStyle name="40% - Accent1 2 2 2 4 2 3" xfId="19843" xr:uid="{6AB374C6-F81C-49CA-8EE4-812E4078F0B6}"/>
    <cellStyle name="40% - Accent1 2 2 2 4 2 4" xfId="12222" xr:uid="{DC7591F7-ED20-447E-BA27-5AF927107745}"/>
    <cellStyle name="40% - Accent1 2 2 2 4 3" xfId="5795" xr:uid="{00000000-0005-0000-0000-0000D0030000}"/>
    <cellStyle name="40% - Accent1 2 2 2 4 3 2" xfId="21911" xr:uid="{8E20F1F8-6F80-460C-BAFF-C86F1D69E11A}"/>
    <cellStyle name="40% - Accent1 2 2 2 4 3 3" xfId="14290" xr:uid="{3655AF04-1E54-4A3A-980C-0C3638CFE03F}"/>
    <cellStyle name="40% - Accent1 2 2 2 4 4" xfId="17698" xr:uid="{1CE801D9-8F14-4B96-A102-C55592E2E97C}"/>
    <cellStyle name="40% - Accent1 2 2 2 4 5" xfId="10077" xr:uid="{22FA287B-65FF-488F-ABD1-7F617F4163BE}"/>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24469" xr:uid="{CDC8A324-6071-4BA0-AADA-931CE7A34184}"/>
    <cellStyle name="40% - Accent1 2 2 2 5 2 2 3" xfId="16848" xr:uid="{656B2C0B-B244-4A24-A2F7-32FAFA81B19E}"/>
    <cellStyle name="40% - Accent1 2 2 2 5 2 3" xfId="20256" xr:uid="{083ADA17-72CD-4B87-8EA5-32378E15D9C9}"/>
    <cellStyle name="40% - Accent1 2 2 2 5 2 4" xfId="12635" xr:uid="{7FD5380E-D9A4-409D-973B-0E52B359D3FD}"/>
    <cellStyle name="40% - Accent1 2 2 2 5 3" xfId="6208" xr:uid="{00000000-0005-0000-0000-0000D4030000}"/>
    <cellStyle name="40% - Accent1 2 2 2 5 3 2" xfId="22324" xr:uid="{35A7539B-D8C9-44E8-969C-97E3E97F0AFA}"/>
    <cellStyle name="40% - Accent1 2 2 2 5 3 3" xfId="14703" xr:uid="{6815657D-24E0-4A24-9236-2684C6AC0F27}"/>
    <cellStyle name="40% - Accent1 2 2 2 5 4" xfId="18111" xr:uid="{04530E74-9A21-446C-939B-E1FAB2A5DAEF}"/>
    <cellStyle name="40% - Accent1 2 2 2 5 5" xfId="10490" xr:uid="{E947976F-BC95-47DD-A383-F1AF21400947}"/>
    <cellStyle name="40% - Accent1 2 2 2 6" xfId="2315" xr:uid="{00000000-0005-0000-0000-0000D5030000}"/>
    <cellStyle name="40% - Accent1 2 2 2 6 2" xfId="6621" xr:uid="{00000000-0005-0000-0000-0000D6030000}"/>
    <cellStyle name="40% - Accent1 2 2 2 6 2 2" xfId="22737" xr:uid="{36059794-FBD5-422A-8D6E-80097A6F8678}"/>
    <cellStyle name="40% - Accent1 2 2 2 6 2 3" xfId="15116" xr:uid="{A3003578-1BA3-4401-A7DC-A66757C7AE65}"/>
    <cellStyle name="40% - Accent1 2 2 2 6 3" xfId="18524" xr:uid="{159CA9DF-03BB-4561-9620-448307535B8F}"/>
    <cellStyle name="40% - Accent1 2 2 2 6 4" xfId="10903" xr:uid="{28A390B1-E343-41B0-B4FF-80F73AB6A1FC}"/>
    <cellStyle name="40% - Accent1 2 2 2 7" xfId="4555" xr:uid="{00000000-0005-0000-0000-0000D7030000}"/>
    <cellStyle name="40% - Accent1 2 2 2 7 2" xfId="20672" xr:uid="{5F7D13AD-861A-423B-9F4B-31E425186694}"/>
    <cellStyle name="40% - Accent1 2 2 2 7 3" xfId="13051" xr:uid="{113EF667-066C-4DE8-989C-8F91FF9E2845}"/>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23229" xr:uid="{D03A0FE6-BB90-457D-AB51-DBE2187C75E6}"/>
    <cellStyle name="40% - Accent1 2 2 3 2 2 3" xfId="15608" xr:uid="{D23E99E3-DBA2-4633-B867-C3D88BF58333}"/>
    <cellStyle name="40% - Accent1 2 2 3 2 3" xfId="19016" xr:uid="{2142E9DE-F5F4-4387-9A11-F8794B50C8B6}"/>
    <cellStyle name="40% - Accent1 2 2 3 2 4" xfId="11395" xr:uid="{1ACFF4BC-B25F-46C8-9FAE-320AB640088F}"/>
    <cellStyle name="40% - Accent1 2 2 3 3" xfId="4968" xr:uid="{00000000-0005-0000-0000-0000DB030000}"/>
    <cellStyle name="40% - Accent1 2 2 3 3 2" xfId="21084" xr:uid="{D47C0FCA-9F35-4B57-B653-D8393A71B2CE}"/>
    <cellStyle name="40% - Accent1 2 2 3 3 3" xfId="13463" xr:uid="{09F4597A-C625-4D67-AD32-380DB7CDA455}"/>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23642" xr:uid="{E0D2C12A-CAB1-4356-A6AD-657C388A5992}"/>
    <cellStyle name="40% - Accent1 2 2 4 2 2 3" xfId="16021" xr:uid="{A3E77AD1-9ED9-4386-9481-11DB07DB9FA2}"/>
    <cellStyle name="40% - Accent1 2 2 4 2 3" xfId="19429" xr:uid="{294A17CC-E708-46A8-B93B-16B739DE68EB}"/>
    <cellStyle name="40% - Accent1 2 2 4 2 4" xfId="11808" xr:uid="{0E5FB42F-B5EF-42B6-AD7B-D122FF906116}"/>
    <cellStyle name="40% - Accent1 2 2 4 3" xfId="5381" xr:uid="{00000000-0005-0000-0000-0000DF030000}"/>
    <cellStyle name="40% - Accent1 2 2 4 3 2" xfId="21497" xr:uid="{805ECF8D-1BB1-43E6-9355-9809F08B212A}"/>
    <cellStyle name="40% - Accent1 2 2 4 3 3" xfId="13876" xr:uid="{42768681-9985-4DB8-B583-2095BFBD406A}"/>
    <cellStyle name="40% - Accent1 2 2 4 4" xfId="17284" xr:uid="{E2AE2450-19D4-4208-A13A-D40CF8C7ACA7}"/>
    <cellStyle name="40% - Accent1 2 2 4 5" xfId="9663" xr:uid="{63C9F7FD-AD4E-40CA-907C-43432F7020E4}"/>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24055" xr:uid="{FAA50D1A-5E16-4D81-84C1-9466D8C920EF}"/>
    <cellStyle name="40% - Accent1 2 2 5 2 2 3" xfId="16434" xr:uid="{4FBB0850-59A1-474F-A593-5732A92529B0}"/>
    <cellStyle name="40% - Accent1 2 2 5 2 3" xfId="19842" xr:uid="{4F7707C3-74E4-4AA6-914E-68153915BA28}"/>
    <cellStyle name="40% - Accent1 2 2 5 2 4" xfId="12221" xr:uid="{FC16EC37-1A0D-49BD-89BE-F6D82BAD412E}"/>
    <cellStyle name="40% - Accent1 2 2 5 3" xfId="5794" xr:uid="{00000000-0005-0000-0000-0000E3030000}"/>
    <cellStyle name="40% - Accent1 2 2 5 3 2" xfId="21910" xr:uid="{47611C6C-6972-44DD-9F68-75C47C6904FC}"/>
    <cellStyle name="40% - Accent1 2 2 5 3 3" xfId="14289" xr:uid="{E55D135D-F709-43B9-ADE8-A38FFF8A5FDC}"/>
    <cellStyle name="40% - Accent1 2 2 5 4" xfId="17697" xr:uid="{C94D66B7-A006-466D-B37F-3BE95EC0C7DE}"/>
    <cellStyle name="40% - Accent1 2 2 5 5" xfId="10076" xr:uid="{0973EDA9-0DA0-4042-B58B-7DF737D35AC9}"/>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24468" xr:uid="{E499385D-C533-477A-ADFD-092E5BBDEE1A}"/>
    <cellStyle name="40% - Accent1 2 2 6 2 2 3" xfId="16847" xr:uid="{6E9DDB37-A77C-465E-B674-0E2629496059}"/>
    <cellStyle name="40% - Accent1 2 2 6 2 3" xfId="20255" xr:uid="{4AED131B-C275-4F0B-AE98-184F4C572994}"/>
    <cellStyle name="40% - Accent1 2 2 6 2 4" xfId="12634" xr:uid="{2ED6E578-8320-4C19-925F-B3C1CE1BB4F8}"/>
    <cellStyle name="40% - Accent1 2 2 6 3" xfId="6207" xr:uid="{00000000-0005-0000-0000-0000E7030000}"/>
    <cellStyle name="40% - Accent1 2 2 6 3 2" xfId="22323" xr:uid="{F764F616-CE52-4822-869E-071B543B0B41}"/>
    <cellStyle name="40% - Accent1 2 2 6 3 3" xfId="14702" xr:uid="{A904BFFD-BEA2-42E7-9FDD-09E108B1D035}"/>
    <cellStyle name="40% - Accent1 2 2 6 4" xfId="18110" xr:uid="{4B6F92BF-91F7-444F-B5C1-BFAE6EFF1235}"/>
    <cellStyle name="40% - Accent1 2 2 6 5" xfId="10489" xr:uid="{56477E48-5993-467E-B7A0-7699392D93B2}"/>
    <cellStyle name="40% - Accent1 2 2 7" xfId="2314" xr:uid="{00000000-0005-0000-0000-0000E8030000}"/>
    <cellStyle name="40% - Accent1 2 2 7 2" xfId="6620" xr:uid="{00000000-0005-0000-0000-0000E9030000}"/>
    <cellStyle name="40% - Accent1 2 2 7 2 2" xfId="22736" xr:uid="{4516B719-83DC-4B83-A1D9-F2603660BAF7}"/>
    <cellStyle name="40% - Accent1 2 2 7 2 3" xfId="15115" xr:uid="{7BC913F3-659B-42B5-A3D1-1D9EABF42A79}"/>
    <cellStyle name="40% - Accent1 2 2 7 3" xfId="18523" xr:uid="{72F48ED6-8B9B-4DA3-BC11-3E2240B515C7}"/>
    <cellStyle name="40% - Accent1 2 2 7 4" xfId="10902" xr:uid="{E133FE27-4B80-408F-991A-7984665D2462}"/>
    <cellStyle name="40% - Accent1 2 2 8" xfId="4554" xr:uid="{00000000-0005-0000-0000-0000EA030000}"/>
    <cellStyle name="40% - Accent1 2 2 8 2" xfId="20671" xr:uid="{1396E180-38DC-4EF6-B35C-B49231F80D8B}"/>
    <cellStyle name="40% - Accent1 2 2 8 3" xfId="13050" xr:uid="{00CC1A28-0628-4FD8-BB71-6FA41D727E89}"/>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23231" xr:uid="{3AF4F57C-33B3-41C8-AA12-9C014184E69D}"/>
    <cellStyle name="40% - Accent1 2 3 2 2 2 3" xfId="15610" xr:uid="{30BAA820-EF7F-4DDB-AFA6-7F65B9FDBB5B}"/>
    <cellStyle name="40% - Accent1 2 3 2 2 3" xfId="19018" xr:uid="{E46669D5-3515-4437-A91D-73F9966B747A}"/>
    <cellStyle name="40% - Accent1 2 3 2 2 4" xfId="11397" xr:uid="{37CA42F8-1021-42E2-BDB2-2B9EAC5283C9}"/>
    <cellStyle name="40% - Accent1 2 3 2 3" xfId="4970" xr:uid="{00000000-0005-0000-0000-0000EF030000}"/>
    <cellStyle name="40% - Accent1 2 3 2 3 2" xfId="21086" xr:uid="{0AD230F0-F4DA-4FA5-8561-660309D22F3D}"/>
    <cellStyle name="40% - Accent1 2 3 2 3 3" xfId="13465" xr:uid="{5FCFC342-90A7-4C32-89ED-91F9AF4A7C26}"/>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23644" xr:uid="{DB72C427-FD4D-427D-BA8A-B81E7DDBE286}"/>
    <cellStyle name="40% - Accent1 2 3 3 2 2 3" xfId="16023" xr:uid="{F7419F14-D10C-4C14-8090-6C8B4803B816}"/>
    <cellStyle name="40% - Accent1 2 3 3 2 3" xfId="19431" xr:uid="{E4B25B1D-E758-48A1-B3B4-867B351C7B19}"/>
    <cellStyle name="40% - Accent1 2 3 3 2 4" xfId="11810" xr:uid="{EC2098FF-678D-43D2-9204-190CB5A07CE6}"/>
    <cellStyle name="40% - Accent1 2 3 3 3" xfId="5383" xr:uid="{00000000-0005-0000-0000-0000F3030000}"/>
    <cellStyle name="40% - Accent1 2 3 3 3 2" xfId="21499" xr:uid="{97D707DD-9BD3-4B56-9FB1-7A5D29766EA3}"/>
    <cellStyle name="40% - Accent1 2 3 3 3 3" xfId="13878" xr:uid="{B4FF4C18-2B09-4191-B87F-AC2E95FD6C5A}"/>
    <cellStyle name="40% - Accent1 2 3 3 4" xfId="17286" xr:uid="{4007A0BD-31EA-4E29-8079-5974F5F2470C}"/>
    <cellStyle name="40% - Accent1 2 3 3 5" xfId="9665" xr:uid="{68273AC0-994C-4F5B-96FC-6173BE8FAC4F}"/>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24057" xr:uid="{BC09A887-5A66-44A8-AC43-D27D0CD47C6E}"/>
    <cellStyle name="40% - Accent1 2 3 4 2 2 3" xfId="16436" xr:uid="{4CF9E8BA-62FF-4D73-8BD7-6EB98035B91D}"/>
    <cellStyle name="40% - Accent1 2 3 4 2 3" xfId="19844" xr:uid="{C293BDE0-C1FA-4C27-A43E-B066849149FC}"/>
    <cellStyle name="40% - Accent1 2 3 4 2 4" xfId="12223" xr:uid="{951A570E-1318-4985-A188-9B3DF4079CA6}"/>
    <cellStyle name="40% - Accent1 2 3 4 3" xfId="5796" xr:uid="{00000000-0005-0000-0000-0000F7030000}"/>
    <cellStyle name="40% - Accent1 2 3 4 3 2" xfId="21912" xr:uid="{273E0137-2873-45E9-9633-BC97BE36C55C}"/>
    <cellStyle name="40% - Accent1 2 3 4 3 3" xfId="14291" xr:uid="{E9939094-CDAB-4D5D-B857-E33FA40D5839}"/>
    <cellStyle name="40% - Accent1 2 3 4 4" xfId="17699" xr:uid="{B469EDAA-5253-4FA6-95F9-661173E03189}"/>
    <cellStyle name="40% - Accent1 2 3 4 5" xfId="10078" xr:uid="{D9E408A0-7DAF-4C69-A9B4-880106066531}"/>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24470" xr:uid="{A30CF1B7-CF32-4160-8686-6F4D234681C4}"/>
    <cellStyle name="40% - Accent1 2 3 5 2 2 3" xfId="16849" xr:uid="{B5B94B14-B881-4FE5-8A99-68E093599C77}"/>
    <cellStyle name="40% - Accent1 2 3 5 2 3" xfId="20257" xr:uid="{E117C294-A753-43C6-90E4-F1A48F9A6E7E}"/>
    <cellStyle name="40% - Accent1 2 3 5 2 4" xfId="12636" xr:uid="{4DF4506E-61B0-4CD4-8810-DFC3481688F1}"/>
    <cellStyle name="40% - Accent1 2 3 5 3" xfId="6209" xr:uid="{00000000-0005-0000-0000-0000FB030000}"/>
    <cellStyle name="40% - Accent1 2 3 5 3 2" xfId="22325" xr:uid="{3368FC45-7517-4F14-A5A8-4DEE06BD953E}"/>
    <cellStyle name="40% - Accent1 2 3 5 3 3" xfId="14704" xr:uid="{177A884F-85A7-4173-A9BA-BFDAEC5E9F1E}"/>
    <cellStyle name="40% - Accent1 2 3 5 4" xfId="18112" xr:uid="{2D2E74D0-2EE8-42CE-A99B-1FF650B71526}"/>
    <cellStyle name="40% - Accent1 2 3 5 5" xfId="10491" xr:uid="{1658F4CC-7CF2-4FF9-9F2A-87447F16D6CD}"/>
    <cellStyle name="40% - Accent1 2 3 6" xfId="2316" xr:uid="{00000000-0005-0000-0000-0000FC030000}"/>
    <cellStyle name="40% - Accent1 2 3 6 2" xfId="6622" xr:uid="{00000000-0005-0000-0000-0000FD030000}"/>
    <cellStyle name="40% - Accent1 2 3 6 2 2" xfId="22738" xr:uid="{4138934F-0EF8-48C7-AEEB-0B6E84D46186}"/>
    <cellStyle name="40% - Accent1 2 3 6 2 3" xfId="15117" xr:uid="{69981AC8-0A3F-485D-A108-45180285C956}"/>
    <cellStyle name="40% - Accent1 2 3 6 3" xfId="18525" xr:uid="{FE0D1D6A-6493-440E-B665-9ACF976A18D4}"/>
    <cellStyle name="40% - Accent1 2 3 6 4" xfId="10904" xr:uid="{A0584A86-7892-430D-85D8-4D4B5D4F6D69}"/>
    <cellStyle name="40% - Accent1 2 3 7" xfId="4556" xr:uid="{00000000-0005-0000-0000-0000FE030000}"/>
    <cellStyle name="40% - Accent1 2 3 7 2" xfId="20673" xr:uid="{6A4DE8DF-3037-4C92-8C03-C6F80B636307}"/>
    <cellStyle name="40% - Accent1 2 3 7 3" xfId="13052" xr:uid="{CF1C0F44-FCE6-4CEC-9254-F62702A5B8A1}"/>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2 2 2" xfId="23228" xr:uid="{ABE709BE-3FC5-4A4C-9643-B42A9456903E}"/>
    <cellStyle name="40% - Accent1 2 4 2 2 3" xfId="15607" xr:uid="{46E155AA-2980-49BD-AE91-933091D3F736}"/>
    <cellStyle name="40% - Accent1 2 4 2 3" xfId="19015" xr:uid="{B67570DD-08F8-48DA-B6BF-A26FE3557433}"/>
    <cellStyle name="40% - Accent1 2 4 2 4" xfId="11394" xr:uid="{9C5FE7A2-FC26-45AC-BFD1-D453FED4D127}"/>
    <cellStyle name="40% - Accent1 2 4 3" xfId="4967" xr:uid="{00000000-0005-0000-0000-000002040000}"/>
    <cellStyle name="40% - Accent1 2 4 3 2" xfId="21083" xr:uid="{4AF585D2-4214-42B5-A5DD-0FB7A42FE1BA}"/>
    <cellStyle name="40% - Accent1 2 4 3 3" xfId="13462" xr:uid="{7127BC82-EA6E-4283-92AB-481DA871749A}"/>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2 2 2" xfId="23641" xr:uid="{7E499C71-38D7-43CE-B118-D0980E7C3B4E}"/>
    <cellStyle name="40% - Accent1 2 5 2 2 3" xfId="16020" xr:uid="{EFB982C0-E7BF-410B-893D-EE40A17E86A1}"/>
    <cellStyle name="40% - Accent1 2 5 2 3" xfId="19428" xr:uid="{451A3772-7ED2-46C5-9266-7C5E5C56045D}"/>
    <cellStyle name="40% - Accent1 2 5 2 4" xfId="11807" xr:uid="{689DB33D-6E88-474E-8D40-6EEB1C6EEE1D}"/>
    <cellStyle name="40% - Accent1 2 5 3" xfId="5380" xr:uid="{00000000-0005-0000-0000-000006040000}"/>
    <cellStyle name="40% - Accent1 2 5 3 2" xfId="21496" xr:uid="{D1DCD624-9C14-4E09-8155-7D4C613C14C6}"/>
    <cellStyle name="40% - Accent1 2 5 3 3" xfId="13875" xr:uid="{D7F01A1E-1543-40B3-A496-1D4053E3F8FD}"/>
    <cellStyle name="40% - Accent1 2 5 4" xfId="17283" xr:uid="{2E622F46-A998-444F-8068-02508AC182A9}"/>
    <cellStyle name="40% - Accent1 2 5 5" xfId="9662" xr:uid="{4AC32FDB-620D-4326-98E7-AA725E5278B8}"/>
    <cellStyle name="40% - Accent1 2 6" xfId="1486" xr:uid="{00000000-0005-0000-0000-000007040000}"/>
    <cellStyle name="40% - Accent1 2 6 2" xfId="3716" xr:uid="{00000000-0005-0000-0000-000008040000}"/>
    <cellStyle name="40% - Accent1 2 6 2 2" xfId="7938" xr:uid="{00000000-0005-0000-0000-000009040000}"/>
    <cellStyle name="40% - Accent1 2 6 2 2 2" xfId="24054" xr:uid="{996068E1-6A06-497A-A0CC-303571B802D7}"/>
    <cellStyle name="40% - Accent1 2 6 2 2 3" xfId="16433" xr:uid="{7005A9CD-4085-4CA4-B189-A8C142C69CA9}"/>
    <cellStyle name="40% - Accent1 2 6 2 3" xfId="19841" xr:uid="{306772B0-DEE0-4851-A0ED-AA3E41C44A99}"/>
    <cellStyle name="40% - Accent1 2 6 2 4" xfId="12220" xr:uid="{B5D209FE-4DC5-4041-91A0-A86850EA4677}"/>
    <cellStyle name="40% - Accent1 2 6 3" xfId="5793" xr:uid="{00000000-0005-0000-0000-00000A040000}"/>
    <cellStyle name="40% - Accent1 2 6 3 2" xfId="21909" xr:uid="{8DA84431-67E3-4D16-B2A5-0E0E6E2DCB9B}"/>
    <cellStyle name="40% - Accent1 2 6 3 3" xfId="14288" xr:uid="{51E5F5E5-3916-4D52-AB11-EAABBE412F89}"/>
    <cellStyle name="40% - Accent1 2 6 4" xfId="17696" xr:uid="{7E5ABDF1-6CC1-461D-A18A-2DBBBE17E52D}"/>
    <cellStyle name="40% - Accent1 2 6 5" xfId="10075" xr:uid="{88414F70-6DD9-490D-99DF-271E1861852B}"/>
    <cellStyle name="40% - Accent1 2 7" xfId="1900" xr:uid="{00000000-0005-0000-0000-00000B040000}"/>
    <cellStyle name="40% - Accent1 2 7 2" xfId="4129" xr:uid="{00000000-0005-0000-0000-00000C040000}"/>
    <cellStyle name="40% - Accent1 2 7 2 2" xfId="8351" xr:uid="{00000000-0005-0000-0000-00000D040000}"/>
    <cellStyle name="40% - Accent1 2 7 2 2 2" xfId="24467" xr:uid="{A49ACC0C-7071-4376-9283-36DDC119BC6B}"/>
    <cellStyle name="40% - Accent1 2 7 2 2 3" xfId="16846" xr:uid="{2B67B124-D853-4E58-9C2B-BA45AA231157}"/>
    <cellStyle name="40% - Accent1 2 7 2 3" xfId="20254" xr:uid="{4D882A6B-ADED-40C6-BDB7-155F301AD356}"/>
    <cellStyle name="40% - Accent1 2 7 2 4" xfId="12633" xr:uid="{33FB00CF-5823-44F6-8D6F-2D129B7A77DA}"/>
    <cellStyle name="40% - Accent1 2 7 3" xfId="6206" xr:uid="{00000000-0005-0000-0000-00000E040000}"/>
    <cellStyle name="40% - Accent1 2 7 3 2" xfId="22322" xr:uid="{8E756649-C30B-4830-BD9A-965CBA8CC6F0}"/>
    <cellStyle name="40% - Accent1 2 7 3 3" xfId="14701" xr:uid="{A6A6706B-B14A-4A53-8612-F42694521F43}"/>
    <cellStyle name="40% - Accent1 2 7 4" xfId="18109" xr:uid="{23947A37-9711-460A-92C1-4ABA4C64CE5F}"/>
    <cellStyle name="40% - Accent1 2 7 5" xfId="10488" xr:uid="{5A5C5F64-ABF8-4FBF-A9FC-8B920F76ACF0}"/>
    <cellStyle name="40% - Accent1 2 8" xfId="2313" xr:uid="{00000000-0005-0000-0000-00000F040000}"/>
    <cellStyle name="40% - Accent1 2 8 2" xfId="6619" xr:uid="{00000000-0005-0000-0000-000010040000}"/>
    <cellStyle name="40% - Accent1 2 8 2 2" xfId="22735" xr:uid="{E313639D-70D4-4284-89B3-39CC9A49A301}"/>
    <cellStyle name="40% - Accent1 2 8 2 3" xfId="15114" xr:uid="{FD9CF215-FC6E-4056-9E3E-777B6DAF4543}"/>
    <cellStyle name="40% - Accent1 2 8 3" xfId="18522" xr:uid="{AB8F7BF0-398D-44E0-81EC-2BC7651377F9}"/>
    <cellStyle name="40% - Accent1 2 8 4" xfId="10901" xr:uid="{55CCFA05-3228-4429-BD59-E98ECD8F9175}"/>
    <cellStyle name="40% - Accent1 2 9" xfId="4553" xr:uid="{00000000-0005-0000-0000-000011040000}"/>
    <cellStyle name="40% - Accent1 2 9 2" xfId="20670" xr:uid="{65115EF3-8A69-48DF-96DF-D4DE6BCC893A}"/>
    <cellStyle name="40% - Accent1 2 9 3" xfId="13049" xr:uid="{171FD2CA-07AA-43C4-8306-FE78D8AB6C21}"/>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23233" xr:uid="{BF13CA7B-4EEB-44ED-B376-64A97972D693}"/>
    <cellStyle name="40% - Accent1 3 2 2 2 2 3" xfId="15612" xr:uid="{3E0F6CAA-96B1-4854-BBE6-7CE540830B32}"/>
    <cellStyle name="40% - Accent1 3 2 2 2 3" xfId="19020" xr:uid="{514D4C5E-3779-4A11-BE4F-ADB217647C5D}"/>
    <cellStyle name="40% - Accent1 3 2 2 2 4" xfId="11399" xr:uid="{C5148FC5-A4BC-473D-946B-E41230D2437B}"/>
    <cellStyle name="40% - Accent1 3 2 2 3" xfId="4972" xr:uid="{00000000-0005-0000-0000-000017040000}"/>
    <cellStyle name="40% - Accent1 3 2 2 3 2" xfId="21088" xr:uid="{D481D5BA-F061-4DFE-9C54-DB8DEBB27A89}"/>
    <cellStyle name="40% - Accent1 3 2 2 3 3" xfId="13467" xr:uid="{E0C186B3-A9E1-461D-9C8B-AB2064974A42}"/>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23646" xr:uid="{75C1ED10-279F-4FEF-8664-BC71B15494D1}"/>
    <cellStyle name="40% - Accent1 3 2 3 2 2 3" xfId="16025" xr:uid="{753F3B82-B6A0-47BC-AC94-CC16970C9159}"/>
    <cellStyle name="40% - Accent1 3 2 3 2 3" xfId="19433" xr:uid="{EA66EB53-D363-424C-85E7-4A3461C51449}"/>
    <cellStyle name="40% - Accent1 3 2 3 2 4" xfId="11812" xr:uid="{D3525C9E-D561-4FEF-A2E9-29CCD45EFD08}"/>
    <cellStyle name="40% - Accent1 3 2 3 3" xfId="5385" xr:uid="{00000000-0005-0000-0000-00001B040000}"/>
    <cellStyle name="40% - Accent1 3 2 3 3 2" xfId="21501" xr:uid="{C79983E4-FF71-4DA4-9167-0DC3C4E6E2B5}"/>
    <cellStyle name="40% - Accent1 3 2 3 3 3" xfId="13880" xr:uid="{DE26B9E3-5643-4935-BC98-6EA88295C145}"/>
    <cellStyle name="40% - Accent1 3 2 3 4" xfId="17288" xr:uid="{6B37399B-E937-4CB0-A811-31C3D125747F}"/>
    <cellStyle name="40% - Accent1 3 2 3 5" xfId="9667" xr:uid="{05B969AB-7549-413F-8D47-179946F1A5D6}"/>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24059" xr:uid="{A905C545-7E0D-4A5D-B244-D78F138C1327}"/>
    <cellStyle name="40% - Accent1 3 2 4 2 2 3" xfId="16438" xr:uid="{1520F7A6-6BC6-41C3-BE40-B9B5AD489966}"/>
    <cellStyle name="40% - Accent1 3 2 4 2 3" xfId="19846" xr:uid="{E61EA94C-8E7F-42ED-9A78-2BBA5F5F315E}"/>
    <cellStyle name="40% - Accent1 3 2 4 2 4" xfId="12225" xr:uid="{4A730A95-5161-4FEB-98B5-587B57E7993D}"/>
    <cellStyle name="40% - Accent1 3 2 4 3" xfId="5798" xr:uid="{00000000-0005-0000-0000-00001F040000}"/>
    <cellStyle name="40% - Accent1 3 2 4 3 2" xfId="21914" xr:uid="{B0C7ED99-9EC8-47AC-82C0-4A93E44D0D6E}"/>
    <cellStyle name="40% - Accent1 3 2 4 3 3" xfId="14293" xr:uid="{3D52BB74-AF06-4085-B529-754E928495DC}"/>
    <cellStyle name="40% - Accent1 3 2 4 4" xfId="17701" xr:uid="{63BFD335-AE8C-42BD-806C-E401C6B68F6B}"/>
    <cellStyle name="40% - Accent1 3 2 4 5" xfId="10080" xr:uid="{A5774F70-B207-4007-8815-91CC0822FB83}"/>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24472" xr:uid="{2F9E059A-2D7F-4C8F-B4B2-41D23BBE241C}"/>
    <cellStyle name="40% - Accent1 3 2 5 2 2 3" xfId="16851" xr:uid="{6BDF32FC-D576-4DEC-A7E7-F32C6F59A1F1}"/>
    <cellStyle name="40% - Accent1 3 2 5 2 3" xfId="20259" xr:uid="{57ABA665-6761-4319-8F54-0A2E0D064704}"/>
    <cellStyle name="40% - Accent1 3 2 5 2 4" xfId="12638" xr:uid="{AC918C55-26A9-41E2-BFD5-F3DFA34E2CFA}"/>
    <cellStyle name="40% - Accent1 3 2 5 3" xfId="6211" xr:uid="{00000000-0005-0000-0000-000023040000}"/>
    <cellStyle name="40% - Accent1 3 2 5 3 2" xfId="22327" xr:uid="{DDA4A163-2156-44D6-9B9F-7A80AF7D171C}"/>
    <cellStyle name="40% - Accent1 3 2 5 3 3" xfId="14706" xr:uid="{B651B91E-BC75-465E-99F9-467420AF5A93}"/>
    <cellStyle name="40% - Accent1 3 2 5 4" xfId="18114" xr:uid="{9C130E98-D7ED-4FBB-BCAE-B7D6AC60C17E}"/>
    <cellStyle name="40% - Accent1 3 2 5 5" xfId="10493" xr:uid="{81B6D1E3-D530-4472-A92F-DB1EA732C914}"/>
    <cellStyle name="40% - Accent1 3 2 6" xfId="2318" xr:uid="{00000000-0005-0000-0000-000024040000}"/>
    <cellStyle name="40% - Accent1 3 2 6 2" xfId="6624" xr:uid="{00000000-0005-0000-0000-000025040000}"/>
    <cellStyle name="40% - Accent1 3 2 6 2 2" xfId="22740" xr:uid="{52234730-51A2-430F-B954-28A17C1B1788}"/>
    <cellStyle name="40% - Accent1 3 2 6 2 3" xfId="15119" xr:uid="{8EDFB289-B035-4160-BF76-0347EA4FE675}"/>
    <cellStyle name="40% - Accent1 3 2 6 3" xfId="18527" xr:uid="{19A88395-6528-4D42-BC7B-ECE37C05F573}"/>
    <cellStyle name="40% - Accent1 3 2 6 4" xfId="10906" xr:uid="{20A6381C-B04C-43C1-995A-2ACE57280D7C}"/>
    <cellStyle name="40% - Accent1 3 2 7" xfId="4558" xr:uid="{00000000-0005-0000-0000-000026040000}"/>
    <cellStyle name="40% - Accent1 3 2 7 2" xfId="20675" xr:uid="{894836E1-2F95-4F4B-A03A-F60D763AA057}"/>
    <cellStyle name="40% - Accent1 3 2 7 3" xfId="13054" xr:uid="{024A4B03-C5F1-4177-97FA-BBEF355EB93E}"/>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2 2 2" xfId="23232" xr:uid="{A138D7DB-F731-44BB-9349-B69D41D79CD6}"/>
    <cellStyle name="40% - Accent1 3 3 2 2 3" xfId="15611" xr:uid="{8DDDCAF2-E67B-49DC-91DC-CC4D0F5CF2A8}"/>
    <cellStyle name="40% - Accent1 3 3 2 3" xfId="19019" xr:uid="{15E565BB-1C1B-4AB8-B4D5-8F02DE8D9C3B}"/>
    <cellStyle name="40% - Accent1 3 3 2 4" xfId="11398" xr:uid="{4746D20B-4C20-433B-B7AD-0663DA983D65}"/>
    <cellStyle name="40% - Accent1 3 3 3" xfId="4971" xr:uid="{00000000-0005-0000-0000-00002A040000}"/>
    <cellStyle name="40% - Accent1 3 3 3 2" xfId="21087" xr:uid="{3A9B3944-1F8F-45DA-BAA2-A86C3C7F389A}"/>
    <cellStyle name="40% - Accent1 3 3 3 3" xfId="13466" xr:uid="{7D6F9EEE-D2AD-42C2-AC1C-E7BBC351E21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2 2 2" xfId="23645" xr:uid="{F16AB42B-9EAA-4C64-9145-A152E7662372}"/>
    <cellStyle name="40% - Accent1 3 4 2 2 3" xfId="16024" xr:uid="{E4298389-F1CD-4C8C-9469-DAAB712238CE}"/>
    <cellStyle name="40% - Accent1 3 4 2 3" xfId="19432" xr:uid="{76D28408-8DC0-4E07-AC8D-1EDC530FA85E}"/>
    <cellStyle name="40% - Accent1 3 4 2 4" xfId="11811" xr:uid="{E356A3ED-863E-48A7-B453-9BE324E48CD4}"/>
    <cellStyle name="40% - Accent1 3 4 3" xfId="5384" xr:uid="{00000000-0005-0000-0000-00002E040000}"/>
    <cellStyle name="40% - Accent1 3 4 3 2" xfId="21500" xr:uid="{31F16EE0-3F82-470B-A180-A22D9A929CA1}"/>
    <cellStyle name="40% - Accent1 3 4 3 3" xfId="13879" xr:uid="{15300465-44A0-4DCF-9E93-35924FC6C37C}"/>
    <cellStyle name="40% - Accent1 3 4 4" xfId="17287" xr:uid="{A178FEF4-5E60-4EBD-8662-FF4551A5AD37}"/>
    <cellStyle name="40% - Accent1 3 4 5" xfId="9666" xr:uid="{AF4B6E53-4D7E-4F48-A24C-82E46E414C51}"/>
    <cellStyle name="40% - Accent1 3 5" xfId="1490" xr:uid="{00000000-0005-0000-0000-00002F040000}"/>
    <cellStyle name="40% - Accent1 3 5 2" xfId="3720" xr:uid="{00000000-0005-0000-0000-000030040000}"/>
    <cellStyle name="40% - Accent1 3 5 2 2" xfId="7942" xr:uid="{00000000-0005-0000-0000-000031040000}"/>
    <cellStyle name="40% - Accent1 3 5 2 2 2" xfId="24058" xr:uid="{D7A0E197-C652-4CBB-9056-81CB57F1D8EA}"/>
    <cellStyle name="40% - Accent1 3 5 2 2 3" xfId="16437" xr:uid="{749FAB18-F69C-4C87-9C4E-53F9E16CED3B}"/>
    <cellStyle name="40% - Accent1 3 5 2 3" xfId="19845" xr:uid="{18844AF8-B031-4A66-B6DB-DB4B9D1DD996}"/>
    <cellStyle name="40% - Accent1 3 5 2 4" xfId="12224" xr:uid="{2110FF48-5360-4844-96FE-7E0FC8BCEE5F}"/>
    <cellStyle name="40% - Accent1 3 5 3" xfId="5797" xr:uid="{00000000-0005-0000-0000-000032040000}"/>
    <cellStyle name="40% - Accent1 3 5 3 2" xfId="21913" xr:uid="{87E6AC14-CAF6-4573-8E31-02E489D3F147}"/>
    <cellStyle name="40% - Accent1 3 5 3 3" xfId="14292" xr:uid="{909FA468-D488-4FE2-B965-0D7F3AF2DC13}"/>
    <cellStyle name="40% - Accent1 3 5 4" xfId="17700" xr:uid="{786D735A-8DA8-491A-967E-C52F2544904A}"/>
    <cellStyle name="40% - Accent1 3 5 5" xfId="10079" xr:uid="{5F415FEB-6953-4238-92AA-7632DC683493}"/>
    <cellStyle name="40% - Accent1 3 6" xfId="1904" xr:uid="{00000000-0005-0000-0000-000033040000}"/>
    <cellStyle name="40% - Accent1 3 6 2" xfId="4133" xr:uid="{00000000-0005-0000-0000-000034040000}"/>
    <cellStyle name="40% - Accent1 3 6 2 2" xfId="8355" xr:uid="{00000000-0005-0000-0000-000035040000}"/>
    <cellStyle name="40% - Accent1 3 6 2 2 2" xfId="24471" xr:uid="{114E459B-AB8C-4F53-B301-4F02F8712FF3}"/>
    <cellStyle name="40% - Accent1 3 6 2 2 3" xfId="16850" xr:uid="{BD679F52-E46F-4D69-8BAF-DD9D75AA0207}"/>
    <cellStyle name="40% - Accent1 3 6 2 3" xfId="20258" xr:uid="{78D4CB36-D7D5-4212-84CD-CC2B2A68A5CD}"/>
    <cellStyle name="40% - Accent1 3 6 2 4" xfId="12637" xr:uid="{9C07FAA8-68D8-43BF-A17C-170DC0A0C51C}"/>
    <cellStyle name="40% - Accent1 3 6 3" xfId="6210" xr:uid="{00000000-0005-0000-0000-000036040000}"/>
    <cellStyle name="40% - Accent1 3 6 3 2" xfId="22326" xr:uid="{0560F82A-7C30-47F1-9231-6ADA66F59E8F}"/>
    <cellStyle name="40% - Accent1 3 6 3 3" xfId="14705" xr:uid="{BD8BE02B-0358-43FD-96C0-895057763FF4}"/>
    <cellStyle name="40% - Accent1 3 6 4" xfId="18113" xr:uid="{EAC98549-0556-4F46-8928-D04E2E39B31D}"/>
    <cellStyle name="40% - Accent1 3 6 5" xfId="10492" xr:uid="{4F700458-9DFF-4D22-973D-9571D11B4BCE}"/>
    <cellStyle name="40% - Accent1 3 7" xfId="2317" xr:uid="{00000000-0005-0000-0000-000037040000}"/>
    <cellStyle name="40% - Accent1 3 7 2" xfId="6623" xr:uid="{00000000-0005-0000-0000-000038040000}"/>
    <cellStyle name="40% - Accent1 3 7 2 2" xfId="22739" xr:uid="{7D59784F-FDBB-4F76-9E52-95C155F72AEF}"/>
    <cellStyle name="40% - Accent1 3 7 2 3" xfId="15118" xr:uid="{6F4B9324-3824-4498-A123-958558CB08ED}"/>
    <cellStyle name="40% - Accent1 3 7 3" xfId="18526" xr:uid="{46E38DAC-EE2C-47E4-ACDE-B56269BA2637}"/>
    <cellStyle name="40% - Accent1 3 7 4" xfId="10905" xr:uid="{D0378B5F-C3A3-4654-A483-82AE443ECFB6}"/>
    <cellStyle name="40% - Accent1 3 8" xfId="4557" xr:uid="{00000000-0005-0000-0000-000039040000}"/>
    <cellStyle name="40% - Accent1 3 8 2" xfId="20674" xr:uid="{76C1C7BA-6799-43B2-9100-267E0335AB98}"/>
    <cellStyle name="40% - Accent1 3 8 3" xfId="13053" xr:uid="{96CC73FA-7F38-42EB-9854-070D164E9A9C}"/>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23234" xr:uid="{05CB4679-003D-4830-9CDD-EBBFF5E94506}"/>
    <cellStyle name="40% - Accent1 4 2 2 2 3" xfId="15613" xr:uid="{D890D18F-DFCB-4091-9CCD-857528237EE5}"/>
    <cellStyle name="40% - Accent1 4 2 2 3" xfId="19021" xr:uid="{A4BDF9F6-B82A-4307-AE6C-322E14ABDE56}"/>
    <cellStyle name="40% - Accent1 4 2 2 4" xfId="11400" xr:uid="{A09EE93B-9834-4932-BC48-6136D469A8A0}"/>
    <cellStyle name="40% - Accent1 4 2 3" xfId="4973" xr:uid="{00000000-0005-0000-0000-00003E040000}"/>
    <cellStyle name="40% - Accent1 4 2 3 2" xfId="21089" xr:uid="{1335E075-1CBC-4442-B4F2-53FE44D363BB}"/>
    <cellStyle name="40% - Accent1 4 2 3 3" xfId="13468" xr:uid="{F9F679CB-AFB1-4A79-BC3E-A1983969120B}"/>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2 2 2" xfId="23647" xr:uid="{C22D4D61-69C1-4C1F-8D84-B81D598DBBA2}"/>
    <cellStyle name="40% - Accent1 4 3 2 2 3" xfId="16026" xr:uid="{E110C0CA-A16E-4777-B766-FDA9B038378E}"/>
    <cellStyle name="40% - Accent1 4 3 2 3" xfId="19434" xr:uid="{AC63EE4E-551A-4648-9863-570A7FD3C63E}"/>
    <cellStyle name="40% - Accent1 4 3 2 4" xfId="11813" xr:uid="{FE8DDF23-AB1D-41F2-8905-FF242D0D0375}"/>
    <cellStyle name="40% - Accent1 4 3 3" xfId="5386" xr:uid="{00000000-0005-0000-0000-000042040000}"/>
    <cellStyle name="40% - Accent1 4 3 3 2" xfId="21502" xr:uid="{3A5FF21E-7411-4AA3-99E0-C3F51479FEC0}"/>
    <cellStyle name="40% - Accent1 4 3 3 3" xfId="13881" xr:uid="{571BF258-4D1E-41AA-818A-FD62869EFB2D}"/>
    <cellStyle name="40% - Accent1 4 3 4" xfId="17289" xr:uid="{CF6D88AC-6619-4D4D-8C34-C455DE8FF0DC}"/>
    <cellStyle name="40% - Accent1 4 3 5" xfId="9668" xr:uid="{462A1012-4213-4A0E-A79A-45D7FACEAEBE}"/>
    <cellStyle name="40% - Accent1 4 4" xfId="1492" xr:uid="{00000000-0005-0000-0000-000043040000}"/>
    <cellStyle name="40% - Accent1 4 4 2" xfId="3722" xr:uid="{00000000-0005-0000-0000-000044040000}"/>
    <cellStyle name="40% - Accent1 4 4 2 2" xfId="7944" xr:uid="{00000000-0005-0000-0000-000045040000}"/>
    <cellStyle name="40% - Accent1 4 4 2 2 2" xfId="24060" xr:uid="{5326BF83-201C-4F75-B3AC-66878827667D}"/>
    <cellStyle name="40% - Accent1 4 4 2 2 3" xfId="16439" xr:uid="{AB36F7D7-9A86-4291-BC44-49A80B083C00}"/>
    <cellStyle name="40% - Accent1 4 4 2 3" xfId="19847" xr:uid="{F9177119-01BC-4319-8C24-3979F17FEB49}"/>
    <cellStyle name="40% - Accent1 4 4 2 4" xfId="12226" xr:uid="{1C542233-0487-41C9-951D-3AD68C060401}"/>
    <cellStyle name="40% - Accent1 4 4 3" xfId="5799" xr:uid="{00000000-0005-0000-0000-000046040000}"/>
    <cellStyle name="40% - Accent1 4 4 3 2" xfId="21915" xr:uid="{2177F0D8-150E-43C5-9B4C-CFE08332B4FC}"/>
    <cellStyle name="40% - Accent1 4 4 3 3" xfId="14294" xr:uid="{C3BE0FE6-4E20-44F7-98AF-8CE237889CF4}"/>
    <cellStyle name="40% - Accent1 4 4 4" xfId="17702" xr:uid="{AEF545C4-9123-41B2-8F4C-BABAE2FA45DD}"/>
    <cellStyle name="40% - Accent1 4 4 5" xfId="10081" xr:uid="{F9B82076-4DAF-4B74-BC5C-6AD8D7843DFB}"/>
    <cellStyle name="40% - Accent1 4 5" xfId="1906" xr:uid="{00000000-0005-0000-0000-000047040000}"/>
    <cellStyle name="40% - Accent1 4 5 2" xfId="4135" xr:uid="{00000000-0005-0000-0000-000048040000}"/>
    <cellStyle name="40% - Accent1 4 5 2 2" xfId="8357" xr:uid="{00000000-0005-0000-0000-000049040000}"/>
    <cellStyle name="40% - Accent1 4 5 2 2 2" xfId="24473" xr:uid="{B294F2B3-B5F6-4FD6-AFE2-877EED1A9D17}"/>
    <cellStyle name="40% - Accent1 4 5 2 2 3" xfId="16852" xr:uid="{61DADFF0-97F2-4E06-8B1A-ADA649C45870}"/>
    <cellStyle name="40% - Accent1 4 5 2 3" xfId="20260" xr:uid="{F9B0A4F1-1363-4623-AF3E-C6961081C212}"/>
    <cellStyle name="40% - Accent1 4 5 2 4" xfId="12639" xr:uid="{D3283F52-AD92-4534-82DF-BE7489F63218}"/>
    <cellStyle name="40% - Accent1 4 5 3" xfId="6212" xr:uid="{00000000-0005-0000-0000-00004A040000}"/>
    <cellStyle name="40% - Accent1 4 5 3 2" xfId="22328" xr:uid="{CFDDDBF4-09DB-469C-8473-9F073D73DE05}"/>
    <cellStyle name="40% - Accent1 4 5 3 3" xfId="14707" xr:uid="{A706310B-4721-455A-A3D9-18C734A67F9A}"/>
    <cellStyle name="40% - Accent1 4 5 4" xfId="18115" xr:uid="{CD425AAD-C24E-4261-9846-B603A01EB3F6}"/>
    <cellStyle name="40% - Accent1 4 5 5" xfId="10494" xr:uid="{15C627A4-BDE5-4786-94DB-2BE1F88840CA}"/>
    <cellStyle name="40% - Accent1 4 6" xfId="2319" xr:uid="{00000000-0005-0000-0000-00004B040000}"/>
    <cellStyle name="40% - Accent1 4 6 2" xfId="6625" xr:uid="{00000000-0005-0000-0000-00004C040000}"/>
    <cellStyle name="40% - Accent1 4 6 2 2" xfId="22741" xr:uid="{89302639-61D6-4544-9227-1472FB858907}"/>
    <cellStyle name="40% - Accent1 4 6 2 3" xfId="15120" xr:uid="{E0972EB8-039C-43E7-9353-234119914198}"/>
    <cellStyle name="40% - Accent1 4 6 3" xfId="18528" xr:uid="{ECD7E2E7-F853-4808-AD82-B7158A46D4E9}"/>
    <cellStyle name="40% - Accent1 4 6 4" xfId="10907" xr:uid="{1A2F79B3-0F82-4CA8-A9F0-AB48476972F2}"/>
    <cellStyle name="40% - Accent1 4 7" xfId="4559" xr:uid="{00000000-0005-0000-0000-00004D040000}"/>
    <cellStyle name="40% - Accent1 4 7 2" xfId="20676" xr:uid="{F5FF1100-767B-40D1-864C-FFD3ADAC0977}"/>
    <cellStyle name="40% - Accent1 4 7 3" xfId="13055" xr:uid="{DD10CB0E-5431-4EBA-869F-21D442B4E6B8}"/>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2 2 2" xfId="23227" xr:uid="{BA87DAC6-6EBA-4D85-AC3C-11FE74456A49}"/>
    <cellStyle name="40% - Accent1 5 2 2 3" xfId="15606" xr:uid="{9F1EA85B-0B3C-454A-9F35-AEC333B0CC0B}"/>
    <cellStyle name="40% - Accent1 5 2 3" xfId="19014" xr:uid="{19F5C44F-3585-4BDC-991F-9275F0B33BB2}"/>
    <cellStyle name="40% - Accent1 5 2 4" xfId="11393" xr:uid="{017EB3B6-37CF-4E1C-BC8A-4F285D7F1B40}"/>
    <cellStyle name="40% - Accent1 5 3" xfId="4966" xr:uid="{00000000-0005-0000-0000-000051040000}"/>
    <cellStyle name="40% - Accent1 5 3 2" xfId="21082" xr:uid="{A9855F79-4B47-469C-BEB9-DE09A54B522F}"/>
    <cellStyle name="40% - Accent1 5 3 3" xfId="13461" xr:uid="{187F933A-8B3A-4B63-8ADE-711E82F8C387}"/>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2 2 2" xfId="23640" xr:uid="{937976FC-9175-4CBF-8993-EA749AE4C222}"/>
    <cellStyle name="40% - Accent1 6 2 2 3" xfId="16019" xr:uid="{7DE49B81-2C09-44F5-8E4C-DEBEF743DED5}"/>
    <cellStyle name="40% - Accent1 6 2 3" xfId="19427" xr:uid="{7CD779A8-B865-487B-B755-9AD1571AC296}"/>
    <cellStyle name="40% - Accent1 6 2 4" xfId="11806" xr:uid="{45507E0C-99F9-4A46-BB8F-FFE1D1937A68}"/>
    <cellStyle name="40% - Accent1 6 3" xfId="5379" xr:uid="{00000000-0005-0000-0000-000055040000}"/>
    <cellStyle name="40% - Accent1 6 3 2" xfId="21495" xr:uid="{E802A546-346A-4DA2-9259-13644C2F01B3}"/>
    <cellStyle name="40% - Accent1 6 3 3" xfId="13874" xr:uid="{57106788-C38A-4AF6-B6DF-B6E48B44EE47}"/>
    <cellStyle name="40% - Accent1 6 4" xfId="17282" xr:uid="{841969F4-4B9E-46BB-84B6-FC975A224823}"/>
    <cellStyle name="40% - Accent1 6 5" xfId="9661" xr:uid="{2FA3CB6D-EB24-433D-AF5C-C3087C0DA7A2}"/>
    <cellStyle name="40% - Accent1 7" xfId="1485" xr:uid="{00000000-0005-0000-0000-000056040000}"/>
    <cellStyle name="40% - Accent1 7 2" xfId="3715" xr:uid="{00000000-0005-0000-0000-000057040000}"/>
    <cellStyle name="40% - Accent1 7 2 2" xfId="7937" xr:uid="{00000000-0005-0000-0000-000058040000}"/>
    <cellStyle name="40% - Accent1 7 2 2 2" xfId="24053" xr:uid="{D452C84C-E1ED-4CBF-AB3C-D8D0C152528C}"/>
    <cellStyle name="40% - Accent1 7 2 2 3" xfId="16432" xr:uid="{851E3371-D41B-47B5-87B1-F2C0E36E5664}"/>
    <cellStyle name="40% - Accent1 7 2 3" xfId="19840" xr:uid="{5D6DCE3A-C9E6-45A4-82D2-F43D2E47ADF3}"/>
    <cellStyle name="40% - Accent1 7 2 4" xfId="12219" xr:uid="{0B2E3971-9225-4A12-94CB-94218BD9B4E7}"/>
    <cellStyle name="40% - Accent1 7 3" xfId="5792" xr:uid="{00000000-0005-0000-0000-000059040000}"/>
    <cellStyle name="40% - Accent1 7 3 2" xfId="21908" xr:uid="{435AC6CC-2A9C-41FA-AF79-62B8758E325D}"/>
    <cellStyle name="40% - Accent1 7 3 3" xfId="14287" xr:uid="{B4634964-3AD4-4596-B187-E71D4CFA4667}"/>
    <cellStyle name="40% - Accent1 7 4" xfId="17695" xr:uid="{17F486D3-94EF-4FF5-908F-E24C63ECDEBA}"/>
    <cellStyle name="40% - Accent1 7 5" xfId="10074" xr:uid="{750F0B53-A982-4B69-A7C8-2E75B5FCE857}"/>
    <cellStyle name="40% - Accent1 8" xfId="1899" xr:uid="{00000000-0005-0000-0000-00005A040000}"/>
    <cellStyle name="40% - Accent1 8 2" xfId="4128" xr:uid="{00000000-0005-0000-0000-00005B040000}"/>
    <cellStyle name="40% - Accent1 8 2 2" xfId="8350" xr:uid="{00000000-0005-0000-0000-00005C040000}"/>
    <cellStyle name="40% - Accent1 8 2 2 2" xfId="24466" xr:uid="{8FF7691E-F335-431D-B11F-D15B9DA1AA14}"/>
    <cellStyle name="40% - Accent1 8 2 2 3" xfId="16845" xr:uid="{641D6B6C-8ACF-4F54-BF51-D05F98F59BD9}"/>
    <cellStyle name="40% - Accent1 8 2 3" xfId="20253" xr:uid="{B3906E0D-3A09-4FCC-AC4B-9DCB341CB07B}"/>
    <cellStyle name="40% - Accent1 8 2 4" xfId="12632" xr:uid="{63F46AC7-2ADA-4131-9D9C-79D856E88151}"/>
    <cellStyle name="40% - Accent1 8 3" xfId="6205" xr:uid="{00000000-0005-0000-0000-00005D040000}"/>
    <cellStyle name="40% - Accent1 8 3 2" xfId="22321" xr:uid="{83D1BE6E-91AD-4201-AC5C-5AF6D056C825}"/>
    <cellStyle name="40% - Accent1 8 3 3" xfId="14700" xr:uid="{4EF14FB5-CB97-44A2-A63C-F161042D488E}"/>
    <cellStyle name="40% - Accent1 8 4" xfId="18108" xr:uid="{FF19A167-0649-4D71-BCE2-3093CDA54F9D}"/>
    <cellStyle name="40% - Accent1 8 5" xfId="10487" xr:uid="{80A69737-9304-451B-BF32-00EEE01FC7A7}"/>
    <cellStyle name="40% - Accent1 9" xfId="2312" xr:uid="{00000000-0005-0000-0000-00005E040000}"/>
    <cellStyle name="40% - Accent1 9 2" xfId="6618" xr:uid="{00000000-0005-0000-0000-00005F040000}"/>
    <cellStyle name="40% - Accent1 9 2 2" xfId="22734" xr:uid="{74A9FAFA-7EB4-4684-96DE-FE3B49086E74}"/>
    <cellStyle name="40% - Accent1 9 2 3" xfId="15113" xr:uid="{BF3A2DF1-D8CB-4FF9-ADA3-3599C0D68E74}"/>
    <cellStyle name="40% - Accent1 9 3" xfId="18521" xr:uid="{3AC75DF2-43CA-410C-90EC-94A6E9D9797C}"/>
    <cellStyle name="40% - Accent1 9 4" xfId="10900" xr:uid="{F7BCF0D5-F979-4995-B005-2B0144CBA2A5}"/>
    <cellStyle name="40% - Accent2" xfId="57" builtinId="35" customBuiltin="1"/>
    <cellStyle name="40% - Accent2 10" xfId="4560" xr:uid="{00000000-0005-0000-0000-000061040000}"/>
    <cellStyle name="40% - Accent2 10 2" xfId="20677" xr:uid="{77A41CC2-9A97-4FE2-9715-C86FD1BF03FA}"/>
    <cellStyle name="40% - Accent2 10 3" xfId="13056" xr:uid="{F30E2CD4-FEB3-4FFF-8EED-44B2A8F284D9}"/>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23238" xr:uid="{ED484559-E3BB-4DB8-BCF1-D238357AF94F}"/>
    <cellStyle name="40% - Accent2 2 2 2 2 2 2 3" xfId="15617" xr:uid="{935B093C-BF1F-4C0C-A9EC-3EC6B1519B8D}"/>
    <cellStyle name="40% - Accent2 2 2 2 2 2 3" xfId="19025" xr:uid="{AFB39BC7-BE64-439F-AB80-72FA33580424}"/>
    <cellStyle name="40% - Accent2 2 2 2 2 2 4" xfId="11404" xr:uid="{CEEAE785-DA18-463E-949E-482663579950}"/>
    <cellStyle name="40% - Accent2 2 2 2 2 3" xfId="4977" xr:uid="{00000000-0005-0000-0000-000068040000}"/>
    <cellStyle name="40% - Accent2 2 2 2 2 3 2" xfId="21093" xr:uid="{B5E5A115-A817-44C7-8D6E-49E1110D1CBD}"/>
    <cellStyle name="40% - Accent2 2 2 2 2 3 3" xfId="13472" xr:uid="{E977B6FB-C203-44D0-9ADA-B247A46DF155}"/>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23651" xr:uid="{84E29515-FC67-4455-8D0A-77C06D3E1402}"/>
    <cellStyle name="40% - Accent2 2 2 2 3 2 2 3" xfId="16030" xr:uid="{409FB9E3-7AA5-4CF7-AC7C-54230CEFD8B0}"/>
    <cellStyle name="40% - Accent2 2 2 2 3 2 3" xfId="19438" xr:uid="{5E592385-F09B-4F65-BF54-3400117B9599}"/>
    <cellStyle name="40% - Accent2 2 2 2 3 2 4" xfId="11817" xr:uid="{80A6E925-D442-4E4E-AC1E-B17417A6A71D}"/>
    <cellStyle name="40% - Accent2 2 2 2 3 3" xfId="5390" xr:uid="{00000000-0005-0000-0000-00006C040000}"/>
    <cellStyle name="40% - Accent2 2 2 2 3 3 2" xfId="21506" xr:uid="{105CFE87-7ECE-438F-A6AC-270A4F8703F5}"/>
    <cellStyle name="40% - Accent2 2 2 2 3 3 3" xfId="13885" xr:uid="{BB308452-8308-4873-9980-57C2FBFA0062}"/>
    <cellStyle name="40% - Accent2 2 2 2 3 4" xfId="17293" xr:uid="{C393D1B5-32E0-4903-B060-81048D3A1126}"/>
    <cellStyle name="40% - Accent2 2 2 2 3 5" xfId="9672" xr:uid="{DC4E1967-7E99-4693-A345-E68EE29E6F12}"/>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24064" xr:uid="{8E734759-7E3A-47B8-9FA7-842562C02D88}"/>
    <cellStyle name="40% - Accent2 2 2 2 4 2 2 3" xfId="16443" xr:uid="{9D759948-858C-48A2-AAFE-0589114D596A}"/>
    <cellStyle name="40% - Accent2 2 2 2 4 2 3" xfId="19851" xr:uid="{6861E9EF-B1F0-4217-A26E-360B32050EDE}"/>
    <cellStyle name="40% - Accent2 2 2 2 4 2 4" xfId="12230" xr:uid="{85A2AB6C-EE50-4439-91BB-7A402B50F975}"/>
    <cellStyle name="40% - Accent2 2 2 2 4 3" xfId="5803" xr:uid="{00000000-0005-0000-0000-000070040000}"/>
    <cellStyle name="40% - Accent2 2 2 2 4 3 2" xfId="21919" xr:uid="{F4E49B6F-64C1-4A68-A935-9E6CD3ADFAF3}"/>
    <cellStyle name="40% - Accent2 2 2 2 4 3 3" xfId="14298" xr:uid="{1F0766BD-4492-49D6-B72E-DC3BC28AFFBF}"/>
    <cellStyle name="40% - Accent2 2 2 2 4 4" xfId="17706" xr:uid="{08B199B4-B8B3-4E22-8556-A69CD98A3D36}"/>
    <cellStyle name="40% - Accent2 2 2 2 4 5" xfId="10085" xr:uid="{F8265A81-A96D-4C00-86AA-B98936116CA1}"/>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24477" xr:uid="{8E50923A-00F3-4552-9953-AE6790BEC840}"/>
    <cellStyle name="40% - Accent2 2 2 2 5 2 2 3" xfId="16856" xr:uid="{FEA12FF1-3806-4B53-B483-FC98B8F79227}"/>
    <cellStyle name="40% - Accent2 2 2 2 5 2 3" xfId="20264" xr:uid="{CEA7214D-3F36-4D6B-A005-06099E11E936}"/>
    <cellStyle name="40% - Accent2 2 2 2 5 2 4" xfId="12643" xr:uid="{5A43C77A-B252-40E3-B67A-F7E131D3D8A8}"/>
    <cellStyle name="40% - Accent2 2 2 2 5 3" xfId="6216" xr:uid="{00000000-0005-0000-0000-000074040000}"/>
    <cellStyle name="40% - Accent2 2 2 2 5 3 2" xfId="22332" xr:uid="{CBD5D28F-0F59-415F-BCE4-CC50EC3FC40B}"/>
    <cellStyle name="40% - Accent2 2 2 2 5 3 3" xfId="14711" xr:uid="{D7E8B8F4-D040-41F0-865E-87D5082C5029}"/>
    <cellStyle name="40% - Accent2 2 2 2 5 4" xfId="18119" xr:uid="{8148498B-BA8C-432E-97DC-B56E58CEABCD}"/>
    <cellStyle name="40% - Accent2 2 2 2 5 5" xfId="10498" xr:uid="{BFB96EED-B434-42A8-9D3A-8840BD6A7BE7}"/>
    <cellStyle name="40% - Accent2 2 2 2 6" xfId="2323" xr:uid="{00000000-0005-0000-0000-000075040000}"/>
    <cellStyle name="40% - Accent2 2 2 2 6 2" xfId="6629" xr:uid="{00000000-0005-0000-0000-000076040000}"/>
    <cellStyle name="40% - Accent2 2 2 2 6 2 2" xfId="22745" xr:uid="{3F6E3F2C-232D-463E-8CB7-550FD923FEAF}"/>
    <cellStyle name="40% - Accent2 2 2 2 6 2 3" xfId="15124" xr:uid="{920DACE5-546C-413D-8970-7E1689F8541C}"/>
    <cellStyle name="40% - Accent2 2 2 2 6 3" xfId="18532" xr:uid="{AD1F75AE-B8BA-4D51-9F59-E02642EB5C23}"/>
    <cellStyle name="40% - Accent2 2 2 2 6 4" xfId="10911" xr:uid="{02FDB3E5-821F-4EDA-88AE-8301667CF154}"/>
    <cellStyle name="40% - Accent2 2 2 2 7" xfId="4563" xr:uid="{00000000-0005-0000-0000-000077040000}"/>
    <cellStyle name="40% - Accent2 2 2 2 7 2" xfId="20680" xr:uid="{58942B0A-78D2-4C73-8D9E-0F3FB46D62E4}"/>
    <cellStyle name="40% - Accent2 2 2 2 7 3" xfId="13059" xr:uid="{D65FA5AE-7748-4DF4-8376-4C83FD4B1716}"/>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23237" xr:uid="{76E117C6-BFAA-4A30-8349-864EAACCA04E}"/>
    <cellStyle name="40% - Accent2 2 2 3 2 2 3" xfId="15616" xr:uid="{42D8AF3E-0617-4F00-8943-01AD2487F389}"/>
    <cellStyle name="40% - Accent2 2 2 3 2 3" xfId="19024" xr:uid="{F8D6D88A-72D1-41CC-9E62-AF7EFA874CA4}"/>
    <cellStyle name="40% - Accent2 2 2 3 2 4" xfId="11403" xr:uid="{08ED094B-AB1C-4002-A466-7E97CB479755}"/>
    <cellStyle name="40% - Accent2 2 2 3 3" xfId="4976" xr:uid="{00000000-0005-0000-0000-00007B040000}"/>
    <cellStyle name="40% - Accent2 2 2 3 3 2" xfId="21092" xr:uid="{8A18900C-536C-4D3A-A19A-A368337B7119}"/>
    <cellStyle name="40% - Accent2 2 2 3 3 3" xfId="13471" xr:uid="{C707D597-9385-40AA-8E26-95F5176EAEBC}"/>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23650" xr:uid="{F8ED6777-5D01-4C57-8E0E-AF2BBB66B570}"/>
    <cellStyle name="40% - Accent2 2 2 4 2 2 3" xfId="16029" xr:uid="{148794EB-F19C-47C7-8D97-B28C86BD926E}"/>
    <cellStyle name="40% - Accent2 2 2 4 2 3" xfId="19437" xr:uid="{F478820D-4558-4319-9647-5E780EC2FA2D}"/>
    <cellStyle name="40% - Accent2 2 2 4 2 4" xfId="11816" xr:uid="{580B0088-D484-4FE6-B5DE-EBF9B3EDA84B}"/>
    <cellStyle name="40% - Accent2 2 2 4 3" xfId="5389" xr:uid="{00000000-0005-0000-0000-00007F040000}"/>
    <cellStyle name="40% - Accent2 2 2 4 3 2" xfId="21505" xr:uid="{AA6B3A74-6A6D-4E5B-855E-AE6AFCA966FD}"/>
    <cellStyle name="40% - Accent2 2 2 4 3 3" xfId="13884" xr:uid="{A7327F62-365A-454D-895E-765A95A4660C}"/>
    <cellStyle name="40% - Accent2 2 2 4 4" xfId="17292" xr:uid="{E7FAEFF9-9F6C-4DFF-B189-FB254CAE03BC}"/>
    <cellStyle name="40% - Accent2 2 2 4 5" xfId="9671" xr:uid="{91EEAA76-F9B1-43A8-95B4-0E8C3E0B4627}"/>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24063" xr:uid="{7571607C-E77E-4A22-9F9F-A8455352B466}"/>
    <cellStyle name="40% - Accent2 2 2 5 2 2 3" xfId="16442" xr:uid="{7D2C7311-B86C-4F61-B36D-5150897526A0}"/>
    <cellStyle name="40% - Accent2 2 2 5 2 3" xfId="19850" xr:uid="{F1DDE274-C166-4BB9-A344-F1ACC486433D}"/>
    <cellStyle name="40% - Accent2 2 2 5 2 4" xfId="12229" xr:uid="{43083CBA-CE10-42C8-869E-67A03CB7C934}"/>
    <cellStyle name="40% - Accent2 2 2 5 3" xfId="5802" xr:uid="{00000000-0005-0000-0000-000083040000}"/>
    <cellStyle name="40% - Accent2 2 2 5 3 2" xfId="21918" xr:uid="{38EC6872-231D-4145-8BFA-6ED37B872872}"/>
    <cellStyle name="40% - Accent2 2 2 5 3 3" xfId="14297" xr:uid="{5C2DC0C8-1FFE-4EBC-807A-93511585FD2C}"/>
    <cellStyle name="40% - Accent2 2 2 5 4" xfId="17705" xr:uid="{EBF5C02F-CDAB-44EF-A675-8D234844A31A}"/>
    <cellStyle name="40% - Accent2 2 2 5 5" xfId="10084" xr:uid="{609A5D5B-CB1D-4FF8-8453-30767C424DC2}"/>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24476" xr:uid="{0A772C81-9849-44C9-B4CB-4B71647F85B9}"/>
    <cellStyle name="40% - Accent2 2 2 6 2 2 3" xfId="16855" xr:uid="{A0EA41E3-8EBC-4624-AC30-C6A86E6409DA}"/>
    <cellStyle name="40% - Accent2 2 2 6 2 3" xfId="20263" xr:uid="{7B068A29-12BA-4239-8BD6-D9EC8FBE6D89}"/>
    <cellStyle name="40% - Accent2 2 2 6 2 4" xfId="12642" xr:uid="{30E8DF75-760D-41C8-B46E-AAD1F9B6C50B}"/>
    <cellStyle name="40% - Accent2 2 2 6 3" xfId="6215" xr:uid="{00000000-0005-0000-0000-000087040000}"/>
    <cellStyle name="40% - Accent2 2 2 6 3 2" xfId="22331" xr:uid="{270B63E9-759B-4D3B-9639-D7A3980A2268}"/>
    <cellStyle name="40% - Accent2 2 2 6 3 3" xfId="14710" xr:uid="{D5D8EC58-292B-4933-9BA7-3C6DA6A65705}"/>
    <cellStyle name="40% - Accent2 2 2 6 4" xfId="18118" xr:uid="{3287AFB8-C5C5-4AB3-8D6F-2C0911F5FB9D}"/>
    <cellStyle name="40% - Accent2 2 2 6 5" xfId="10497" xr:uid="{8C5A67C7-4813-40C7-BBFA-241BC3943085}"/>
    <cellStyle name="40% - Accent2 2 2 7" xfId="2322" xr:uid="{00000000-0005-0000-0000-000088040000}"/>
    <cellStyle name="40% - Accent2 2 2 7 2" xfId="6628" xr:uid="{00000000-0005-0000-0000-000089040000}"/>
    <cellStyle name="40% - Accent2 2 2 7 2 2" xfId="22744" xr:uid="{08E68439-3B7A-45ED-90FF-A20460752062}"/>
    <cellStyle name="40% - Accent2 2 2 7 2 3" xfId="15123" xr:uid="{0DB8E3F9-9BA8-43E2-B5B6-5EE26FECD0D2}"/>
    <cellStyle name="40% - Accent2 2 2 7 3" xfId="18531" xr:uid="{8229AC09-A4D0-4F1A-B803-0E27CDBEEADB}"/>
    <cellStyle name="40% - Accent2 2 2 7 4" xfId="10910" xr:uid="{0DD86A1C-6B3E-4FB5-AAA4-8B3B0BC920E4}"/>
    <cellStyle name="40% - Accent2 2 2 8" xfId="4562" xr:uid="{00000000-0005-0000-0000-00008A040000}"/>
    <cellStyle name="40% - Accent2 2 2 8 2" xfId="20679" xr:uid="{F88CEEAC-2259-469D-903A-CCC053710AB1}"/>
    <cellStyle name="40% - Accent2 2 2 8 3" xfId="13058" xr:uid="{A5D79A8C-E86F-480D-B96E-4354E7CEFEF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23239" xr:uid="{FD0A6C48-0BEB-4FF3-9B49-FC4B1F1FFF36}"/>
    <cellStyle name="40% - Accent2 2 3 2 2 2 3" xfId="15618" xr:uid="{1EF79EDB-ABFF-43BA-94BA-5B528D3E7C91}"/>
    <cellStyle name="40% - Accent2 2 3 2 2 3" xfId="19026" xr:uid="{5E4D27C0-081A-46D8-B573-5B8D9A7EC199}"/>
    <cellStyle name="40% - Accent2 2 3 2 2 4" xfId="11405" xr:uid="{67B2B7A8-D09F-4425-8BDE-E4E028C93E4F}"/>
    <cellStyle name="40% - Accent2 2 3 2 3" xfId="4978" xr:uid="{00000000-0005-0000-0000-00008F040000}"/>
    <cellStyle name="40% - Accent2 2 3 2 3 2" xfId="21094" xr:uid="{F31A5EC9-6EB9-42D2-A31E-0A7270D697E8}"/>
    <cellStyle name="40% - Accent2 2 3 2 3 3" xfId="13473" xr:uid="{04C1CDC8-5C78-4C49-AF12-0751B7EC57AF}"/>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23652" xr:uid="{2EE9B597-AA76-425C-ABE3-6C0B72A0D527}"/>
    <cellStyle name="40% - Accent2 2 3 3 2 2 3" xfId="16031" xr:uid="{1D808FE5-F35C-4090-BE3F-F20833B00F88}"/>
    <cellStyle name="40% - Accent2 2 3 3 2 3" xfId="19439" xr:uid="{B1E46FF3-BF65-4487-AC9F-7FD1A8B68C5D}"/>
    <cellStyle name="40% - Accent2 2 3 3 2 4" xfId="11818" xr:uid="{E91B6F09-0732-4618-98A1-EFE475C2DFEF}"/>
    <cellStyle name="40% - Accent2 2 3 3 3" xfId="5391" xr:uid="{00000000-0005-0000-0000-000093040000}"/>
    <cellStyle name="40% - Accent2 2 3 3 3 2" xfId="21507" xr:uid="{04AF593B-ACD5-4E9C-A20E-8EC55575A72B}"/>
    <cellStyle name="40% - Accent2 2 3 3 3 3" xfId="13886" xr:uid="{2FE2566A-D32D-46EC-982D-8617F3859AC1}"/>
    <cellStyle name="40% - Accent2 2 3 3 4" xfId="17294" xr:uid="{0CD91AB1-5DAD-4F00-957A-432C80D63536}"/>
    <cellStyle name="40% - Accent2 2 3 3 5" xfId="9673" xr:uid="{268CDE66-54B8-408D-8581-3F5D5ED09107}"/>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24065" xr:uid="{6DE14F5D-FDF7-41E8-BAE3-AC3A07432C9D}"/>
    <cellStyle name="40% - Accent2 2 3 4 2 2 3" xfId="16444" xr:uid="{6F5DEEDA-748F-4D3B-BB4F-CFBA793F6D2C}"/>
    <cellStyle name="40% - Accent2 2 3 4 2 3" xfId="19852" xr:uid="{04935C81-3A53-48BE-A727-278C4EC3A2D1}"/>
    <cellStyle name="40% - Accent2 2 3 4 2 4" xfId="12231" xr:uid="{7A56D848-3E6E-4C27-8951-547618442521}"/>
    <cellStyle name="40% - Accent2 2 3 4 3" xfId="5804" xr:uid="{00000000-0005-0000-0000-000097040000}"/>
    <cellStyle name="40% - Accent2 2 3 4 3 2" xfId="21920" xr:uid="{E1D3FD8E-90CC-4B15-868C-5CF1B1631FCC}"/>
    <cellStyle name="40% - Accent2 2 3 4 3 3" xfId="14299" xr:uid="{0FE9A4F3-8FBE-494D-9FE3-1CB27C5BF62D}"/>
    <cellStyle name="40% - Accent2 2 3 4 4" xfId="17707" xr:uid="{B639D11F-7E94-4D89-A07D-C1144FAE97E2}"/>
    <cellStyle name="40% - Accent2 2 3 4 5" xfId="10086" xr:uid="{6D2BA698-4CA8-4877-A2E8-D5B1B186EC15}"/>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24478" xr:uid="{19352E0D-CEBA-440F-BC94-FB55C29AC4D8}"/>
    <cellStyle name="40% - Accent2 2 3 5 2 2 3" xfId="16857" xr:uid="{B62E1833-D095-4C80-ADFF-93A25C9FE143}"/>
    <cellStyle name="40% - Accent2 2 3 5 2 3" xfId="20265" xr:uid="{44A6E839-D1BD-4337-A566-7D5D2DD0C7E7}"/>
    <cellStyle name="40% - Accent2 2 3 5 2 4" xfId="12644" xr:uid="{1C3BD596-E39E-4040-9EA3-E3DD1D2BD7C9}"/>
    <cellStyle name="40% - Accent2 2 3 5 3" xfId="6217" xr:uid="{00000000-0005-0000-0000-00009B040000}"/>
    <cellStyle name="40% - Accent2 2 3 5 3 2" xfId="22333" xr:uid="{B3C690C8-7BFD-4AC3-B21B-B603DACEE2AD}"/>
    <cellStyle name="40% - Accent2 2 3 5 3 3" xfId="14712" xr:uid="{741C8F95-4188-4C85-BEF9-3253384EE2DB}"/>
    <cellStyle name="40% - Accent2 2 3 5 4" xfId="18120" xr:uid="{2BB6364F-7F7B-4D2F-9328-94088FA466D1}"/>
    <cellStyle name="40% - Accent2 2 3 5 5" xfId="10499" xr:uid="{A22FA859-EA78-40CF-BD05-9D66A65977ED}"/>
    <cellStyle name="40% - Accent2 2 3 6" xfId="2324" xr:uid="{00000000-0005-0000-0000-00009C040000}"/>
    <cellStyle name="40% - Accent2 2 3 6 2" xfId="6630" xr:uid="{00000000-0005-0000-0000-00009D040000}"/>
    <cellStyle name="40% - Accent2 2 3 6 2 2" xfId="22746" xr:uid="{4B9A84E6-A22A-4B82-B941-A75E46F405BE}"/>
    <cellStyle name="40% - Accent2 2 3 6 2 3" xfId="15125" xr:uid="{EE8225FE-B438-4259-9F25-6D4A46E8BB89}"/>
    <cellStyle name="40% - Accent2 2 3 6 3" xfId="18533" xr:uid="{B940D75F-F829-4C30-810E-C279DF5B8E46}"/>
    <cellStyle name="40% - Accent2 2 3 6 4" xfId="10912" xr:uid="{2BC4678D-E32D-43FD-B342-55167ADD8A8B}"/>
    <cellStyle name="40% - Accent2 2 3 7" xfId="4564" xr:uid="{00000000-0005-0000-0000-00009E040000}"/>
    <cellStyle name="40% - Accent2 2 3 7 2" xfId="20681" xr:uid="{D2511339-C3F8-453A-80D0-B21915DBF977}"/>
    <cellStyle name="40% - Accent2 2 3 7 3" xfId="13060" xr:uid="{B0ADD00C-69BB-4CA7-9A9F-88BC8FFB7026}"/>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2 2 2" xfId="23236" xr:uid="{4388D544-9EE6-4AD4-A4BB-CA55951F0409}"/>
    <cellStyle name="40% - Accent2 2 4 2 2 3" xfId="15615" xr:uid="{F44DB2ED-8BDF-4EA8-ACDD-DA9FBE895968}"/>
    <cellStyle name="40% - Accent2 2 4 2 3" xfId="19023" xr:uid="{9C59C37F-0345-4786-A384-8CD5060402B6}"/>
    <cellStyle name="40% - Accent2 2 4 2 4" xfId="11402" xr:uid="{DA7C5B80-4150-423C-96E4-F54C01E74118}"/>
    <cellStyle name="40% - Accent2 2 4 3" xfId="4975" xr:uid="{00000000-0005-0000-0000-0000A2040000}"/>
    <cellStyle name="40% - Accent2 2 4 3 2" xfId="21091" xr:uid="{FA0346CD-5822-4A53-B007-693220B8197C}"/>
    <cellStyle name="40% - Accent2 2 4 3 3" xfId="13470" xr:uid="{6C8DAFCE-B411-4A65-93EB-06767AE01308}"/>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2 2 2" xfId="23649" xr:uid="{BBE5752C-7753-4CB3-8D71-BEB1E78524A2}"/>
    <cellStyle name="40% - Accent2 2 5 2 2 3" xfId="16028" xr:uid="{09BD9766-6980-44DD-84D0-43C95C76C7C7}"/>
    <cellStyle name="40% - Accent2 2 5 2 3" xfId="19436" xr:uid="{5271E82C-53C4-4F72-AEC3-1E657A380361}"/>
    <cellStyle name="40% - Accent2 2 5 2 4" xfId="11815" xr:uid="{9789D4E1-B7FB-46BB-A70E-D32427262268}"/>
    <cellStyle name="40% - Accent2 2 5 3" xfId="5388" xr:uid="{00000000-0005-0000-0000-0000A6040000}"/>
    <cellStyle name="40% - Accent2 2 5 3 2" xfId="21504" xr:uid="{F1E5BC92-F5FD-44F4-A414-4E020ED11579}"/>
    <cellStyle name="40% - Accent2 2 5 3 3" xfId="13883" xr:uid="{0AE58D73-6BD5-40AE-A99A-1ED1A94ED71E}"/>
    <cellStyle name="40% - Accent2 2 5 4" xfId="17291" xr:uid="{9BC44C69-03FC-4686-B985-9E265771496D}"/>
    <cellStyle name="40% - Accent2 2 5 5" xfId="9670" xr:uid="{27FC9498-040B-4349-8917-430A589FF22B}"/>
    <cellStyle name="40% - Accent2 2 6" xfId="1494" xr:uid="{00000000-0005-0000-0000-0000A7040000}"/>
    <cellStyle name="40% - Accent2 2 6 2" xfId="3724" xr:uid="{00000000-0005-0000-0000-0000A8040000}"/>
    <cellStyle name="40% - Accent2 2 6 2 2" xfId="7946" xr:uid="{00000000-0005-0000-0000-0000A9040000}"/>
    <cellStyle name="40% - Accent2 2 6 2 2 2" xfId="24062" xr:uid="{6A1D6C36-9DE3-4D50-AF53-AF9F30D1C0B7}"/>
    <cellStyle name="40% - Accent2 2 6 2 2 3" xfId="16441" xr:uid="{D65E71EE-BFA0-4589-8ED8-D1BC1FE99906}"/>
    <cellStyle name="40% - Accent2 2 6 2 3" xfId="19849" xr:uid="{BBBC9135-1B2E-4036-8E4E-F2E381FBADB4}"/>
    <cellStyle name="40% - Accent2 2 6 2 4" xfId="12228" xr:uid="{1E8A62B5-CB5D-4AB1-B9C4-B7B1F90A19BB}"/>
    <cellStyle name="40% - Accent2 2 6 3" xfId="5801" xr:uid="{00000000-0005-0000-0000-0000AA040000}"/>
    <cellStyle name="40% - Accent2 2 6 3 2" xfId="21917" xr:uid="{4E67DD0A-FC0D-4584-BE74-90C2C166038A}"/>
    <cellStyle name="40% - Accent2 2 6 3 3" xfId="14296" xr:uid="{A6F8F578-C653-4BCA-9E2F-86ED24EAF486}"/>
    <cellStyle name="40% - Accent2 2 6 4" xfId="17704" xr:uid="{83E59346-4EEC-46D3-90C0-C04C899428E3}"/>
    <cellStyle name="40% - Accent2 2 6 5" xfId="10083" xr:uid="{488A2041-3154-46D1-BDDE-8D3DC1B4968B}"/>
    <cellStyle name="40% - Accent2 2 7" xfId="1908" xr:uid="{00000000-0005-0000-0000-0000AB040000}"/>
    <cellStyle name="40% - Accent2 2 7 2" xfId="4137" xr:uid="{00000000-0005-0000-0000-0000AC040000}"/>
    <cellStyle name="40% - Accent2 2 7 2 2" xfId="8359" xr:uid="{00000000-0005-0000-0000-0000AD040000}"/>
    <cellStyle name="40% - Accent2 2 7 2 2 2" xfId="24475" xr:uid="{C49C7EF6-6A55-4902-B6BB-19637A56195A}"/>
    <cellStyle name="40% - Accent2 2 7 2 2 3" xfId="16854" xr:uid="{8924D032-2310-40F5-A0B7-0D2506014FEF}"/>
    <cellStyle name="40% - Accent2 2 7 2 3" xfId="20262" xr:uid="{5BD4F198-A1CA-437F-AF7A-3896B32AC9E9}"/>
    <cellStyle name="40% - Accent2 2 7 2 4" xfId="12641" xr:uid="{0F979FA7-EEC3-466C-82A9-710155457981}"/>
    <cellStyle name="40% - Accent2 2 7 3" xfId="6214" xr:uid="{00000000-0005-0000-0000-0000AE040000}"/>
    <cellStyle name="40% - Accent2 2 7 3 2" xfId="22330" xr:uid="{8959B773-7C1C-403C-8C20-7CD6C680C5DF}"/>
    <cellStyle name="40% - Accent2 2 7 3 3" xfId="14709" xr:uid="{074AED93-1A2E-462E-82A3-8B129563068A}"/>
    <cellStyle name="40% - Accent2 2 7 4" xfId="18117" xr:uid="{DFF225DC-F6B5-4CAE-BE54-A4B784449082}"/>
    <cellStyle name="40% - Accent2 2 7 5" xfId="10496" xr:uid="{E46AC360-186C-4959-918E-0AE86DB1BBE7}"/>
    <cellStyle name="40% - Accent2 2 8" xfId="2321" xr:uid="{00000000-0005-0000-0000-0000AF040000}"/>
    <cellStyle name="40% - Accent2 2 8 2" xfId="6627" xr:uid="{00000000-0005-0000-0000-0000B0040000}"/>
    <cellStyle name="40% - Accent2 2 8 2 2" xfId="22743" xr:uid="{02CD9AB3-F840-4087-ABB7-6DEF3053EFA8}"/>
    <cellStyle name="40% - Accent2 2 8 2 3" xfId="15122" xr:uid="{FDCA07A5-AC2C-4724-8E18-93D2284B37C2}"/>
    <cellStyle name="40% - Accent2 2 8 3" xfId="18530" xr:uid="{752D1381-B070-402D-9D8A-51DCEB0D84AA}"/>
    <cellStyle name="40% - Accent2 2 8 4" xfId="10909" xr:uid="{1E87D786-7A2A-4B7D-A480-FBF8670318FF}"/>
    <cellStyle name="40% - Accent2 2 9" xfId="4561" xr:uid="{00000000-0005-0000-0000-0000B1040000}"/>
    <cellStyle name="40% - Accent2 2 9 2" xfId="20678" xr:uid="{5A535317-C85D-4B0E-870A-2E959828E469}"/>
    <cellStyle name="40% - Accent2 2 9 3" xfId="13057" xr:uid="{6726E1D2-2DFB-4BE8-B380-9407C11F28C5}"/>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23241" xr:uid="{92C332E8-FBAF-4C97-B957-FE3EBD85048D}"/>
    <cellStyle name="40% - Accent2 3 2 2 2 2 3" xfId="15620" xr:uid="{6FCA6761-AD19-4A4D-AFC5-9C30F4ACFDBB}"/>
    <cellStyle name="40% - Accent2 3 2 2 2 3" xfId="19028" xr:uid="{CC7B94D1-B54D-47E2-8C74-88F1AD73B292}"/>
    <cellStyle name="40% - Accent2 3 2 2 2 4" xfId="11407" xr:uid="{964C7DD1-7365-44F3-83F1-EC9BF78BB7BD}"/>
    <cellStyle name="40% - Accent2 3 2 2 3" xfId="4980" xr:uid="{00000000-0005-0000-0000-0000B7040000}"/>
    <cellStyle name="40% - Accent2 3 2 2 3 2" xfId="21096" xr:uid="{98F3F921-1C55-4C9E-ACAC-18A77DAC5C0B}"/>
    <cellStyle name="40% - Accent2 3 2 2 3 3" xfId="13475" xr:uid="{FD253BE5-0F1E-40CB-A6A6-ED0F3BADE071}"/>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23654" xr:uid="{17C85DC5-A6D9-4FE6-8F48-737C44DB8D6A}"/>
    <cellStyle name="40% - Accent2 3 2 3 2 2 3" xfId="16033" xr:uid="{9DD9DB68-94B9-45B0-A472-F6836EB9D83A}"/>
    <cellStyle name="40% - Accent2 3 2 3 2 3" xfId="19441" xr:uid="{D29E76DF-4B76-4B2E-9818-F25193394023}"/>
    <cellStyle name="40% - Accent2 3 2 3 2 4" xfId="11820" xr:uid="{12FADC5B-D3A1-4FEE-AB44-07494930D239}"/>
    <cellStyle name="40% - Accent2 3 2 3 3" xfId="5393" xr:uid="{00000000-0005-0000-0000-0000BB040000}"/>
    <cellStyle name="40% - Accent2 3 2 3 3 2" xfId="21509" xr:uid="{79A9E34D-D188-4573-A387-5A0A5C83E770}"/>
    <cellStyle name="40% - Accent2 3 2 3 3 3" xfId="13888" xr:uid="{338AE17B-BD7B-4353-A433-5A0B1CA08749}"/>
    <cellStyle name="40% - Accent2 3 2 3 4" xfId="17296" xr:uid="{C0AA2BD0-3D6D-410B-81DF-FE6660FE5205}"/>
    <cellStyle name="40% - Accent2 3 2 3 5" xfId="9675" xr:uid="{3FD49ADF-23F6-49E9-87B4-3E41CBE007E2}"/>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24067" xr:uid="{E76068E8-5118-4077-8D55-4FF230250144}"/>
    <cellStyle name="40% - Accent2 3 2 4 2 2 3" xfId="16446" xr:uid="{2B218347-AD57-46F9-901C-ED31D076847F}"/>
    <cellStyle name="40% - Accent2 3 2 4 2 3" xfId="19854" xr:uid="{A16F04F1-9129-41FA-9D64-E5CC63941FE0}"/>
    <cellStyle name="40% - Accent2 3 2 4 2 4" xfId="12233" xr:uid="{FE3F8003-0CC3-48D5-9873-3E9ADDBAD1A0}"/>
    <cellStyle name="40% - Accent2 3 2 4 3" xfId="5806" xr:uid="{00000000-0005-0000-0000-0000BF040000}"/>
    <cellStyle name="40% - Accent2 3 2 4 3 2" xfId="21922" xr:uid="{6540579D-D748-4234-B865-02856598E63B}"/>
    <cellStyle name="40% - Accent2 3 2 4 3 3" xfId="14301" xr:uid="{B6ADD4F5-9A0C-45E6-BAAE-7F3B948E441B}"/>
    <cellStyle name="40% - Accent2 3 2 4 4" xfId="17709" xr:uid="{7915FC03-FBB8-4FEF-8B8F-BBC908323EA6}"/>
    <cellStyle name="40% - Accent2 3 2 4 5" xfId="10088" xr:uid="{DA0197EC-EEC0-4B82-A176-12D1F4E7DF10}"/>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24480" xr:uid="{B0B11736-7B9C-4150-81C8-62D53038ED24}"/>
    <cellStyle name="40% - Accent2 3 2 5 2 2 3" xfId="16859" xr:uid="{6255C367-BB75-4F69-9010-1513120BB1C3}"/>
    <cellStyle name="40% - Accent2 3 2 5 2 3" xfId="20267" xr:uid="{5264D102-853E-4FD3-ACAD-F63EEAD1AE26}"/>
    <cellStyle name="40% - Accent2 3 2 5 2 4" xfId="12646" xr:uid="{19D878FF-17BA-4C56-B439-4854B506AA0C}"/>
    <cellStyle name="40% - Accent2 3 2 5 3" xfId="6219" xr:uid="{00000000-0005-0000-0000-0000C3040000}"/>
    <cellStyle name="40% - Accent2 3 2 5 3 2" xfId="22335" xr:uid="{2AC9E1D6-B9B7-4964-AB02-D4C97AB9A31C}"/>
    <cellStyle name="40% - Accent2 3 2 5 3 3" xfId="14714" xr:uid="{6901E91B-16FB-4413-918F-EE8EDF5A6030}"/>
    <cellStyle name="40% - Accent2 3 2 5 4" xfId="18122" xr:uid="{35818F5D-4BFC-49DE-B4F9-FE05B7A12F29}"/>
    <cellStyle name="40% - Accent2 3 2 5 5" xfId="10501" xr:uid="{A908EEDF-91D7-497D-8915-A1E5C69B2F2B}"/>
    <cellStyle name="40% - Accent2 3 2 6" xfId="2326" xr:uid="{00000000-0005-0000-0000-0000C4040000}"/>
    <cellStyle name="40% - Accent2 3 2 6 2" xfId="6632" xr:uid="{00000000-0005-0000-0000-0000C5040000}"/>
    <cellStyle name="40% - Accent2 3 2 6 2 2" xfId="22748" xr:uid="{6BFB3E2F-3C76-4A2F-8374-C9179F763A76}"/>
    <cellStyle name="40% - Accent2 3 2 6 2 3" xfId="15127" xr:uid="{78BED65E-08C4-4CF1-AA86-6D219226E394}"/>
    <cellStyle name="40% - Accent2 3 2 6 3" xfId="18535" xr:uid="{7ED32984-E41C-40A9-A0EB-F74F0C3CF096}"/>
    <cellStyle name="40% - Accent2 3 2 6 4" xfId="10914" xr:uid="{C161152B-223D-488F-884E-9B00D2F88FDD}"/>
    <cellStyle name="40% - Accent2 3 2 7" xfId="4566" xr:uid="{00000000-0005-0000-0000-0000C6040000}"/>
    <cellStyle name="40% - Accent2 3 2 7 2" xfId="20683" xr:uid="{908D24EB-02DD-410B-B2B1-636C286D13D0}"/>
    <cellStyle name="40% - Accent2 3 2 7 3" xfId="13062" xr:uid="{248038EA-0EF7-4734-A071-FAF5D24797F7}"/>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2 2 2" xfId="23240" xr:uid="{7C0349E7-271C-4A4D-8EF8-6D5F8B86E2A7}"/>
    <cellStyle name="40% - Accent2 3 3 2 2 3" xfId="15619" xr:uid="{F45B9654-E201-4766-AF9D-0D0CDC2C890E}"/>
    <cellStyle name="40% - Accent2 3 3 2 3" xfId="19027" xr:uid="{B85F7159-49CC-434B-A96A-E11B0637C70D}"/>
    <cellStyle name="40% - Accent2 3 3 2 4" xfId="11406" xr:uid="{F7D6A05D-4E65-4F27-982C-60D8414305E7}"/>
    <cellStyle name="40% - Accent2 3 3 3" xfId="4979" xr:uid="{00000000-0005-0000-0000-0000CA040000}"/>
    <cellStyle name="40% - Accent2 3 3 3 2" xfId="21095" xr:uid="{62D8CF0F-B635-4204-9197-E022483F1281}"/>
    <cellStyle name="40% - Accent2 3 3 3 3" xfId="13474" xr:uid="{BEDFE4BF-28F5-493D-B9FD-83DEB477550F}"/>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2 2 2" xfId="23653" xr:uid="{D24E2148-9290-4C77-BD38-F51A7FB5D1D0}"/>
    <cellStyle name="40% - Accent2 3 4 2 2 3" xfId="16032" xr:uid="{12994A93-B1D9-4BF2-BED6-A22FF5936D3C}"/>
    <cellStyle name="40% - Accent2 3 4 2 3" xfId="19440" xr:uid="{DB212B67-1C10-4D87-AF3E-7D3FE2E73C98}"/>
    <cellStyle name="40% - Accent2 3 4 2 4" xfId="11819" xr:uid="{12624790-5C82-4989-9CC7-0971D875D59C}"/>
    <cellStyle name="40% - Accent2 3 4 3" xfId="5392" xr:uid="{00000000-0005-0000-0000-0000CE040000}"/>
    <cellStyle name="40% - Accent2 3 4 3 2" xfId="21508" xr:uid="{98D3C96E-4472-4AE4-95AF-89EB6CD7827D}"/>
    <cellStyle name="40% - Accent2 3 4 3 3" xfId="13887" xr:uid="{1F3B9BC4-FE8D-4D88-BB43-28B974A750FA}"/>
    <cellStyle name="40% - Accent2 3 4 4" xfId="17295" xr:uid="{F94A3714-57BA-4AF8-8E51-D90DEF299A44}"/>
    <cellStyle name="40% - Accent2 3 4 5" xfId="9674" xr:uid="{96880A25-2083-4A7D-AECA-BD754ED00082}"/>
    <cellStyle name="40% - Accent2 3 5" xfId="1498" xr:uid="{00000000-0005-0000-0000-0000CF040000}"/>
    <cellStyle name="40% - Accent2 3 5 2" xfId="3728" xr:uid="{00000000-0005-0000-0000-0000D0040000}"/>
    <cellStyle name="40% - Accent2 3 5 2 2" xfId="7950" xr:uid="{00000000-0005-0000-0000-0000D1040000}"/>
    <cellStyle name="40% - Accent2 3 5 2 2 2" xfId="24066" xr:uid="{D4DAC5EC-AB51-491C-8ABA-3F2640100AC8}"/>
    <cellStyle name="40% - Accent2 3 5 2 2 3" xfId="16445" xr:uid="{1743D87B-4A7F-41DC-BFCE-2E4AFCDA248C}"/>
    <cellStyle name="40% - Accent2 3 5 2 3" xfId="19853" xr:uid="{06FB8501-E2EA-4F92-8B9E-B11270708A2F}"/>
    <cellStyle name="40% - Accent2 3 5 2 4" xfId="12232" xr:uid="{73F04133-11A0-4F0F-8E69-6747FCD34DCA}"/>
    <cellStyle name="40% - Accent2 3 5 3" xfId="5805" xr:uid="{00000000-0005-0000-0000-0000D2040000}"/>
    <cellStyle name="40% - Accent2 3 5 3 2" xfId="21921" xr:uid="{DB9FED74-C452-4058-987F-F73C614D180F}"/>
    <cellStyle name="40% - Accent2 3 5 3 3" xfId="14300" xr:uid="{9573A125-653B-4072-9338-D25BFEF86300}"/>
    <cellStyle name="40% - Accent2 3 5 4" xfId="17708" xr:uid="{BFC779A8-29FF-450B-B467-CEFD6BD534F6}"/>
    <cellStyle name="40% - Accent2 3 5 5" xfId="10087" xr:uid="{5931B9B2-3A2B-4D59-A03C-FF81F923D8B7}"/>
    <cellStyle name="40% - Accent2 3 6" xfId="1912" xr:uid="{00000000-0005-0000-0000-0000D3040000}"/>
    <cellStyle name="40% - Accent2 3 6 2" xfId="4141" xr:uid="{00000000-0005-0000-0000-0000D4040000}"/>
    <cellStyle name="40% - Accent2 3 6 2 2" xfId="8363" xr:uid="{00000000-0005-0000-0000-0000D5040000}"/>
    <cellStyle name="40% - Accent2 3 6 2 2 2" xfId="24479" xr:uid="{41D04440-99AE-4122-85A5-26D8B70F17F6}"/>
    <cellStyle name="40% - Accent2 3 6 2 2 3" xfId="16858" xr:uid="{FDC27DB5-36B8-464C-AFEF-86CC0444C4EA}"/>
    <cellStyle name="40% - Accent2 3 6 2 3" xfId="20266" xr:uid="{73193CB2-211C-415C-9844-5C97E2AA5C2B}"/>
    <cellStyle name="40% - Accent2 3 6 2 4" xfId="12645" xr:uid="{9DA282CE-3DD6-4AE2-9F80-1ABF9704A26C}"/>
    <cellStyle name="40% - Accent2 3 6 3" xfId="6218" xr:uid="{00000000-0005-0000-0000-0000D6040000}"/>
    <cellStyle name="40% - Accent2 3 6 3 2" xfId="22334" xr:uid="{4A4DB686-6C8B-47D6-B27D-57BD3CEA7552}"/>
    <cellStyle name="40% - Accent2 3 6 3 3" xfId="14713" xr:uid="{09FA7EEA-56A2-4D6A-9EB2-ED5E725F821B}"/>
    <cellStyle name="40% - Accent2 3 6 4" xfId="18121" xr:uid="{779A109B-DEE7-4698-A0E1-AE8725164D73}"/>
    <cellStyle name="40% - Accent2 3 6 5" xfId="10500" xr:uid="{58E730BD-555A-4A29-8E42-3E5BB618B341}"/>
    <cellStyle name="40% - Accent2 3 7" xfId="2325" xr:uid="{00000000-0005-0000-0000-0000D7040000}"/>
    <cellStyle name="40% - Accent2 3 7 2" xfId="6631" xr:uid="{00000000-0005-0000-0000-0000D8040000}"/>
    <cellStyle name="40% - Accent2 3 7 2 2" xfId="22747" xr:uid="{A937BFB4-37F7-4EF3-8A0B-8D45BB55D527}"/>
    <cellStyle name="40% - Accent2 3 7 2 3" xfId="15126" xr:uid="{96378192-E638-46DD-A187-2C27EBBFD30E}"/>
    <cellStyle name="40% - Accent2 3 7 3" xfId="18534" xr:uid="{20735E67-700F-4C09-8E2E-174DE57E5385}"/>
    <cellStyle name="40% - Accent2 3 7 4" xfId="10913" xr:uid="{A68D0426-CF06-49FC-9933-26D5599C6B9D}"/>
    <cellStyle name="40% - Accent2 3 8" xfId="4565" xr:uid="{00000000-0005-0000-0000-0000D9040000}"/>
    <cellStyle name="40% - Accent2 3 8 2" xfId="20682" xr:uid="{C277AE2F-2D27-4916-973B-D42378FC8C6F}"/>
    <cellStyle name="40% - Accent2 3 8 3" xfId="13061" xr:uid="{B92FC99F-A386-464D-8AA8-C61EBBBF888B}"/>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23242" xr:uid="{454C2217-AD52-4195-9167-F0617693FBC8}"/>
    <cellStyle name="40% - Accent2 4 2 2 2 3" xfId="15621" xr:uid="{E322F777-5CE6-441F-956D-20683FBC4E1A}"/>
    <cellStyle name="40% - Accent2 4 2 2 3" xfId="19029" xr:uid="{D799E5CF-15C9-4379-9D2E-DEA035C1F0C3}"/>
    <cellStyle name="40% - Accent2 4 2 2 4" xfId="11408" xr:uid="{E9555984-283E-472F-8991-567A4A7CE2C5}"/>
    <cellStyle name="40% - Accent2 4 2 3" xfId="4981" xr:uid="{00000000-0005-0000-0000-0000DE040000}"/>
    <cellStyle name="40% - Accent2 4 2 3 2" xfId="21097" xr:uid="{B43FAD52-BB45-4043-924E-D405D918DD62}"/>
    <cellStyle name="40% - Accent2 4 2 3 3" xfId="13476" xr:uid="{5D300BD9-FF3B-4F7E-9A92-F9086823B7D6}"/>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2 2 2" xfId="23655" xr:uid="{195D5AF5-FC14-4286-9CAB-F4AECA6559BF}"/>
    <cellStyle name="40% - Accent2 4 3 2 2 3" xfId="16034" xr:uid="{04D19355-EA04-400D-9A1C-595F6CDB1461}"/>
    <cellStyle name="40% - Accent2 4 3 2 3" xfId="19442" xr:uid="{F17E2417-689C-4CA2-9BBB-CB324AC0A500}"/>
    <cellStyle name="40% - Accent2 4 3 2 4" xfId="11821" xr:uid="{EB0B62F4-775B-4131-B0F2-A209473A2361}"/>
    <cellStyle name="40% - Accent2 4 3 3" xfId="5394" xr:uid="{00000000-0005-0000-0000-0000E2040000}"/>
    <cellStyle name="40% - Accent2 4 3 3 2" xfId="21510" xr:uid="{048361C6-0399-4549-8E8C-9A0E89C57E02}"/>
    <cellStyle name="40% - Accent2 4 3 3 3" xfId="13889" xr:uid="{3C8FEA8D-0194-41A9-96CF-9400C9999952}"/>
    <cellStyle name="40% - Accent2 4 3 4" xfId="17297" xr:uid="{65ADF7BC-DC54-4EFB-BA4D-B7937C02ACD3}"/>
    <cellStyle name="40% - Accent2 4 3 5" xfId="9676" xr:uid="{E402F266-7ECB-47E0-8BE4-6E231A141FE9}"/>
    <cellStyle name="40% - Accent2 4 4" xfId="1500" xr:uid="{00000000-0005-0000-0000-0000E3040000}"/>
    <cellStyle name="40% - Accent2 4 4 2" xfId="3730" xr:uid="{00000000-0005-0000-0000-0000E4040000}"/>
    <cellStyle name="40% - Accent2 4 4 2 2" xfId="7952" xr:uid="{00000000-0005-0000-0000-0000E5040000}"/>
    <cellStyle name="40% - Accent2 4 4 2 2 2" xfId="24068" xr:uid="{DEB85857-5959-4E7B-8E97-67D9DB3B2A58}"/>
    <cellStyle name="40% - Accent2 4 4 2 2 3" xfId="16447" xr:uid="{D336D972-B520-464B-951F-4AD538493C85}"/>
    <cellStyle name="40% - Accent2 4 4 2 3" xfId="19855" xr:uid="{DEE4B277-311C-46C6-9609-8854E12A61AD}"/>
    <cellStyle name="40% - Accent2 4 4 2 4" xfId="12234" xr:uid="{F690768E-122E-4704-B5E3-C82F0A621E96}"/>
    <cellStyle name="40% - Accent2 4 4 3" xfId="5807" xr:uid="{00000000-0005-0000-0000-0000E6040000}"/>
    <cellStyle name="40% - Accent2 4 4 3 2" xfId="21923" xr:uid="{E8FC8478-1705-43CE-BEA8-7ACEC035ABB4}"/>
    <cellStyle name="40% - Accent2 4 4 3 3" xfId="14302" xr:uid="{5707E688-5AF0-45F5-B0F8-3FE2689DE3FE}"/>
    <cellStyle name="40% - Accent2 4 4 4" xfId="17710" xr:uid="{ABD057AA-4C01-4C63-9284-3C04EA3518A9}"/>
    <cellStyle name="40% - Accent2 4 4 5" xfId="10089" xr:uid="{495D73BD-B56B-4A97-9725-C39E1837C63C}"/>
    <cellStyle name="40% - Accent2 4 5" xfId="1914" xr:uid="{00000000-0005-0000-0000-0000E7040000}"/>
    <cellStyle name="40% - Accent2 4 5 2" xfId="4143" xr:uid="{00000000-0005-0000-0000-0000E8040000}"/>
    <cellStyle name="40% - Accent2 4 5 2 2" xfId="8365" xr:uid="{00000000-0005-0000-0000-0000E9040000}"/>
    <cellStyle name="40% - Accent2 4 5 2 2 2" xfId="24481" xr:uid="{1FF033F1-6527-47F2-A3D6-483C9FE9C7A9}"/>
    <cellStyle name="40% - Accent2 4 5 2 2 3" xfId="16860" xr:uid="{538939A6-CEAE-4686-9B2E-E9D4C029AD86}"/>
    <cellStyle name="40% - Accent2 4 5 2 3" xfId="20268" xr:uid="{FF9BDB51-4B7D-49F2-8FBD-3A1DC58C4155}"/>
    <cellStyle name="40% - Accent2 4 5 2 4" xfId="12647" xr:uid="{15E91CDB-3D2F-483C-98FD-E9486814C5C0}"/>
    <cellStyle name="40% - Accent2 4 5 3" xfId="6220" xr:uid="{00000000-0005-0000-0000-0000EA040000}"/>
    <cellStyle name="40% - Accent2 4 5 3 2" xfId="22336" xr:uid="{D45E4E20-9564-4287-85E1-B861B82C9E64}"/>
    <cellStyle name="40% - Accent2 4 5 3 3" xfId="14715" xr:uid="{DB1E3017-2596-4AA3-A183-4BF1A08C19E9}"/>
    <cellStyle name="40% - Accent2 4 5 4" xfId="18123" xr:uid="{28123ABC-8A08-401E-A9A9-A9D8B1CFECE7}"/>
    <cellStyle name="40% - Accent2 4 5 5" xfId="10502" xr:uid="{60697665-4ABB-4CC6-A609-78C537DC21AD}"/>
    <cellStyle name="40% - Accent2 4 6" xfId="2327" xr:uid="{00000000-0005-0000-0000-0000EB040000}"/>
    <cellStyle name="40% - Accent2 4 6 2" xfId="6633" xr:uid="{00000000-0005-0000-0000-0000EC040000}"/>
    <cellStyle name="40% - Accent2 4 6 2 2" xfId="22749" xr:uid="{99216E3C-57F5-45CE-B3BE-526ACA76C97A}"/>
    <cellStyle name="40% - Accent2 4 6 2 3" xfId="15128" xr:uid="{67A8F30A-4C0F-4FFC-A7C0-DA86D4E975FF}"/>
    <cellStyle name="40% - Accent2 4 6 3" xfId="18536" xr:uid="{8F97D424-7E48-4793-9D24-D24B2CC62316}"/>
    <cellStyle name="40% - Accent2 4 6 4" xfId="10915" xr:uid="{4F626B16-6F69-4C95-9044-124C244BE63B}"/>
    <cellStyle name="40% - Accent2 4 7" xfId="4567" xr:uid="{00000000-0005-0000-0000-0000ED040000}"/>
    <cellStyle name="40% - Accent2 4 7 2" xfId="20684" xr:uid="{78E86D3C-B616-4934-81B2-DC64ED0F4357}"/>
    <cellStyle name="40% - Accent2 4 7 3" xfId="13063" xr:uid="{1BAB052C-270A-460C-812F-CB640AEFA678}"/>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2 2 2" xfId="23235" xr:uid="{57580800-9CCB-4B75-BA19-759A362039A8}"/>
    <cellStyle name="40% - Accent2 5 2 2 3" xfId="15614" xr:uid="{8BA3F1A5-3240-430A-BC22-279FDE7E2BB9}"/>
    <cellStyle name="40% - Accent2 5 2 3" xfId="19022" xr:uid="{8A412166-3346-4F5F-9EE6-6851A9FBED4F}"/>
    <cellStyle name="40% - Accent2 5 2 4" xfId="11401" xr:uid="{A9B5E833-BBA4-4A10-BBD4-C1E764958BFE}"/>
    <cellStyle name="40% - Accent2 5 3" xfId="4974" xr:uid="{00000000-0005-0000-0000-0000F1040000}"/>
    <cellStyle name="40% - Accent2 5 3 2" xfId="21090" xr:uid="{23304982-3ED9-4567-9A2C-C78F9DD401DA}"/>
    <cellStyle name="40% - Accent2 5 3 3" xfId="13469" xr:uid="{271F4D5C-B4AA-41AB-94BC-6EF4360A6AB5}"/>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2 2 2" xfId="23648" xr:uid="{06655EDF-1CC9-42F5-AF5F-CAACE693CFEA}"/>
    <cellStyle name="40% - Accent2 6 2 2 3" xfId="16027" xr:uid="{525BD3FF-B435-4824-BC64-4277DFE07EBC}"/>
    <cellStyle name="40% - Accent2 6 2 3" xfId="19435" xr:uid="{8219DCC7-BE49-4007-A6F9-6EDADB5B1514}"/>
    <cellStyle name="40% - Accent2 6 2 4" xfId="11814" xr:uid="{3611F6D2-7A7B-45A5-8167-DC314400B28A}"/>
    <cellStyle name="40% - Accent2 6 3" xfId="5387" xr:uid="{00000000-0005-0000-0000-0000F5040000}"/>
    <cellStyle name="40% - Accent2 6 3 2" xfId="21503" xr:uid="{80902277-9B9A-44C0-B804-3672F76EF65D}"/>
    <cellStyle name="40% - Accent2 6 3 3" xfId="13882" xr:uid="{0F344FBD-E291-40C2-B014-6BD34769675B}"/>
    <cellStyle name="40% - Accent2 6 4" xfId="17290" xr:uid="{BB0C92B5-CEFC-4FDA-8D87-ABD60699B7E1}"/>
    <cellStyle name="40% - Accent2 6 5" xfId="9669" xr:uid="{1AB8387F-653F-46B5-9A0E-E2AD9B219928}"/>
    <cellStyle name="40% - Accent2 7" xfId="1493" xr:uid="{00000000-0005-0000-0000-0000F6040000}"/>
    <cellStyle name="40% - Accent2 7 2" xfId="3723" xr:uid="{00000000-0005-0000-0000-0000F7040000}"/>
    <cellStyle name="40% - Accent2 7 2 2" xfId="7945" xr:uid="{00000000-0005-0000-0000-0000F8040000}"/>
    <cellStyle name="40% - Accent2 7 2 2 2" xfId="24061" xr:uid="{E49C3982-E6FA-4E89-A3DE-6A2926159B68}"/>
    <cellStyle name="40% - Accent2 7 2 2 3" xfId="16440" xr:uid="{72BA5A93-D6FB-445E-8769-7F585317F3BA}"/>
    <cellStyle name="40% - Accent2 7 2 3" xfId="19848" xr:uid="{9AAD51EE-19AC-48AE-AA9F-9DC41951F86E}"/>
    <cellStyle name="40% - Accent2 7 2 4" xfId="12227" xr:uid="{FBFB54A5-A6DC-48B0-9BD9-D14DCFED4913}"/>
    <cellStyle name="40% - Accent2 7 3" xfId="5800" xr:uid="{00000000-0005-0000-0000-0000F9040000}"/>
    <cellStyle name="40% - Accent2 7 3 2" xfId="21916" xr:uid="{39EB6C34-26DC-4FC7-BDC6-13DC1998C687}"/>
    <cellStyle name="40% - Accent2 7 3 3" xfId="14295" xr:uid="{02BA180B-9306-45CE-9B26-600AB1B0B814}"/>
    <cellStyle name="40% - Accent2 7 4" xfId="17703" xr:uid="{ACF5D51D-F094-4B08-BFF8-12C7DE4C67A3}"/>
    <cellStyle name="40% - Accent2 7 5" xfId="10082" xr:uid="{94AFCF3F-0667-4840-A107-143C113195C1}"/>
    <cellStyle name="40% - Accent2 8" xfId="1907" xr:uid="{00000000-0005-0000-0000-0000FA040000}"/>
    <cellStyle name="40% - Accent2 8 2" xfId="4136" xr:uid="{00000000-0005-0000-0000-0000FB040000}"/>
    <cellStyle name="40% - Accent2 8 2 2" xfId="8358" xr:uid="{00000000-0005-0000-0000-0000FC040000}"/>
    <cellStyle name="40% - Accent2 8 2 2 2" xfId="24474" xr:uid="{76112C88-D278-43B0-8DDC-FDAF807F1933}"/>
    <cellStyle name="40% - Accent2 8 2 2 3" xfId="16853" xr:uid="{B57DE611-8988-465C-B76D-0DE369A3128B}"/>
    <cellStyle name="40% - Accent2 8 2 3" xfId="20261" xr:uid="{E37A03DE-37E2-4F29-B13E-AF0378BE1B7D}"/>
    <cellStyle name="40% - Accent2 8 2 4" xfId="12640" xr:uid="{6FECF3FC-71EF-4B23-A10C-C17E3445DA24}"/>
    <cellStyle name="40% - Accent2 8 3" xfId="6213" xr:uid="{00000000-0005-0000-0000-0000FD040000}"/>
    <cellStyle name="40% - Accent2 8 3 2" xfId="22329" xr:uid="{13EAE569-47CA-418A-89FC-8E6436F1DFB8}"/>
    <cellStyle name="40% - Accent2 8 3 3" xfId="14708" xr:uid="{F5D2C2C4-C115-426D-81D8-836F2984B91B}"/>
    <cellStyle name="40% - Accent2 8 4" xfId="18116" xr:uid="{D5F95999-10FA-4569-9310-08C73B388340}"/>
    <cellStyle name="40% - Accent2 8 5" xfId="10495" xr:uid="{CD7F1D49-5B19-4606-8B7F-904663A4F519}"/>
    <cellStyle name="40% - Accent2 9" xfId="2320" xr:uid="{00000000-0005-0000-0000-0000FE040000}"/>
    <cellStyle name="40% - Accent2 9 2" xfId="6626" xr:uid="{00000000-0005-0000-0000-0000FF040000}"/>
    <cellStyle name="40% - Accent2 9 2 2" xfId="22742" xr:uid="{34C96F21-24AC-438A-91F7-463E78B9B967}"/>
    <cellStyle name="40% - Accent2 9 2 3" xfId="15121" xr:uid="{6706F5C9-4C61-40E7-96D7-2DFC220367D3}"/>
    <cellStyle name="40% - Accent2 9 3" xfId="18529" xr:uid="{6F32A80A-5641-473E-A595-E666ED3D9626}"/>
    <cellStyle name="40% - Accent2 9 4" xfId="10908" xr:uid="{8A658E49-5222-474C-9070-8475AB85E508}"/>
    <cellStyle name="40% - Accent3" xfId="65" builtinId="39" customBuiltin="1"/>
    <cellStyle name="40% - Accent3 10" xfId="4568" xr:uid="{00000000-0005-0000-0000-000001050000}"/>
    <cellStyle name="40% - Accent3 10 2" xfId="20685" xr:uid="{CB13311C-9890-4ECF-BF6D-11745505F50A}"/>
    <cellStyle name="40% - Accent3 10 3" xfId="13064" xr:uid="{BFFA5868-3600-4E95-8A4E-E3210F1E60A1}"/>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23246" xr:uid="{481B4673-86FD-4E27-937D-55F9937658B4}"/>
    <cellStyle name="40% - Accent3 2 2 2 2 2 2 3" xfId="15625" xr:uid="{2AEEF68C-5DC3-46AD-B469-53FF4685F6EF}"/>
    <cellStyle name="40% - Accent3 2 2 2 2 2 3" xfId="19033" xr:uid="{C6AD3368-AD18-44F7-925F-004EE45B366F}"/>
    <cellStyle name="40% - Accent3 2 2 2 2 2 4" xfId="11412" xr:uid="{A765D6A0-CA32-409E-A5F5-FEE1245AAB50}"/>
    <cellStyle name="40% - Accent3 2 2 2 2 3" xfId="4985" xr:uid="{00000000-0005-0000-0000-000008050000}"/>
    <cellStyle name="40% - Accent3 2 2 2 2 3 2" xfId="21101" xr:uid="{2E5477F3-959A-4507-B697-D7D8EDDBEEE4}"/>
    <cellStyle name="40% - Accent3 2 2 2 2 3 3" xfId="13480" xr:uid="{55E1EEE1-A52D-4F53-AA2D-143BEFC0A7DA}"/>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23659" xr:uid="{A7101A75-E6BC-4AF6-8B31-0149CDABB781}"/>
    <cellStyle name="40% - Accent3 2 2 2 3 2 2 3" xfId="16038" xr:uid="{442A51A6-E519-4FF9-A417-C451B9E96C48}"/>
    <cellStyle name="40% - Accent3 2 2 2 3 2 3" xfId="19446" xr:uid="{22F02DE7-CF72-48C3-8113-E58CCB4CAE8C}"/>
    <cellStyle name="40% - Accent3 2 2 2 3 2 4" xfId="11825" xr:uid="{59DBB3D9-E514-464C-8522-22B9779FD42A}"/>
    <cellStyle name="40% - Accent3 2 2 2 3 3" xfId="5398" xr:uid="{00000000-0005-0000-0000-00000C050000}"/>
    <cellStyle name="40% - Accent3 2 2 2 3 3 2" xfId="21514" xr:uid="{E45EE94E-3443-49D8-BF25-2950771A3069}"/>
    <cellStyle name="40% - Accent3 2 2 2 3 3 3" xfId="13893" xr:uid="{4662A7C7-B153-4A07-8127-28ECC500E72C}"/>
    <cellStyle name="40% - Accent3 2 2 2 3 4" xfId="17301" xr:uid="{A9AA4A72-C858-47EE-81DB-F148842970C2}"/>
    <cellStyle name="40% - Accent3 2 2 2 3 5" xfId="9680" xr:uid="{E5BEAC17-356F-4AEA-A960-60FD292F50C6}"/>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24072" xr:uid="{44D3BC0B-CD62-4B35-B99F-636AD059FAE4}"/>
    <cellStyle name="40% - Accent3 2 2 2 4 2 2 3" xfId="16451" xr:uid="{87612AC5-6541-4AE4-806B-5D653DFEFCC3}"/>
    <cellStyle name="40% - Accent3 2 2 2 4 2 3" xfId="19859" xr:uid="{A1BD0986-9B7F-40AF-84DC-24348FDB2957}"/>
    <cellStyle name="40% - Accent3 2 2 2 4 2 4" xfId="12238" xr:uid="{F51CB647-7C4E-45EF-B669-E27C13E8F6B3}"/>
    <cellStyle name="40% - Accent3 2 2 2 4 3" xfId="5811" xr:uid="{00000000-0005-0000-0000-000010050000}"/>
    <cellStyle name="40% - Accent3 2 2 2 4 3 2" xfId="21927" xr:uid="{84E5947C-3E4B-4CC4-BC13-34044210D49E}"/>
    <cellStyle name="40% - Accent3 2 2 2 4 3 3" xfId="14306" xr:uid="{AD4C9336-AEF0-4336-8258-A628BDAEFBC0}"/>
    <cellStyle name="40% - Accent3 2 2 2 4 4" xfId="17714" xr:uid="{CFD30354-89D5-4DA6-BBE3-6BA4D29F8D08}"/>
    <cellStyle name="40% - Accent3 2 2 2 4 5" xfId="10093" xr:uid="{592C3AB6-A88E-418B-9B7F-BB9070FE7DDD}"/>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24485" xr:uid="{C30A6A27-765A-47FB-B55A-C6FDE5D7CC7E}"/>
    <cellStyle name="40% - Accent3 2 2 2 5 2 2 3" xfId="16864" xr:uid="{B7E23159-F1BE-4581-B598-EBD00AEBFE02}"/>
    <cellStyle name="40% - Accent3 2 2 2 5 2 3" xfId="20272" xr:uid="{8CB7B2CA-53DD-4100-A37D-A9CAFBE242DE}"/>
    <cellStyle name="40% - Accent3 2 2 2 5 2 4" xfId="12651" xr:uid="{8E9CE774-D24C-4DE2-BEEB-0E55EAD4D19E}"/>
    <cellStyle name="40% - Accent3 2 2 2 5 3" xfId="6224" xr:uid="{00000000-0005-0000-0000-000014050000}"/>
    <cellStyle name="40% - Accent3 2 2 2 5 3 2" xfId="22340" xr:uid="{5F6E8823-BCE0-4D26-AA99-8690BF416602}"/>
    <cellStyle name="40% - Accent3 2 2 2 5 3 3" xfId="14719" xr:uid="{2B782977-7F72-4DF5-ABA0-2E7947B7087D}"/>
    <cellStyle name="40% - Accent3 2 2 2 5 4" xfId="18127" xr:uid="{6EFC4B73-7938-46F7-A58A-0E793A09B360}"/>
    <cellStyle name="40% - Accent3 2 2 2 5 5" xfId="10506" xr:uid="{0D0B1B89-1C71-4773-A9A9-7730B7356739}"/>
    <cellStyle name="40% - Accent3 2 2 2 6" xfId="2331" xr:uid="{00000000-0005-0000-0000-000015050000}"/>
    <cellStyle name="40% - Accent3 2 2 2 6 2" xfId="6637" xr:uid="{00000000-0005-0000-0000-000016050000}"/>
    <cellStyle name="40% - Accent3 2 2 2 6 2 2" xfId="22753" xr:uid="{1B0DE944-AD4B-4F35-AD32-667E9827C3F6}"/>
    <cellStyle name="40% - Accent3 2 2 2 6 2 3" xfId="15132" xr:uid="{BD0512AC-CBEE-4B97-9A49-1E3ED89461F7}"/>
    <cellStyle name="40% - Accent3 2 2 2 6 3" xfId="18540" xr:uid="{51D82C69-AC67-469D-BF05-A4994411EF90}"/>
    <cellStyle name="40% - Accent3 2 2 2 6 4" xfId="10919" xr:uid="{C0DED6DF-68C6-4117-9EF2-547E2BE2D1CB}"/>
    <cellStyle name="40% - Accent3 2 2 2 7" xfId="4571" xr:uid="{00000000-0005-0000-0000-000017050000}"/>
    <cellStyle name="40% - Accent3 2 2 2 7 2" xfId="20688" xr:uid="{3082091E-8833-4EC3-9A77-9EDE41104B92}"/>
    <cellStyle name="40% - Accent3 2 2 2 7 3" xfId="13067" xr:uid="{4A5E130F-EDD8-4A9E-B595-D77A50D1EE9D}"/>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23245" xr:uid="{45D18B64-FFDC-48E0-BB19-59C19934505C}"/>
    <cellStyle name="40% - Accent3 2 2 3 2 2 3" xfId="15624" xr:uid="{FE321BFF-6162-41EA-836C-7C9BA5C17F9B}"/>
    <cellStyle name="40% - Accent3 2 2 3 2 3" xfId="19032" xr:uid="{C20E1C9A-2A1B-4C30-834D-35FFA51E746F}"/>
    <cellStyle name="40% - Accent3 2 2 3 2 4" xfId="11411" xr:uid="{96FFCAA9-A94B-4D7F-A497-9A0E562A50DE}"/>
    <cellStyle name="40% - Accent3 2 2 3 3" xfId="4984" xr:uid="{00000000-0005-0000-0000-00001B050000}"/>
    <cellStyle name="40% - Accent3 2 2 3 3 2" xfId="21100" xr:uid="{B1FB34BF-4464-410D-9FC6-A3A4546EA910}"/>
    <cellStyle name="40% - Accent3 2 2 3 3 3" xfId="13479" xr:uid="{46971979-A195-478F-BDA4-D18666F76CA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23658" xr:uid="{4AD53B0E-AA6E-47CC-9569-126C337E24FB}"/>
    <cellStyle name="40% - Accent3 2 2 4 2 2 3" xfId="16037" xr:uid="{3EDA32BD-3CC9-416A-A2A5-6AEB0168CB7D}"/>
    <cellStyle name="40% - Accent3 2 2 4 2 3" xfId="19445" xr:uid="{7F1057AE-2091-437A-A3AE-9225A0603CBA}"/>
    <cellStyle name="40% - Accent3 2 2 4 2 4" xfId="11824" xr:uid="{7527BF8E-834B-4796-81E5-94DFC6318018}"/>
    <cellStyle name="40% - Accent3 2 2 4 3" xfId="5397" xr:uid="{00000000-0005-0000-0000-00001F050000}"/>
    <cellStyle name="40% - Accent3 2 2 4 3 2" xfId="21513" xr:uid="{B6843793-5E57-4C05-99E4-7296ED7FD5D1}"/>
    <cellStyle name="40% - Accent3 2 2 4 3 3" xfId="13892" xr:uid="{8305F219-98AC-4087-B86A-74C3704FF23B}"/>
    <cellStyle name="40% - Accent3 2 2 4 4" xfId="17300" xr:uid="{9F2A489D-6B8D-47DB-990E-1C19AF27E7E0}"/>
    <cellStyle name="40% - Accent3 2 2 4 5" xfId="9679" xr:uid="{5B370F66-9871-457D-968B-5665834737E7}"/>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24071" xr:uid="{221E6BC5-B90A-4040-A3CE-FC7B044DAEC7}"/>
    <cellStyle name="40% - Accent3 2 2 5 2 2 3" xfId="16450" xr:uid="{871C159F-5C96-4355-BD9D-F141C5061E7B}"/>
    <cellStyle name="40% - Accent3 2 2 5 2 3" xfId="19858" xr:uid="{EC37270B-B92C-4186-AF25-02F4E6D890F0}"/>
    <cellStyle name="40% - Accent3 2 2 5 2 4" xfId="12237" xr:uid="{A46324B0-9A57-42CD-AD8E-22175C83319F}"/>
    <cellStyle name="40% - Accent3 2 2 5 3" xfId="5810" xr:uid="{00000000-0005-0000-0000-000023050000}"/>
    <cellStyle name="40% - Accent3 2 2 5 3 2" xfId="21926" xr:uid="{9224909E-C4FE-43E7-8B31-C75AE84E5835}"/>
    <cellStyle name="40% - Accent3 2 2 5 3 3" xfId="14305" xr:uid="{1BB3BB39-8AF7-4F46-901D-9C296D6A6572}"/>
    <cellStyle name="40% - Accent3 2 2 5 4" xfId="17713" xr:uid="{0408E62F-5CA9-4C29-8DA5-8CBCB1819E0C}"/>
    <cellStyle name="40% - Accent3 2 2 5 5" xfId="10092" xr:uid="{F931A9F5-8F31-402D-A536-EE629F9495E5}"/>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24484" xr:uid="{081EEC3E-F4B8-412B-A3DF-9FC6E0E5CCAF}"/>
    <cellStyle name="40% - Accent3 2 2 6 2 2 3" xfId="16863" xr:uid="{0618CDD3-4B08-4EC7-9403-5ABCF8ED566D}"/>
    <cellStyle name="40% - Accent3 2 2 6 2 3" xfId="20271" xr:uid="{68D8AAA3-3C0D-4289-AB0C-2770E150D616}"/>
    <cellStyle name="40% - Accent3 2 2 6 2 4" xfId="12650" xr:uid="{FAB3E749-B38A-454B-8BF6-91552CA05CE0}"/>
    <cellStyle name="40% - Accent3 2 2 6 3" xfId="6223" xr:uid="{00000000-0005-0000-0000-000027050000}"/>
    <cellStyle name="40% - Accent3 2 2 6 3 2" xfId="22339" xr:uid="{9A4481CF-8BF6-4464-B95B-CB3F43FA3D3E}"/>
    <cellStyle name="40% - Accent3 2 2 6 3 3" xfId="14718" xr:uid="{CE7C6A6B-3652-46C6-81AB-27D0EFAC7127}"/>
    <cellStyle name="40% - Accent3 2 2 6 4" xfId="18126" xr:uid="{45B310B2-8C19-4D79-833A-6805E66B9439}"/>
    <cellStyle name="40% - Accent3 2 2 6 5" xfId="10505" xr:uid="{54581673-D27A-4529-B3A2-8F0F4B0586B7}"/>
    <cellStyle name="40% - Accent3 2 2 7" xfId="2330" xr:uid="{00000000-0005-0000-0000-000028050000}"/>
    <cellStyle name="40% - Accent3 2 2 7 2" xfId="6636" xr:uid="{00000000-0005-0000-0000-000029050000}"/>
    <cellStyle name="40% - Accent3 2 2 7 2 2" xfId="22752" xr:uid="{51C82D01-81DC-42BA-A33D-A768311DF9C1}"/>
    <cellStyle name="40% - Accent3 2 2 7 2 3" xfId="15131" xr:uid="{E7FF5373-73B1-49B8-87EB-421EECC693BA}"/>
    <cellStyle name="40% - Accent3 2 2 7 3" xfId="18539" xr:uid="{8C2CC52F-5D97-4338-9EC2-BAEA17F789D3}"/>
    <cellStyle name="40% - Accent3 2 2 7 4" xfId="10918" xr:uid="{70AD8211-4DA0-4801-841C-6EE254F741B5}"/>
    <cellStyle name="40% - Accent3 2 2 8" xfId="4570" xr:uid="{00000000-0005-0000-0000-00002A050000}"/>
    <cellStyle name="40% - Accent3 2 2 8 2" xfId="20687" xr:uid="{AAF081A6-61A7-4FDD-B137-CE0537654DFD}"/>
    <cellStyle name="40% - Accent3 2 2 8 3" xfId="13066" xr:uid="{C3B4B0E0-BC6A-41AD-BFC5-EFCB045001D8}"/>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23247" xr:uid="{31E25A96-9AB1-4D17-9F63-E886B43B06E4}"/>
    <cellStyle name="40% - Accent3 2 3 2 2 2 3" xfId="15626" xr:uid="{B3CE9526-A533-477F-AD5F-AB79F9E8C3E9}"/>
    <cellStyle name="40% - Accent3 2 3 2 2 3" xfId="19034" xr:uid="{0CDFBD16-00E9-4CE2-ACBC-AEA5A0BC15D0}"/>
    <cellStyle name="40% - Accent3 2 3 2 2 4" xfId="11413" xr:uid="{16B83043-D8C9-4E30-9999-31BE763D5807}"/>
    <cellStyle name="40% - Accent3 2 3 2 3" xfId="4986" xr:uid="{00000000-0005-0000-0000-00002F050000}"/>
    <cellStyle name="40% - Accent3 2 3 2 3 2" xfId="21102" xr:uid="{B38D1956-1A67-4BEA-B11E-1E29CC31A90C}"/>
    <cellStyle name="40% - Accent3 2 3 2 3 3" xfId="13481" xr:uid="{4CE3F398-2F57-48CE-B85A-5213D27C81B6}"/>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23660" xr:uid="{5E565287-CFE3-451A-A27F-D2BAC3D46C33}"/>
    <cellStyle name="40% - Accent3 2 3 3 2 2 3" xfId="16039" xr:uid="{A1F244ED-055A-42C2-85A7-5BF6D0472627}"/>
    <cellStyle name="40% - Accent3 2 3 3 2 3" xfId="19447" xr:uid="{F0D20050-D4ED-4A58-9D7E-103371384917}"/>
    <cellStyle name="40% - Accent3 2 3 3 2 4" xfId="11826" xr:uid="{63D90DD7-122B-4D02-B0E5-D8695ECD5403}"/>
    <cellStyle name="40% - Accent3 2 3 3 3" xfId="5399" xr:uid="{00000000-0005-0000-0000-000033050000}"/>
    <cellStyle name="40% - Accent3 2 3 3 3 2" xfId="21515" xr:uid="{F1B06099-E5BB-4D81-BB81-830AE710529A}"/>
    <cellStyle name="40% - Accent3 2 3 3 3 3" xfId="13894" xr:uid="{45597021-A57D-463A-B4B3-957D4BE3D781}"/>
    <cellStyle name="40% - Accent3 2 3 3 4" xfId="17302" xr:uid="{EFD9274F-1775-4CA4-B09B-D87E0412102C}"/>
    <cellStyle name="40% - Accent3 2 3 3 5" xfId="9681" xr:uid="{59F7D7B7-4F9F-49BF-999C-54EDA3A60194}"/>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24073" xr:uid="{C180DF29-8D1C-4248-B0C6-B00A24571B61}"/>
    <cellStyle name="40% - Accent3 2 3 4 2 2 3" xfId="16452" xr:uid="{F35D924B-5AF1-46CE-8C5C-8854230CD498}"/>
    <cellStyle name="40% - Accent3 2 3 4 2 3" xfId="19860" xr:uid="{CBAD6915-2E52-4940-94E1-EFD646E95076}"/>
    <cellStyle name="40% - Accent3 2 3 4 2 4" xfId="12239" xr:uid="{1270B6ED-148C-47FB-9384-41479EDCA0E4}"/>
    <cellStyle name="40% - Accent3 2 3 4 3" xfId="5812" xr:uid="{00000000-0005-0000-0000-000037050000}"/>
    <cellStyle name="40% - Accent3 2 3 4 3 2" xfId="21928" xr:uid="{AA761126-3452-4313-A203-FFCD0D9F87B8}"/>
    <cellStyle name="40% - Accent3 2 3 4 3 3" xfId="14307" xr:uid="{137C8D1E-41EB-472B-B3E8-9377A4F35326}"/>
    <cellStyle name="40% - Accent3 2 3 4 4" xfId="17715" xr:uid="{15780BDA-33D9-4242-A407-574E8CCFD62C}"/>
    <cellStyle name="40% - Accent3 2 3 4 5" xfId="10094" xr:uid="{CF77391A-9EF6-4A67-826E-47A22CA2B4F7}"/>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24486" xr:uid="{9962BC42-2D2A-4A14-AA85-9DEC48CAFF72}"/>
    <cellStyle name="40% - Accent3 2 3 5 2 2 3" xfId="16865" xr:uid="{108894DF-FD61-4A34-A8DE-4C55B67B0A36}"/>
    <cellStyle name="40% - Accent3 2 3 5 2 3" xfId="20273" xr:uid="{99D6C1C6-29FB-4063-BF46-2783F07C753C}"/>
    <cellStyle name="40% - Accent3 2 3 5 2 4" xfId="12652" xr:uid="{FD2DE956-AB79-47FE-AF5D-C9512402A92B}"/>
    <cellStyle name="40% - Accent3 2 3 5 3" xfId="6225" xr:uid="{00000000-0005-0000-0000-00003B050000}"/>
    <cellStyle name="40% - Accent3 2 3 5 3 2" xfId="22341" xr:uid="{CE9C0411-E51A-48F6-AE69-0338E65CD0F9}"/>
    <cellStyle name="40% - Accent3 2 3 5 3 3" xfId="14720" xr:uid="{7F3DC544-97C4-4DB6-AC9D-6CC8208C500A}"/>
    <cellStyle name="40% - Accent3 2 3 5 4" xfId="18128" xr:uid="{B0846FD1-4932-4AE1-88DE-04039F1DD542}"/>
    <cellStyle name="40% - Accent3 2 3 5 5" xfId="10507" xr:uid="{9E9A7F08-F38A-4003-943E-0F5864674E23}"/>
    <cellStyle name="40% - Accent3 2 3 6" xfId="2332" xr:uid="{00000000-0005-0000-0000-00003C050000}"/>
    <cellStyle name="40% - Accent3 2 3 6 2" xfId="6638" xr:uid="{00000000-0005-0000-0000-00003D050000}"/>
    <cellStyle name="40% - Accent3 2 3 6 2 2" xfId="22754" xr:uid="{75C44400-51BB-472A-9511-4DFEF5E831C7}"/>
    <cellStyle name="40% - Accent3 2 3 6 2 3" xfId="15133" xr:uid="{AE436D34-9455-48C8-BFDA-5B771EFA30D5}"/>
    <cellStyle name="40% - Accent3 2 3 6 3" xfId="18541" xr:uid="{153D1855-E366-408F-8304-8D85F68E12C1}"/>
    <cellStyle name="40% - Accent3 2 3 6 4" xfId="10920" xr:uid="{A9EB3F47-AB50-4C3F-8C2D-84D61F7BA8AB}"/>
    <cellStyle name="40% - Accent3 2 3 7" xfId="4572" xr:uid="{00000000-0005-0000-0000-00003E050000}"/>
    <cellStyle name="40% - Accent3 2 3 7 2" xfId="20689" xr:uid="{E0A8684E-74FC-4BAC-A406-1D442143EA52}"/>
    <cellStyle name="40% - Accent3 2 3 7 3" xfId="13068" xr:uid="{2D5BF51C-6B18-4D79-9622-6098085AB457}"/>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2 2 2" xfId="23244" xr:uid="{E7344778-6864-44E3-A23B-8E5E9FB9A5C2}"/>
    <cellStyle name="40% - Accent3 2 4 2 2 3" xfId="15623" xr:uid="{69EB7662-8753-4C45-9BC9-4E2FFBF1B630}"/>
    <cellStyle name="40% - Accent3 2 4 2 3" xfId="19031" xr:uid="{58373874-9F2E-4E43-98A7-698C139D023F}"/>
    <cellStyle name="40% - Accent3 2 4 2 4" xfId="11410" xr:uid="{85C486C2-6663-480D-8122-007E9413336C}"/>
    <cellStyle name="40% - Accent3 2 4 3" xfId="4983" xr:uid="{00000000-0005-0000-0000-000042050000}"/>
    <cellStyle name="40% - Accent3 2 4 3 2" xfId="21099" xr:uid="{5C3DE5C0-EB9D-489E-84EF-58F726F60C94}"/>
    <cellStyle name="40% - Accent3 2 4 3 3" xfId="13478" xr:uid="{449F825C-F0D5-4BB0-B295-A79DFE2E93F9}"/>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2 2 2" xfId="23657" xr:uid="{452C769D-7F50-444D-98FD-0B1BACAB09E6}"/>
    <cellStyle name="40% - Accent3 2 5 2 2 3" xfId="16036" xr:uid="{2F92B7CC-88CE-48A5-A965-D8203D87326D}"/>
    <cellStyle name="40% - Accent3 2 5 2 3" xfId="19444" xr:uid="{2AC7FFE7-E87E-45BD-B93D-A1107EF8D075}"/>
    <cellStyle name="40% - Accent3 2 5 2 4" xfId="11823" xr:uid="{3BD39F45-F03B-49BA-83F2-8E4CC7333D23}"/>
    <cellStyle name="40% - Accent3 2 5 3" xfId="5396" xr:uid="{00000000-0005-0000-0000-000046050000}"/>
    <cellStyle name="40% - Accent3 2 5 3 2" xfId="21512" xr:uid="{306334B1-99C9-43D1-A545-079C270D92C8}"/>
    <cellStyle name="40% - Accent3 2 5 3 3" xfId="13891" xr:uid="{370CA26F-B88C-4ADA-800F-3D8018A960E1}"/>
    <cellStyle name="40% - Accent3 2 5 4" xfId="17299" xr:uid="{28C8EF9C-C6E3-4B90-8295-196673846738}"/>
    <cellStyle name="40% - Accent3 2 5 5" xfId="9678" xr:uid="{13F2443F-0562-412A-BDB4-0CD63DFF7C1F}"/>
    <cellStyle name="40% - Accent3 2 6" xfId="1502" xr:uid="{00000000-0005-0000-0000-000047050000}"/>
    <cellStyle name="40% - Accent3 2 6 2" xfId="3732" xr:uid="{00000000-0005-0000-0000-000048050000}"/>
    <cellStyle name="40% - Accent3 2 6 2 2" xfId="7954" xr:uid="{00000000-0005-0000-0000-000049050000}"/>
    <cellStyle name="40% - Accent3 2 6 2 2 2" xfId="24070" xr:uid="{F86E0A90-F759-4015-BFE3-0EAA6831332C}"/>
    <cellStyle name="40% - Accent3 2 6 2 2 3" xfId="16449" xr:uid="{097E2B24-26C6-43F8-AD9D-9CED7D0ED204}"/>
    <cellStyle name="40% - Accent3 2 6 2 3" xfId="19857" xr:uid="{B77BE6F2-9A68-4000-B1DC-E3B036B10320}"/>
    <cellStyle name="40% - Accent3 2 6 2 4" xfId="12236" xr:uid="{D1D9E5DC-E0E8-4465-BF15-D380BCE51CCC}"/>
    <cellStyle name="40% - Accent3 2 6 3" xfId="5809" xr:uid="{00000000-0005-0000-0000-00004A050000}"/>
    <cellStyle name="40% - Accent3 2 6 3 2" xfId="21925" xr:uid="{E8EA4F92-7E7E-4F19-AA30-7F8A7D0D30B9}"/>
    <cellStyle name="40% - Accent3 2 6 3 3" xfId="14304" xr:uid="{01B9748C-8646-41DF-9AED-03CD177556E4}"/>
    <cellStyle name="40% - Accent3 2 6 4" xfId="17712" xr:uid="{6B062F1E-32BC-4225-8EEB-7E234A8BA405}"/>
    <cellStyle name="40% - Accent3 2 6 5" xfId="10091" xr:uid="{4D83B563-9491-4426-9E38-0D78D7A68746}"/>
    <cellStyle name="40% - Accent3 2 7" xfId="1916" xr:uid="{00000000-0005-0000-0000-00004B050000}"/>
    <cellStyle name="40% - Accent3 2 7 2" xfId="4145" xr:uid="{00000000-0005-0000-0000-00004C050000}"/>
    <cellStyle name="40% - Accent3 2 7 2 2" xfId="8367" xr:uid="{00000000-0005-0000-0000-00004D050000}"/>
    <cellStyle name="40% - Accent3 2 7 2 2 2" xfId="24483" xr:uid="{30A7AEC5-28E7-4658-BAE3-B567AFCC6A34}"/>
    <cellStyle name="40% - Accent3 2 7 2 2 3" xfId="16862" xr:uid="{799BFB08-C832-422F-8B65-FA869F2ED67A}"/>
    <cellStyle name="40% - Accent3 2 7 2 3" xfId="20270" xr:uid="{3E48CD23-B953-4320-A159-0AE0A3A9D7C9}"/>
    <cellStyle name="40% - Accent3 2 7 2 4" xfId="12649" xr:uid="{DBD35D55-317E-4C6B-A573-5529F391D7EB}"/>
    <cellStyle name="40% - Accent3 2 7 3" xfId="6222" xr:uid="{00000000-0005-0000-0000-00004E050000}"/>
    <cellStyle name="40% - Accent3 2 7 3 2" xfId="22338" xr:uid="{784C7D5E-1819-4D22-AE37-BA9D866EF9CE}"/>
    <cellStyle name="40% - Accent3 2 7 3 3" xfId="14717" xr:uid="{894F8EF7-FAA8-4159-8380-B029F2FD9FF3}"/>
    <cellStyle name="40% - Accent3 2 7 4" xfId="18125" xr:uid="{CE249EA5-EBC3-4D6A-8CC9-4D8FC11E383A}"/>
    <cellStyle name="40% - Accent3 2 7 5" xfId="10504" xr:uid="{42B82A34-A26A-4652-A02F-24AA23194A3A}"/>
    <cellStyle name="40% - Accent3 2 8" xfId="2329" xr:uid="{00000000-0005-0000-0000-00004F050000}"/>
    <cellStyle name="40% - Accent3 2 8 2" xfId="6635" xr:uid="{00000000-0005-0000-0000-000050050000}"/>
    <cellStyle name="40% - Accent3 2 8 2 2" xfId="22751" xr:uid="{310E0C73-D23E-499B-B70B-AC18ED20AA03}"/>
    <cellStyle name="40% - Accent3 2 8 2 3" xfId="15130" xr:uid="{93A09D4D-D446-4741-873A-44FA95194CB5}"/>
    <cellStyle name="40% - Accent3 2 8 3" xfId="18538" xr:uid="{822D14E4-93FF-43BC-BADC-D7071A73A548}"/>
    <cellStyle name="40% - Accent3 2 8 4" xfId="10917" xr:uid="{B51AE75C-29D2-41DD-80AE-AB1FC7CAE7A6}"/>
    <cellStyle name="40% - Accent3 2 9" xfId="4569" xr:uid="{00000000-0005-0000-0000-000051050000}"/>
    <cellStyle name="40% - Accent3 2 9 2" xfId="20686" xr:uid="{2EEF8EE1-4D38-4047-8536-5D5C46B47572}"/>
    <cellStyle name="40% - Accent3 2 9 3" xfId="13065" xr:uid="{B6455D9C-7CB7-431A-97CC-8E43B06181F9}"/>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23249" xr:uid="{A2A198B1-7806-4656-A7A9-9F48C3F75D7F}"/>
    <cellStyle name="40% - Accent3 3 2 2 2 2 3" xfId="15628" xr:uid="{8C3303AA-537F-408F-8173-C8BF9AE7A52C}"/>
    <cellStyle name="40% - Accent3 3 2 2 2 3" xfId="19036" xr:uid="{703D635C-E22F-4C04-97EB-6EC98D68EE3A}"/>
    <cellStyle name="40% - Accent3 3 2 2 2 4" xfId="11415" xr:uid="{9CBE2047-46C3-45D7-B505-DD67F91E4CCE}"/>
    <cellStyle name="40% - Accent3 3 2 2 3" xfId="4988" xr:uid="{00000000-0005-0000-0000-000057050000}"/>
    <cellStyle name="40% - Accent3 3 2 2 3 2" xfId="21104" xr:uid="{794EFB04-933B-4CAC-8867-2B8398BAAAE3}"/>
    <cellStyle name="40% - Accent3 3 2 2 3 3" xfId="13483" xr:uid="{DBA3104E-5E78-48B5-9948-9F616D5CFCB9}"/>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23662" xr:uid="{0ED5EA71-84C1-4D5E-B504-60DFD0DB5AA6}"/>
    <cellStyle name="40% - Accent3 3 2 3 2 2 3" xfId="16041" xr:uid="{AE1A5841-244C-45C6-9C39-C09BBE5CFF37}"/>
    <cellStyle name="40% - Accent3 3 2 3 2 3" xfId="19449" xr:uid="{0EF837E7-FFEF-4E8D-BE7E-41C37CB1176D}"/>
    <cellStyle name="40% - Accent3 3 2 3 2 4" xfId="11828" xr:uid="{3DAEAD42-BD16-4BF5-B01D-8455CEC94863}"/>
    <cellStyle name="40% - Accent3 3 2 3 3" xfId="5401" xr:uid="{00000000-0005-0000-0000-00005B050000}"/>
    <cellStyle name="40% - Accent3 3 2 3 3 2" xfId="21517" xr:uid="{0A396F73-EB84-4EE8-BC1A-0294BC3626B3}"/>
    <cellStyle name="40% - Accent3 3 2 3 3 3" xfId="13896" xr:uid="{90067CD5-BF3D-48C3-86B8-6D5BCD6527AD}"/>
    <cellStyle name="40% - Accent3 3 2 3 4" xfId="17304" xr:uid="{FCE134F8-C3CB-48F5-8B74-0A9C37C03D10}"/>
    <cellStyle name="40% - Accent3 3 2 3 5" xfId="9683" xr:uid="{910BC239-5BDC-4969-9A8E-DAC32D0F3207}"/>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24075" xr:uid="{3A9543E7-62DD-4EEA-9E48-4FAFEC03C2CB}"/>
    <cellStyle name="40% - Accent3 3 2 4 2 2 3" xfId="16454" xr:uid="{019E3494-6902-4833-A2D4-E2500AA3BB46}"/>
    <cellStyle name="40% - Accent3 3 2 4 2 3" xfId="19862" xr:uid="{AFCE8049-E336-421F-8B01-36B1D5A5F1B3}"/>
    <cellStyle name="40% - Accent3 3 2 4 2 4" xfId="12241" xr:uid="{04CC4919-512B-4920-A089-C36FD9A98920}"/>
    <cellStyle name="40% - Accent3 3 2 4 3" xfId="5814" xr:uid="{00000000-0005-0000-0000-00005F050000}"/>
    <cellStyle name="40% - Accent3 3 2 4 3 2" xfId="21930" xr:uid="{D8EFC1A5-3278-4171-96DB-CD67AD8EABFC}"/>
    <cellStyle name="40% - Accent3 3 2 4 3 3" xfId="14309" xr:uid="{59422BF9-AE2D-497A-9A08-EC9BDF53ED57}"/>
    <cellStyle name="40% - Accent3 3 2 4 4" xfId="17717" xr:uid="{19661874-7456-404A-BFAD-FD85597B44D9}"/>
    <cellStyle name="40% - Accent3 3 2 4 5" xfId="10096" xr:uid="{F3338C13-0F16-4A5B-B596-FE8AFDA27342}"/>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24488" xr:uid="{5A17A16D-FF97-49AA-B4A1-3BA01033B8FA}"/>
    <cellStyle name="40% - Accent3 3 2 5 2 2 3" xfId="16867" xr:uid="{D0B709BB-C8BD-4F5E-A746-25A4F93C7BA8}"/>
    <cellStyle name="40% - Accent3 3 2 5 2 3" xfId="20275" xr:uid="{AD7EF293-84D3-44A5-864B-761FF7FE8B51}"/>
    <cellStyle name="40% - Accent3 3 2 5 2 4" xfId="12654" xr:uid="{77E07AEA-3D69-4651-98A8-B28AAEF0FF2A}"/>
    <cellStyle name="40% - Accent3 3 2 5 3" xfId="6227" xr:uid="{00000000-0005-0000-0000-000063050000}"/>
    <cellStyle name="40% - Accent3 3 2 5 3 2" xfId="22343" xr:uid="{E6B8A98E-3C8B-4F7F-816B-237C4C3A6256}"/>
    <cellStyle name="40% - Accent3 3 2 5 3 3" xfId="14722" xr:uid="{EF711026-8105-4E7E-B2A7-9E5383DEBE43}"/>
    <cellStyle name="40% - Accent3 3 2 5 4" xfId="18130" xr:uid="{64699F11-8B0D-4BE0-A8F8-A202B2106280}"/>
    <cellStyle name="40% - Accent3 3 2 5 5" xfId="10509" xr:uid="{C81038B5-05C4-4F7A-A03E-F56A30F30F86}"/>
    <cellStyle name="40% - Accent3 3 2 6" xfId="2334" xr:uid="{00000000-0005-0000-0000-000064050000}"/>
    <cellStyle name="40% - Accent3 3 2 6 2" xfId="6640" xr:uid="{00000000-0005-0000-0000-000065050000}"/>
    <cellStyle name="40% - Accent3 3 2 6 2 2" xfId="22756" xr:uid="{67E363B1-FB8C-45F3-836F-04A7DD24E04D}"/>
    <cellStyle name="40% - Accent3 3 2 6 2 3" xfId="15135" xr:uid="{962ECBC3-9A31-4930-BD7E-23949A1EC52B}"/>
    <cellStyle name="40% - Accent3 3 2 6 3" xfId="18543" xr:uid="{74D93061-7860-4831-AF39-DF1113E195AF}"/>
    <cellStyle name="40% - Accent3 3 2 6 4" xfId="10922" xr:uid="{2A43E542-9793-4C68-8611-C3E6BFCD252D}"/>
    <cellStyle name="40% - Accent3 3 2 7" xfId="4574" xr:uid="{00000000-0005-0000-0000-000066050000}"/>
    <cellStyle name="40% - Accent3 3 2 7 2" xfId="20691" xr:uid="{EBCB973A-274A-4DAE-9B55-2C49B03A94F4}"/>
    <cellStyle name="40% - Accent3 3 2 7 3" xfId="13070" xr:uid="{A4E37C16-B650-4EBA-96C7-20F70C2A76AB}"/>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2 2 2" xfId="23248" xr:uid="{8DADF28C-D7D4-4044-99A0-68DFFB2BBE23}"/>
    <cellStyle name="40% - Accent3 3 3 2 2 3" xfId="15627" xr:uid="{E20ED0FE-2772-40EC-B6EF-BC45AE6722CE}"/>
    <cellStyle name="40% - Accent3 3 3 2 3" xfId="19035" xr:uid="{DABB861C-CE29-43DD-8287-84441B0DDE9A}"/>
    <cellStyle name="40% - Accent3 3 3 2 4" xfId="11414" xr:uid="{235F6E22-5B88-476D-A90A-DB68135D937C}"/>
    <cellStyle name="40% - Accent3 3 3 3" xfId="4987" xr:uid="{00000000-0005-0000-0000-00006A050000}"/>
    <cellStyle name="40% - Accent3 3 3 3 2" xfId="21103" xr:uid="{93BE8DCA-AEDF-482E-AEEF-92EA117DDF6D}"/>
    <cellStyle name="40% - Accent3 3 3 3 3" xfId="13482" xr:uid="{E3C03E78-60AE-427B-B284-DBC9E9E83027}"/>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2 2 2" xfId="23661" xr:uid="{9BC2A781-1325-42D0-810B-71940F6E5591}"/>
    <cellStyle name="40% - Accent3 3 4 2 2 3" xfId="16040" xr:uid="{291D41B3-8DEF-42CA-BB3D-0122F85E4C0E}"/>
    <cellStyle name="40% - Accent3 3 4 2 3" xfId="19448" xr:uid="{D51A4B66-1AA9-4195-8BD4-C7DE71E4FD95}"/>
    <cellStyle name="40% - Accent3 3 4 2 4" xfId="11827" xr:uid="{8656F58B-D254-49E8-85AD-E0EAA8B480E5}"/>
    <cellStyle name="40% - Accent3 3 4 3" xfId="5400" xr:uid="{00000000-0005-0000-0000-00006E050000}"/>
    <cellStyle name="40% - Accent3 3 4 3 2" xfId="21516" xr:uid="{5431430F-8800-4245-987E-ADB309C68C57}"/>
    <cellStyle name="40% - Accent3 3 4 3 3" xfId="13895" xr:uid="{31644EFD-3BF8-4B0D-B0A3-EF807DE66693}"/>
    <cellStyle name="40% - Accent3 3 4 4" xfId="17303" xr:uid="{AFC47A81-347A-46E3-8F17-B6439744C519}"/>
    <cellStyle name="40% - Accent3 3 4 5" xfId="9682" xr:uid="{F8542444-666F-4D0F-9AF6-5C77F77D7BE0}"/>
    <cellStyle name="40% - Accent3 3 5" xfId="1506" xr:uid="{00000000-0005-0000-0000-00006F050000}"/>
    <cellStyle name="40% - Accent3 3 5 2" xfId="3736" xr:uid="{00000000-0005-0000-0000-000070050000}"/>
    <cellStyle name="40% - Accent3 3 5 2 2" xfId="7958" xr:uid="{00000000-0005-0000-0000-000071050000}"/>
    <cellStyle name="40% - Accent3 3 5 2 2 2" xfId="24074" xr:uid="{54DF024E-3541-4791-B091-3C8216F8AA32}"/>
    <cellStyle name="40% - Accent3 3 5 2 2 3" xfId="16453" xr:uid="{56DCF6DC-D493-4C13-9ADC-AC01C24FE82C}"/>
    <cellStyle name="40% - Accent3 3 5 2 3" xfId="19861" xr:uid="{9A04589E-79EC-428E-9829-D46D1DA96B10}"/>
    <cellStyle name="40% - Accent3 3 5 2 4" xfId="12240" xr:uid="{ED3F1262-6758-4EFD-82BC-152AA3E5C35D}"/>
    <cellStyle name="40% - Accent3 3 5 3" xfId="5813" xr:uid="{00000000-0005-0000-0000-000072050000}"/>
    <cellStyle name="40% - Accent3 3 5 3 2" xfId="21929" xr:uid="{8781BFAC-0802-4D31-83B1-6C26BFD0147F}"/>
    <cellStyle name="40% - Accent3 3 5 3 3" xfId="14308" xr:uid="{478F9281-68A7-4B65-A491-15A8E5358AFA}"/>
    <cellStyle name="40% - Accent3 3 5 4" xfId="17716" xr:uid="{5775024B-92A2-4650-AA30-C6E301C80B06}"/>
    <cellStyle name="40% - Accent3 3 5 5" xfId="10095" xr:uid="{389954C0-7578-46DF-BE16-A2F7FA193977}"/>
    <cellStyle name="40% - Accent3 3 6" xfId="1920" xr:uid="{00000000-0005-0000-0000-000073050000}"/>
    <cellStyle name="40% - Accent3 3 6 2" xfId="4149" xr:uid="{00000000-0005-0000-0000-000074050000}"/>
    <cellStyle name="40% - Accent3 3 6 2 2" xfId="8371" xr:uid="{00000000-0005-0000-0000-000075050000}"/>
    <cellStyle name="40% - Accent3 3 6 2 2 2" xfId="24487" xr:uid="{FED674D5-0F8B-4842-9FD8-61E365B813A3}"/>
    <cellStyle name="40% - Accent3 3 6 2 2 3" xfId="16866" xr:uid="{565F3AFC-2DAB-4421-A040-54AB079BEDD5}"/>
    <cellStyle name="40% - Accent3 3 6 2 3" xfId="20274" xr:uid="{73BE1746-0B46-4BC5-B414-B79BFBB311F7}"/>
    <cellStyle name="40% - Accent3 3 6 2 4" xfId="12653" xr:uid="{20A6214A-8AFB-400B-9662-893DB72A2D05}"/>
    <cellStyle name="40% - Accent3 3 6 3" xfId="6226" xr:uid="{00000000-0005-0000-0000-000076050000}"/>
    <cellStyle name="40% - Accent3 3 6 3 2" xfId="22342" xr:uid="{649C934F-4BE3-4E47-AE57-771C16C2B3D3}"/>
    <cellStyle name="40% - Accent3 3 6 3 3" xfId="14721" xr:uid="{8A563A54-07F0-42AE-AD64-62A424A7954D}"/>
    <cellStyle name="40% - Accent3 3 6 4" xfId="18129" xr:uid="{73258FDE-AD70-4C4E-994E-6960A75E1551}"/>
    <cellStyle name="40% - Accent3 3 6 5" xfId="10508" xr:uid="{FE3C3C31-EB6D-476D-9E56-52E3F02611F6}"/>
    <cellStyle name="40% - Accent3 3 7" xfId="2333" xr:uid="{00000000-0005-0000-0000-000077050000}"/>
    <cellStyle name="40% - Accent3 3 7 2" xfId="6639" xr:uid="{00000000-0005-0000-0000-000078050000}"/>
    <cellStyle name="40% - Accent3 3 7 2 2" xfId="22755" xr:uid="{00607DB1-61D2-4C96-8AD0-870550AFA84E}"/>
    <cellStyle name="40% - Accent3 3 7 2 3" xfId="15134" xr:uid="{E77D8C83-D08A-487A-8320-3B1875648608}"/>
    <cellStyle name="40% - Accent3 3 7 3" xfId="18542" xr:uid="{9F048C37-1A53-4C57-8885-2BAAE83FE291}"/>
    <cellStyle name="40% - Accent3 3 7 4" xfId="10921" xr:uid="{2E45F221-42AB-4E5A-9943-2F5D166953E7}"/>
    <cellStyle name="40% - Accent3 3 8" xfId="4573" xr:uid="{00000000-0005-0000-0000-000079050000}"/>
    <cellStyle name="40% - Accent3 3 8 2" xfId="20690" xr:uid="{28D89F58-C1ED-4711-B832-237C75403AA6}"/>
    <cellStyle name="40% - Accent3 3 8 3" xfId="13069" xr:uid="{952F1291-BE20-43AC-9D52-A9CA09C13FF5}"/>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23250" xr:uid="{D19BD6F4-07B5-4380-AAA0-E39957ADDDE8}"/>
    <cellStyle name="40% - Accent3 4 2 2 2 3" xfId="15629" xr:uid="{DE6DE6CD-3D13-4763-89EA-D9F6912128C4}"/>
    <cellStyle name="40% - Accent3 4 2 2 3" xfId="19037" xr:uid="{BBDAE31B-8640-4EDC-AC95-77D6B989A066}"/>
    <cellStyle name="40% - Accent3 4 2 2 4" xfId="11416" xr:uid="{598127F7-7144-42DE-9BB2-8BB42665C3D7}"/>
    <cellStyle name="40% - Accent3 4 2 3" xfId="4989" xr:uid="{00000000-0005-0000-0000-00007E050000}"/>
    <cellStyle name="40% - Accent3 4 2 3 2" xfId="21105" xr:uid="{E5A9E773-36AE-4424-A644-D03262856494}"/>
    <cellStyle name="40% - Accent3 4 2 3 3" xfId="13484" xr:uid="{FA8AA509-E907-4472-8ABA-B2E84A942E18}"/>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2 2 2" xfId="23663" xr:uid="{58FCC285-A91F-4AA4-97A3-CE91AAE2E1AE}"/>
    <cellStyle name="40% - Accent3 4 3 2 2 3" xfId="16042" xr:uid="{B1CBB68C-2547-4446-99C6-C9F5CBE55A5F}"/>
    <cellStyle name="40% - Accent3 4 3 2 3" xfId="19450" xr:uid="{9C46A774-609F-4463-AF1B-E650E47DB416}"/>
    <cellStyle name="40% - Accent3 4 3 2 4" xfId="11829" xr:uid="{A211981B-42A9-48C9-BC0C-213BB4D6CABB}"/>
    <cellStyle name="40% - Accent3 4 3 3" xfId="5402" xr:uid="{00000000-0005-0000-0000-000082050000}"/>
    <cellStyle name="40% - Accent3 4 3 3 2" xfId="21518" xr:uid="{8F998D4D-E20D-4BF3-B158-293E8C66690E}"/>
    <cellStyle name="40% - Accent3 4 3 3 3" xfId="13897" xr:uid="{878B2E71-4D0B-45FD-B819-C6F06EFC6ED0}"/>
    <cellStyle name="40% - Accent3 4 3 4" xfId="17305" xr:uid="{49C9C05C-2C44-43AC-A904-517B48A086BE}"/>
    <cellStyle name="40% - Accent3 4 3 5" xfId="9684" xr:uid="{13303CE5-7CD4-4953-89D4-B2BD00FAA503}"/>
    <cellStyle name="40% - Accent3 4 4" xfId="1508" xr:uid="{00000000-0005-0000-0000-000083050000}"/>
    <cellStyle name="40% - Accent3 4 4 2" xfId="3738" xr:uid="{00000000-0005-0000-0000-000084050000}"/>
    <cellStyle name="40% - Accent3 4 4 2 2" xfId="7960" xr:uid="{00000000-0005-0000-0000-000085050000}"/>
    <cellStyle name="40% - Accent3 4 4 2 2 2" xfId="24076" xr:uid="{8A6F9F99-1EDF-4373-A95A-6A5A6E958430}"/>
    <cellStyle name="40% - Accent3 4 4 2 2 3" xfId="16455" xr:uid="{414DCD9D-FBF1-4B1C-88FB-D10A73138DC0}"/>
    <cellStyle name="40% - Accent3 4 4 2 3" xfId="19863" xr:uid="{915E0555-D724-4D27-AA22-1DC1F8658DA3}"/>
    <cellStyle name="40% - Accent3 4 4 2 4" xfId="12242" xr:uid="{1249F037-8617-4D22-A55E-D537E98B64C4}"/>
    <cellStyle name="40% - Accent3 4 4 3" xfId="5815" xr:uid="{00000000-0005-0000-0000-000086050000}"/>
    <cellStyle name="40% - Accent3 4 4 3 2" xfId="21931" xr:uid="{AED4E52D-83A7-49AC-8965-A09F58961061}"/>
    <cellStyle name="40% - Accent3 4 4 3 3" xfId="14310" xr:uid="{F0476041-4498-4192-8897-426CDBB33086}"/>
    <cellStyle name="40% - Accent3 4 4 4" xfId="17718" xr:uid="{B06CA2A2-645E-4470-BF58-FA027F19873A}"/>
    <cellStyle name="40% - Accent3 4 4 5" xfId="10097" xr:uid="{F43AF08C-80E6-4EE0-88C7-AC5C9F4154FF}"/>
    <cellStyle name="40% - Accent3 4 5" xfId="1922" xr:uid="{00000000-0005-0000-0000-000087050000}"/>
    <cellStyle name="40% - Accent3 4 5 2" xfId="4151" xr:uid="{00000000-0005-0000-0000-000088050000}"/>
    <cellStyle name="40% - Accent3 4 5 2 2" xfId="8373" xr:uid="{00000000-0005-0000-0000-000089050000}"/>
    <cellStyle name="40% - Accent3 4 5 2 2 2" xfId="24489" xr:uid="{E5F8B5E7-A9A8-4786-BA3A-159B10043487}"/>
    <cellStyle name="40% - Accent3 4 5 2 2 3" xfId="16868" xr:uid="{6EBA9C3B-4A8D-4DBD-830E-C56B6F8F368B}"/>
    <cellStyle name="40% - Accent3 4 5 2 3" xfId="20276" xr:uid="{0EC76DDC-5D0C-4FF8-A167-EB050F2B2444}"/>
    <cellStyle name="40% - Accent3 4 5 2 4" xfId="12655" xr:uid="{E7300AA1-4C41-492E-9221-0F5A2A4B0781}"/>
    <cellStyle name="40% - Accent3 4 5 3" xfId="6228" xr:uid="{00000000-0005-0000-0000-00008A050000}"/>
    <cellStyle name="40% - Accent3 4 5 3 2" xfId="22344" xr:uid="{886B3D4D-4C54-4F2F-BAD0-30E8AE3AFBBE}"/>
    <cellStyle name="40% - Accent3 4 5 3 3" xfId="14723" xr:uid="{D69A0712-ABEF-45EA-9872-A170C0D084B0}"/>
    <cellStyle name="40% - Accent3 4 5 4" xfId="18131" xr:uid="{DD408ECD-6BB7-4951-8BC1-26BF3B08DC41}"/>
    <cellStyle name="40% - Accent3 4 5 5" xfId="10510" xr:uid="{D5C6EEB2-8E74-44A3-9B62-C8F9E153DA6F}"/>
    <cellStyle name="40% - Accent3 4 6" xfId="2335" xr:uid="{00000000-0005-0000-0000-00008B050000}"/>
    <cellStyle name="40% - Accent3 4 6 2" xfId="6641" xr:uid="{00000000-0005-0000-0000-00008C050000}"/>
    <cellStyle name="40% - Accent3 4 6 2 2" xfId="22757" xr:uid="{0E664A53-FDAE-41F2-A742-3F56333B6C09}"/>
    <cellStyle name="40% - Accent3 4 6 2 3" xfId="15136" xr:uid="{B74A9072-E236-4408-8893-4090B5561F2F}"/>
    <cellStyle name="40% - Accent3 4 6 3" xfId="18544" xr:uid="{51CCB989-75D1-4ED2-B075-1C4906C7DA4B}"/>
    <cellStyle name="40% - Accent3 4 6 4" xfId="10923" xr:uid="{7AD7843E-1941-4676-893A-CBA8A8B4B894}"/>
    <cellStyle name="40% - Accent3 4 7" xfId="4575" xr:uid="{00000000-0005-0000-0000-00008D050000}"/>
    <cellStyle name="40% - Accent3 4 7 2" xfId="20692" xr:uid="{6278DDC1-ED4E-4FF2-A32E-467DCEE2E822}"/>
    <cellStyle name="40% - Accent3 4 7 3" xfId="13071" xr:uid="{463D7378-4716-4E1B-A837-81E6154FACB6}"/>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2 2 2" xfId="23243" xr:uid="{6904A04A-CEB7-40FB-BC03-982F6DA989DD}"/>
    <cellStyle name="40% - Accent3 5 2 2 3" xfId="15622" xr:uid="{BA86712A-D56E-4C98-806B-1276B0C949E9}"/>
    <cellStyle name="40% - Accent3 5 2 3" xfId="19030" xr:uid="{0A424250-B196-4135-B767-3E79578F11DE}"/>
    <cellStyle name="40% - Accent3 5 2 4" xfId="11409" xr:uid="{CD04F59B-8CD9-4E8D-AFFB-40D522918592}"/>
    <cellStyle name="40% - Accent3 5 3" xfId="4982" xr:uid="{00000000-0005-0000-0000-000091050000}"/>
    <cellStyle name="40% - Accent3 5 3 2" xfId="21098" xr:uid="{2BB62D9B-3A6F-4817-B916-5350A177DCCC}"/>
    <cellStyle name="40% - Accent3 5 3 3" xfId="13477" xr:uid="{5DB3C229-2B76-426F-9A94-982BCD6079B2}"/>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2 2 2" xfId="23656" xr:uid="{33AE3813-8C24-418E-B049-3A1DD3F8B537}"/>
    <cellStyle name="40% - Accent3 6 2 2 3" xfId="16035" xr:uid="{389B7BBD-DB46-4169-B20C-087599338A65}"/>
    <cellStyle name="40% - Accent3 6 2 3" xfId="19443" xr:uid="{1AE0D7FF-0116-42CC-BD57-7F3B6215AD92}"/>
    <cellStyle name="40% - Accent3 6 2 4" xfId="11822" xr:uid="{6BC40001-33FC-4CD0-9DAC-E3066C0AAA65}"/>
    <cellStyle name="40% - Accent3 6 3" xfId="5395" xr:uid="{00000000-0005-0000-0000-000095050000}"/>
    <cellStyle name="40% - Accent3 6 3 2" xfId="21511" xr:uid="{5282270B-0017-4FE0-A764-4CB106AA8069}"/>
    <cellStyle name="40% - Accent3 6 3 3" xfId="13890" xr:uid="{1B3BFF7C-66B3-4448-B374-4320AEE2C2CE}"/>
    <cellStyle name="40% - Accent3 6 4" xfId="17298" xr:uid="{6FD17EE5-1D8D-4640-96EE-FC345D82FFC0}"/>
    <cellStyle name="40% - Accent3 6 5" xfId="9677" xr:uid="{BF7EB1F7-D818-4B79-8124-FF0100EAF8A6}"/>
    <cellStyle name="40% - Accent3 7" xfId="1501" xr:uid="{00000000-0005-0000-0000-000096050000}"/>
    <cellStyle name="40% - Accent3 7 2" xfId="3731" xr:uid="{00000000-0005-0000-0000-000097050000}"/>
    <cellStyle name="40% - Accent3 7 2 2" xfId="7953" xr:uid="{00000000-0005-0000-0000-000098050000}"/>
    <cellStyle name="40% - Accent3 7 2 2 2" xfId="24069" xr:uid="{9F4DB82F-2EFC-4BA8-A27D-EE6E5023FB2D}"/>
    <cellStyle name="40% - Accent3 7 2 2 3" xfId="16448" xr:uid="{72B5AD11-5094-448E-93CF-1503EEA1A0AD}"/>
    <cellStyle name="40% - Accent3 7 2 3" xfId="19856" xr:uid="{89A2EC72-3002-40D0-AF9C-0FC2DBB15C60}"/>
    <cellStyle name="40% - Accent3 7 2 4" xfId="12235" xr:uid="{A07DF92D-A68E-4514-9628-1F2BFBD49A49}"/>
    <cellStyle name="40% - Accent3 7 3" xfId="5808" xr:uid="{00000000-0005-0000-0000-000099050000}"/>
    <cellStyle name="40% - Accent3 7 3 2" xfId="21924" xr:uid="{6E4C336A-23A6-4501-8452-A7A0626658B3}"/>
    <cellStyle name="40% - Accent3 7 3 3" xfId="14303" xr:uid="{250A83D1-4212-442C-A82A-DE839B17C066}"/>
    <cellStyle name="40% - Accent3 7 4" xfId="17711" xr:uid="{6AA5870C-56B4-4584-AAF4-C0DF878BC7CF}"/>
    <cellStyle name="40% - Accent3 7 5" xfId="10090" xr:uid="{9291DFFC-65F1-46E9-BE95-3AED6EB77807}"/>
    <cellStyle name="40% - Accent3 8" xfId="1915" xr:uid="{00000000-0005-0000-0000-00009A050000}"/>
    <cellStyle name="40% - Accent3 8 2" xfId="4144" xr:uid="{00000000-0005-0000-0000-00009B050000}"/>
    <cellStyle name="40% - Accent3 8 2 2" xfId="8366" xr:uid="{00000000-0005-0000-0000-00009C050000}"/>
    <cellStyle name="40% - Accent3 8 2 2 2" xfId="24482" xr:uid="{921D14AC-0054-45D0-9837-84BF7C78F7B6}"/>
    <cellStyle name="40% - Accent3 8 2 2 3" xfId="16861" xr:uid="{0934111C-764C-4610-BF38-C6DBFAFDA155}"/>
    <cellStyle name="40% - Accent3 8 2 3" xfId="20269" xr:uid="{AD10E619-16AB-4680-9DD6-F58E08AB1497}"/>
    <cellStyle name="40% - Accent3 8 2 4" xfId="12648" xr:uid="{707E2594-E128-404C-B038-79A5B8A739FE}"/>
    <cellStyle name="40% - Accent3 8 3" xfId="6221" xr:uid="{00000000-0005-0000-0000-00009D050000}"/>
    <cellStyle name="40% - Accent3 8 3 2" xfId="22337" xr:uid="{F3CC33D7-D641-4EC3-991E-843AC23FCE22}"/>
    <cellStyle name="40% - Accent3 8 3 3" xfId="14716" xr:uid="{B2DCCFBE-C012-46F1-B93E-CD7B74DD02CE}"/>
    <cellStyle name="40% - Accent3 8 4" xfId="18124" xr:uid="{A1D25E1C-A848-4970-BDF9-23F11CC14DE0}"/>
    <cellStyle name="40% - Accent3 8 5" xfId="10503" xr:uid="{87620B71-0D6B-4A5A-BA79-3BA566E79036}"/>
    <cellStyle name="40% - Accent3 9" xfId="2328" xr:uid="{00000000-0005-0000-0000-00009E050000}"/>
    <cellStyle name="40% - Accent3 9 2" xfId="6634" xr:uid="{00000000-0005-0000-0000-00009F050000}"/>
    <cellStyle name="40% - Accent3 9 2 2" xfId="22750" xr:uid="{D87ABDEA-D6AD-48AA-BE0E-9B45E6D84B5A}"/>
    <cellStyle name="40% - Accent3 9 2 3" xfId="15129" xr:uid="{62663C20-3D74-4B9E-9C8B-CCF01053B295}"/>
    <cellStyle name="40% - Accent3 9 3" xfId="18537" xr:uid="{3F3E98F7-016B-48E3-9118-5A3CFFC075B3}"/>
    <cellStyle name="40% - Accent3 9 4" xfId="10916" xr:uid="{19C54E92-CE83-4624-867F-540EEA8F12E8}"/>
    <cellStyle name="40% - Accent4" xfId="73" builtinId="43" customBuiltin="1"/>
    <cellStyle name="40% - Accent4 10" xfId="4576" xr:uid="{00000000-0005-0000-0000-0000A1050000}"/>
    <cellStyle name="40% - Accent4 10 2" xfId="20693" xr:uid="{B25B8175-A597-471C-A13D-EBDA181EBFC0}"/>
    <cellStyle name="40% - Accent4 10 3" xfId="13072" xr:uid="{12474A0C-6BC0-4EEE-9F79-BAC0C7442447}"/>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23254" xr:uid="{16395D25-72D8-48BA-95AA-96322100B15C}"/>
    <cellStyle name="40% - Accent4 2 2 2 2 2 2 3" xfId="15633" xr:uid="{AE6DC447-D59F-4FDD-A59A-334F13AD93CA}"/>
    <cellStyle name="40% - Accent4 2 2 2 2 2 3" xfId="19041" xr:uid="{60241D83-1079-424F-8B44-B589E0A5CE98}"/>
    <cellStyle name="40% - Accent4 2 2 2 2 2 4" xfId="11420" xr:uid="{09784417-4B1B-4EF9-9A8D-16CDFC19588B}"/>
    <cellStyle name="40% - Accent4 2 2 2 2 3" xfId="4993" xr:uid="{00000000-0005-0000-0000-0000A8050000}"/>
    <cellStyle name="40% - Accent4 2 2 2 2 3 2" xfId="21109" xr:uid="{4FCD24B2-A85D-4F87-B9E1-231DFB8B8990}"/>
    <cellStyle name="40% - Accent4 2 2 2 2 3 3" xfId="13488" xr:uid="{52931571-317E-4896-B031-1697B388089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23667" xr:uid="{45190329-46C5-4CEE-AF15-9BC85C76DEFD}"/>
    <cellStyle name="40% - Accent4 2 2 2 3 2 2 3" xfId="16046" xr:uid="{10969514-EE4A-4E64-95CD-9270DFD1B818}"/>
    <cellStyle name="40% - Accent4 2 2 2 3 2 3" xfId="19454" xr:uid="{84303FF2-9E24-4BCD-849A-75534FA4E6FF}"/>
    <cellStyle name="40% - Accent4 2 2 2 3 2 4" xfId="11833" xr:uid="{98D2D9DB-00E3-4627-A1DD-F3438D64E0E1}"/>
    <cellStyle name="40% - Accent4 2 2 2 3 3" xfId="5406" xr:uid="{00000000-0005-0000-0000-0000AC050000}"/>
    <cellStyle name="40% - Accent4 2 2 2 3 3 2" xfId="21522" xr:uid="{FD25F87F-9EE7-4D64-9450-FBAFA12875A1}"/>
    <cellStyle name="40% - Accent4 2 2 2 3 3 3" xfId="13901" xr:uid="{5E040199-8512-4D07-8ACF-C15A0D2B9FBD}"/>
    <cellStyle name="40% - Accent4 2 2 2 3 4" xfId="17309" xr:uid="{1431B410-8561-4549-9396-87AA2E0FC434}"/>
    <cellStyle name="40% - Accent4 2 2 2 3 5" xfId="9688" xr:uid="{187D2285-613A-488A-A00C-C261C58261F1}"/>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24080" xr:uid="{6AB6A5C7-E719-4E16-8CED-E3F9126997AB}"/>
    <cellStyle name="40% - Accent4 2 2 2 4 2 2 3" xfId="16459" xr:uid="{6CDD3E18-322B-4824-A025-B33B354169DA}"/>
    <cellStyle name="40% - Accent4 2 2 2 4 2 3" xfId="19867" xr:uid="{2523024C-D95D-49F1-B18E-29BB34AEF65C}"/>
    <cellStyle name="40% - Accent4 2 2 2 4 2 4" xfId="12246" xr:uid="{13620CD5-1276-4A00-9004-A36357BB7007}"/>
    <cellStyle name="40% - Accent4 2 2 2 4 3" xfId="5819" xr:uid="{00000000-0005-0000-0000-0000B0050000}"/>
    <cellStyle name="40% - Accent4 2 2 2 4 3 2" xfId="21935" xr:uid="{026C6032-DD2C-4D62-9853-601A35149F91}"/>
    <cellStyle name="40% - Accent4 2 2 2 4 3 3" xfId="14314" xr:uid="{1CAA2ED5-28A9-4EB4-AE98-DDAEC8F20FCB}"/>
    <cellStyle name="40% - Accent4 2 2 2 4 4" xfId="17722" xr:uid="{DA8C8194-DA1D-4069-9C94-9EFE57AC3E59}"/>
    <cellStyle name="40% - Accent4 2 2 2 4 5" xfId="10101" xr:uid="{48F5C78A-CB95-4C34-AFBC-B4BFF3E214AA}"/>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24493" xr:uid="{424C6E3F-595F-4605-A76A-22042D3F9B7C}"/>
    <cellStyle name="40% - Accent4 2 2 2 5 2 2 3" xfId="16872" xr:uid="{0709F07D-8FFF-4DB8-9902-FE94515A33D8}"/>
    <cellStyle name="40% - Accent4 2 2 2 5 2 3" xfId="20280" xr:uid="{A4AE02B2-8E5D-42BF-AED5-CB3478A4256E}"/>
    <cellStyle name="40% - Accent4 2 2 2 5 2 4" xfId="12659" xr:uid="{7DD17CC5-624E-4457-AFD4-3AB87E659FC3}"/>
    <cellStyle name="40% - Accent4 2 2 2 5 3" xfId="6232" xr:uid="{00000000-0005-0000-0000-0000B4050000}"/>
    <cellStyle name="40% - Accent4 2 2 2 5 3 2" xfId="22348" xr:uid="{B73E4A80-DCF2-46A2-9760-4B137675818C}"/>
    <cellStyle name="40% - Accent4 2 2 2 5 3 3" xfId="14727" xr:uid="{13D0AE4E-F5C5-47BF-9728-56A4EE644751}"/>
    <cellStyle name="40% - Accent4 2 2 2 5 4" xfId="18135" xr:uid="{EDAF00E1-42A3-48CE-AEE4-4298014CB5D0}"/>
    <cellStyle name="40% - Accent4 2 2 2 5 5" xfId="10514" xr:uid="{BC45D92F-0B72-458F-895D-FB0FAAABAF78}"/>
    <cellStyle name="40% - Accent4 2 2 2 6" xfId="2339" xr:uid="{00000000-0005-0000-0000-0000B5050000}"/>
    <cellStyle name="40% - Accent4 2 2 2 6 2" xfId="6645" xr:uid="{00000000-0005-0000-0000-0000B6050000}"/>
    <cellStyle name="40% - Accent4 2 2 2 6 2 2" xfId="22761" xr:uid="{53EFFB95-432E-47D5-BD60-967FBC5BA56F}"/>
    <cellStyle name="40% - Accent4 2 2 2 6 2 3" xfId="15140" xr:uid="{14F2D69F-39AE-4BFC-A861-EF770EA001BB}"/>
    <cellStyle name="40% - Accent4 2 2 2 6 3" xfId="18548" xr:uid="{4AEDE44D-8DD1-4C62-9628-60983AF3EDCC}"/>
    <cellStyle name="40% - Accent4 2 2 2 6 4" xfId="10927" xr:uid="{8F479650-A534-45AA-85B4-38CCE7778F13}"/>
    <cellStyle name="40% - Accent4 2 2 2 7" xfId="4579" xr:uid="{00000000-0005-0000-0000-0000B7050000}"/>
    <cellStyle name="40% - Accent4 2 2 2 7 2" xfId="20696" xr:uid="{7B58DE90-D641-4A7C-ADE0-24AE02EAC4E2}"/>
    <cellStyle name="40% - Accent4 2 2 2 7 3" xfId="13075" xr:uid="{8CD5055B-726B-41EB-B985-042F3D65BABA}"/>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23253" xr:uid="{A853960F-E34A-48BA-820D-15782D6D7510}"/>
    <cellStyle name="40% - Accent4 2 2 3 2 2 3" xfId="15632" xr:uid="{2624313B-A057-4DB2-958E-4EE4B8576D2D}"/>
    <cellStyle name="40% - Accent4 2 2 3 2 3" xfId="19040" xr:uid="{1C9B5921-0DFA-4FE2-AD29-69BD11D1830C}"/>
    <cellStyle name="40% - Accent4 2 2 3 2 4" xfId="11419" xr:uid="{74BB90B4-AC91-4F10-A8EA-80487266512A}"/>
    <cellStyle name="40% - Accent4 2 2 3 3" xfId="4992" xr:uid="{00000000-0005-0000-0000-0000BB050000}"/>
    <cellStyle name="40% - Accent4 2 2 3 3 2" xfId="21108" xr:uid="{30C1B66A-31C5-4DBE-889B-FC625749E93F}"/>
    <cellStyle name="40% - Accent4 2 2 3 3 3" xfId="13487" xr:uid="{DFD9487A-2CC6-4544-8F15-6D63FBAE406B}"/>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23666" xr:uid="{7C883067-4A5A-467E-B561-F842B53BFFDF}"/>
    <cellStyle name="40% - Accent4 2 2 4 2 2 3" xfId="16045" xr:uid="{D2DF42A1-A1F7-408A-8721-46DDCB941C1D}"/>
    <cellStyle name="40% - Accent4 2 2 4 2 3" xfId="19453" xr:uid="{EA6E976E-B523-4944-9253-DD1E2333169F}"/>
    <cellStyle name="40% - Accent4 2 2 4 2 4" xfId="11832" xr:uid="{24B976A7-C7B3-4C4A-8715-7FCD983CFA19}"/>
    <cellStyle name="40% - Accent4 2 2 4 3" xfId="5405" xr:uid="{00000000-0005-0000-0000-0000BF050000}"/>
    <cellStyle name="40% - Accent4 2 2 4 3 2" xfId="21521" xr:uid="{65E07678-B5BE-44F6-A282-62E2C43AA95B}"/>
    <cellStyle name="40% - Accent4 2 2 4 3 3" xfId="13900" xr:uid="{80AA3E5B-3A49-4A36-9AEE-CF608486ABC1}"/>
    <cellStyle name="40% - Accent4 2 2 4 4" xfId="17308" xr:uid="{7CC58522-F508-4F30-B437-AF6F3A77BA22}"/>
    <cellStyle name="40% - Accent4 2 2 4 5" xfId="9687" xr:uid="{AF9CD91F-99A8-430A-8E08-B8524B726750}"/>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24079" xr:uid="{F528615A-B9DD-4FE7-8AC5-64EFC904C7C7}"/>
    <cellStyle name="40% - Accent4 2 2 5 2 2 3" xfId="16458" xr:uid="{9672ACFB-F548-470C-99E2-FAE17363B949}"/>
    <cellStyle name="40% - Accent4 2 2 5 2 3" xfId="19866" xr:uid="{493DABC0-4226-456A-85E0-BED8A1BAD97F}"/>
    <cellStyle name="40% - Accent4 2 2 5 2 4" xfId="12245" xr:uid="{FD54375F-E337-4997-B73A-7BBC079ADEC1}"/>
    <cellStyle name="40% - Accent4 2 2 5 3" xfId="5818" xr:uid="{00000000-0005-0000-0000-0000C3050000}"/>
    <cellStyle name="40% - Accent4 2 2 5 3 2" xfId="21934" xr:uid="{A27660AA-D4AD-47A7-8C0D-62F2037DDE01}"/>
    <cellStyle name="40% - Accent4 2 2 5 3 3" xfId="14313" xr:uid="{41C10AB5-344E-4D22-AB25-134D2A8C2538}"/>
    <cellStyle name="40% - Accent4 2 2 5 4" xfId="17721" xr:uid="{4C439B53-4AEF-4458-9646-1F0CB9BEE0EA}"/>
    <cellStyle name="40% - Accent4 2 2 5 5" xfId="10100" xr:uid="{787B30EE-0773-478D-B86C-809359DF8482}"/>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24492" xr:uid="{E758E681-7E5A-493B-83C0-84383C5B3534}"/>
    <cellStyle name="40% - Accent4 2 2 6 2 2 3" xfId="16871" xr:uid="{C1DDC376-7B6E-4F26-B201-F9134A7BFEFB}"/>
    <cellStyle name="40% - Accent4 2 2 6 2 3" xfId="20279" xr:uid="{370BC78B-6825-4D51-B177-422A035A4441}"/>
    <cellStyle name="40% - Accent4 2 2 6 2 4" xfId="12658" xr:uid="{9DDA9E28-9FE9-4113-B57D-A7F5C247F0C0}"/>
    <cellStyle name="40% - Accent4 2 2 6 3" xfId="6231" xr:uid="{00000000-0005-0000-0000-0000C7050000}"/>
    <cellStyle name="40% - Accent4 2 2 6 3 2" xfId="22347" xr:uid="{60BDA784-40EA-4645-8399-8C49604CDB82}"/>
    <cellStyle name="40% - Accent4 2 2 6 3 3" xfId="14726" xr:uid="{0B53A4CF-2350-469E-92E4-57FC7EA15EDD}"/>
    <cellStyle name="40% - Accent4 2 2 6 4" xfId="18134" xr:uid="{269D35BD-047B-4F2A-A905-D74D7BE73C47}"/>
    <cellStyle name="40% - Accent4 2 2 6 5" xfId="10513" xr:uid="{1B6C9B3B-FE9A-4B3D-8024-655D83A3273E}"/>
    <cellStyle name="40% - Accent4 2 2 7" xfId="2338" xr:uid="{00000000-0005-0000-0000-0000C8050000}"/>
    <cellStyle name="40% - Accent4 2 2 7 2" xfId="6644" xr:uid="{00000000-0005-0000-0000-0000C9050000}"/>
    <cellStyle name="40% - Accent4 2 2 7 2 2" xfId="22760" xr:uid="{33E05C20-CCEE-43FE-9797-E89AEA772E68}"/>
    <cellStyle name="40% - Accent4 2 2 7 2 3" xfId="15139" xr:uid="{57B7815F-B997-48DE-A665-CEF43192C95C}"/>
    <cellStyle name="40% - Accent4 2 2 7 3" xfId="18547" xr:uid="{62855135-79D7-4628-B984-6FC22B5007DD}"/>
    <cellStyle name="40% - Accent4 2 2 7 4" xfId="10926" xr:uid="{433FDA0C-D574-4D2A-AD5B-10850C9F54EB}"/>
    <cellStyle name="40% - Accent4 2 2 8" xfId="4578" xr:uid="{00000000-0005-0000-0000-0000CA050000}"/>
    <cellStyle name="40% - Accent4 2 2 8 2" xfId="20695" xr:uid="{E4141224-BE89-43DB-A30A-825F51721AF5}"/>
    <cellStyle name="40% - Accent4 2 2 8 3" xfId="13074" xr:uid="{81B2EA1E-5F68-40EF-A9C3-BDB98B82FFA5}"/>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23255" xr:uid="{C2A954D1-2D1C-47A8-B496-10D34C8A8137}"/>
    <cellStyle name="40% - Accent4 2 3 2 2 2 3" xfId="15634" xr:uid="{B8467F18-666C-4A99-AFF8-69E7CFCB89F4}"/>
    <cellStyle name="40% - Accent4 2 3 2 2 3" xfId="19042" xr:uid="{8AF779B2-8026-445D-A32C-D3864FC5CA61}"/>
    <cellStyle name="40% - Accent4 2 3 2 2 4" xfId="11421" xr:uid="{6F155715-7C15-4B69-823A-940506C68BA5}"/>
    <cellStyle name="40% - Accent4 2 3 2 3" xfId="4994" xr:uid="{00000000-0005-0000-0000-0000CF050000}"/>
    <cellStyle name="40% - Accent4 2 3 2 3 2" xfId="21110" xr:uid="{DB41DA2F-F030-4AA7-9E19-A630C9EB2CF1}"/>
    <cellStyle name="40% - Accent4 2 3 2 3 3" xfId="13489" xr:uid="{B1DB799A-6711-47B5-A435-755B1B2D3973}"/>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23668" xr:uid="{F6F1579F-663C-4EFA-9248-A8FB278FD2AA}"/>
    <cellStyle name="40% - Accent4 2 3 3 2 2 3" xfId="16047" xr:uid="{A38929A5-B8C5-4BE5-8F8D-E5DBF762F4E8}"/>
    <cellStyle name="40% - Accent4 2 3 3 2 3" xfId="19455" xr:uid="{45DF3B7E-B58C-4299-A1BA-A88A5FE1F826}"/>
    <cellStyle name="40% - Accent4 2 3 3 2 4" xfId="11834" xr:uid="{45D4256D-0529-4E9E-BE3F-C44F5E35BAC2}"/>
    <cellStyle name="40% - Accent4 2 3 3 3" xfId="5407" xr:uid="{00000000-0005-0000-0000-0000D3050000}"/>
    <cellStyle name="40% - Accent4 2 3 3 3 2" xfId="21523" xr:uid="{3BCA1F71-3132-4E4B-A1F7-A44791AE441B}"/>
    <cellStyle name="40% - Accent4 2 3 3 3 3" xfId="13902" xr:uid="{7AD4BA2E-3E0E-49C9-852B-F8C50B155D34}"/>
    <cellStyle name="40% - Accent4 2 3 3 4" xfId="17310" xr:uid="{94F701ED-F795-482A-A2AD-F2BDEA243FC3}"/>
    <cellStyle name="40% - Accent4 2 3 3 5" xfId="9689" xr:uid="{5F0E2BE0-E8A5-46FD-8713-57AEC095F0E3}"/>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24081" xr:uid="{149FD4DA-6FD1-47FD-BEC9-A5DFC203D551}"/>
    <cellStyle name="40% - Accent4 2 3 4 2 2 3" xfId="16460" xr:uid="{CF8C67DA-F117-4CA9-85B5-2715695B4E0B}"/>
    <cellStyle name="40% - Accent4 2 3 4 2 3" xfId="19868" xr:uid="{E6478A82-F737-4ACF-9772-1425076B10A5}"/>
    <cellStyle name="40% - Accent4 2 3 4 2 4" xfId="12247" xr:uid="{83F1FE33-C114-4144-8252-664C6CAA3E70}"/>
    <cellStyle name="40% - Accent4 2 3 4 3" xfId="5820" xr:uid="{00000000-0005-0000-0000-0000D7050000}"/>
    <cellStyle name="40% - Accent4 2 3 4 3 2" xfId="21936" xr:uid="{541EF918-EA06-4D2C-BDBB-B8B97CB84EB8}"/>
    <cellStyle name="40% - Accent4 2 3 4 3 3" xfId="14315" xr:uid="{A9C2AC04-7C48-4528-9519-06EB9F4B9282}"/>
    <cellStyle name="40% - Accent4 2 3 4 4" xfId="17723" xr:uid="{EC964FE0-7F54-4CC1-A9B9-2EBC457AFABE}"/>
    <cellStyle name="40% - Accent4 2 3 4 5" xfId="10102" xr:uid="{86D99729-0A25-481C-8A0D-C9566057266A}"/>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24494" xr:uid="{54679937-F123-42E6-984A-DDF2ACBCB725}"/>
    <cellStyle name="40% - Accent4 2 3 5 2 2 3" xfId="16873" xr:uid="{02B52FF6-C438-4E58-862A-6CAB051B32CF}"/>
    <cellStyle name="40% - Accent4 2 3 5 2 3" xfId="20281" xr:uid="{285757E4-79EA-4330-B199-F3C9CB035A48}"/>
    <cellStyle name="40% - Accent4 2 3 5 2 4" xfId="12660" xr:uid="{6B3ABF7A-98AC-4254-8337-B2818A766913}"/>
    <cellStyle name="40% - Accent4 2 3 5 3" xfId="6233" xr:uid="{00000000-0005-0000-0000-0000DB050000}"/>
    <cellStyle name="40% - Accent4 2 3 5 3 2" xfId="22349" xr:uid="{5AADFE0B-BE08-4B1E-A2A5-AED2443D9E91}"/>
    <cellStyle name="40% - Accent4 2 3 5 3 3" xfId="14728" xr:uid="{8AB25399-996F-4971-A72B-23287B5CBA3C}"/>
    <cellStyle name="40% - Accent4 2 3 5 4" xfId="18136" xr:uid="{EB490CF7-775A-4D5D-9C19-9717E4E806C9}"/>
    <cellStyle name="40% - Accent4 2 3 5 5" xfId="10515" xr:uid="{45F31445-01CD-412A-A16B-98481C79B86D}"/>
    <cellStyle name="40% - Accent4 2 3 6" xfId="2340" xr:uid="{00000000-0005-0000-0000-0000DC050000}"/>
    <cellStyle name="40% - Accent4 2 3 6 2" xfId="6646" xr:uid="{00000000-0005-0000-0000-0000DD050000}"/>
    <cellStyle name="40% - Accent4 2 3 6 2 2" xfId="22762" xr:uid="{FED4811B-D8C1-4D12-96B0-EAC3B912E87B}"/>
    <cellStyle name="40% - Accent4 2 3 6 2 3" xfId="15141" xr:uid="{5C5B03E0-14DF-431D-8C01-0012F08BD34F}"/>
    <cellStyle name="40% - Accent4 2 3 6 3" xfId="18549" xr:uid="{01F16212-4409-4209-B646-C4366CEE863B}"/>
    <cellStyle name="40% - Accent4 2 3 6 4" xfId="10928" xr:uid="{592B421E-5A05-4BFC-8A99-6AB85EC3F5F1}"/>
    <cellStyle name="40% - Accent4 2 3 7" xfId="4580" xr:uid="{00000000-0005-0000-0000-0000DE050000}"/>
    <cellStyle name="40% - Accent4 2 3 7 2" xfId="20697" xr:uid="{B75F3061-8DAB-45CF-8EBE-F5E68F003403}"/>
    <cellStyle name="40% - Accent4 2 3 7 3" xfId="13076" xr:uid="{1A1A3F44-7936-47F7-B43D-E652EFC8A7E8}"/>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2 2 2" xfId="23252" xr:uid="{BDACEE6A-12ED-46AB-AA68-DBAC256E5FEE}"/>
    <cellStyle name="40% - Accent4 2 4 2 2 3" xfId="15631" xr:uid="{7F9497B8-B091-4EB6-837D-9E1E5EF9224F}"/>
    <cellStyle name="40% - Accent4 2 4 2 3" xfId="19039" xr:uid="{87379F17-9663-4FFC-B16C-E7C17696F543}"/>
    <cellStyle name="40% - Accent4 2 4 2 4" xfId="11418" xr:uid="{C9F926DF-CE85-4812-A714-41A66831F0C4}"/>
    <cellStyle name="40% - Accent4 2 4 3" xfId="4991" xr:uid="{00000000-0005-0000-0000-0000E2050000}"/>
    <cellStyle name="40% - Accent4 2 4 3 2" xfId="21107" xr:uid="{BB80DB67-EB74-4C23-9812-2DB782CC9C62}"/>
    <cellStyle name="40% - Accent4 2 4 3 3" xfId="13486" xr:uid="{7E4AB5A2-F8BE-4C3E-8318-0740FBAEA069}"/>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2 2 2" xfId="23665" xr:uid="{BD0FA9C3-1900-4D9F-922A-4F699F5AFABB}"/>
    <cellStyle name="40% - Accent4 2 5 2 2 3" xfId="16044" xr:uid="{2F27CE75-85DB-40BB-A723-FC37F9DF55CA}"/>
    <cellStyle name="40% - Accent4 2 5 2 3" xfId="19452" xr:uid="{1DF91834-0294-4B77-961C-0D0F027F7812}"/>
    <cellStyle name="40% - Accent4 2 5 2 4" xfId="11831" xr:uid="{EC0F2B6B-86B4-423C-BC7C-34AA05319034}"/>
    <cellStyle name="40% - Accent4 2 5 3" xfId="5404" xr:uid="{00000000-0005-0000-0000-0000E6050000}"/>
    <cellStyle name="40% - Accent4 2 5 3 2" xfId="21520" xr:uid="{00466632-20FC-4553-AD6D-40D9910002ED}"/>
    <cellStyle name="40% - Accent4 2 5 3 3" xfId="13899" xr:uid="{29365693-27C9-4B32-8A94-CC6551C9C1DC}"/>
    <cellStyle name="40% - Accent4 2 5 4" xfId="17307" xr:uid="{54623C06-5AEE-47DC-BCB0-678ABFCF25DA}"/>
    <cellStyle name="40% - Accent4 2 5 5" xfId="9686" xr:uid="{FE4B70B1-BC3B-4D54-8836-969F4FE6EB06}"/>
    <cellStyle name="40% - Accent4 2 6" xfId="1510" xr:uid="{00000000-0005-0000-0000-0000E7050000}"/>
    <cellStyle name="40% - Accent4 2 6 2" xfId="3740" xr:uid="{00000000-0005-0000-0000-0000E8050000}"/>
    <cellStyle name="40% - Accent4 2 6 2 2" xfId="7962" xr:uid="{00000000-0005-0000-0000-0000E9050000}"/>
    <cellStyle name="40% - Accent4 2 6 2 2 2" xfId="24078" xr:uid="{C4FB2F34-4C35-4821-81D2-0E66E493C713}"/>
    <cellStyle name="40% - Accent4 2 6 2 2 3" xfId="16457" xr:uid="{91DA7AF5-3D51-43AE-88D6-EAEFF1F5769C}"/>
    <cellStyle name="40% - Accent4 2 6 2 3" xfId="19865" xr:uid="{B48C7653-EE6E-42D0-BDA7-B8FB22A00C67}"/>
    <cellStyle name="40% - Accent4 2 6 2 4" xfId="12244" xr:uid="{47A71B32-FA00-48B9-80DB-C951510F1519}"/>
    <cellStyle name="40% - Accent4 2 6 3" xfId="5817" xr:uid="{00000000-0005-0000-0000-0000EA050000}"/>
    <cellStyle name="40% - Accent4 2 6 3 2" xfId="21933" xr:uid="{B616D9C3-B404-43BC-B8C4-E76A391B8B41}"/>
    <cellStyle name="40% - Accent4 2 6 3 3" xfId="14312" xr:uid="{A88B8F7B-01FC-4C64-9A28-4300D3AF340F}"/>
    <cellStyle name="40% - Accent4 2 6 4" xfId="17720" xr:uid="{045BC9EE-9C9E-49C4-A803-EB781A17226B}"/>
    <cellStyle name="40% - Accent4 2 6 5" xfId="10099" xr:uid="{A2F49AA1-FEFE-499E-9964-FCF1EA7583CA}"/>
    <cellStyle name="40% - Accent4 2 7" xfId="1924" xr:uid="{00000000-0005-0000-0000-0000EB050000}"/>
    <cellStyle name="40% - Accent4 2 7 2" xfId="4153" xr:uid="{00000000-0005-0000-0000-0000EC050000}"/>
    <cellStyle name="40% - Accent4 2 7 2 2" xfId="8375" xr:uid="{00000000-0005-0000-0000-0000ED050000}"/>
    <cellStyle name="40% - Accent4 2 7 2 2 2" xfId="24491" xr:uid="{023AD1D3-E594-4B45-B6D4-DFD8B9766966}"/>
    <cellStyle name="40% - Accent4 2 7 2 2 3" xfId="16870" xr:uid="{48EB33B3-797D-4CAC-A99E-2F5DC5D19266}"/>
    <cellStyle name="40% - Accent4 2 7 2 3" xfId="20278" xr:uid="{8CD27AC4-D621-48EB-8CD5-8A9D06C3804F}"/>
    <cellStyle name="40% - Accent4 2 7 2 4" xfId="12657" xr:uid="{7248C9F8-C941-4367-B69A-4724E631105D}"/>
    <cellStyle name="40% - Accent4 2 7 3" xfId="6230" xr:uid="{00000000-0005-0000-0000-0000EE050000}"/>
    <cellStyle name="40% - Accent4 2 7 3 2" xfId="22346" xr:uid="{734AC137-40CD-41ED-9A11-7E3D81654207}"/>
    <cellStyle name="40% - Accent4 2 7 3 3" xfId="14725" xr:uid="{0698A209-2636-409F-B647-301ADD9A89F8}"/>
    <cellStyle name="40% - Accent4 2 7 4" xfId="18133" xr:uid="{EDDB9138-D1A0-4648-B910-757DB24BB30E}"/>
    <cellStyle name="40% - Accent4 2 7 5" xfId="10512" xr:uid="{E0C94E8E-2913-4A22-8F83-B7E88D63C941}"/>
    <cellStyle name="40% - Accent4 2 8" xfId="2337" xr:uid="{00000000-0005-0000-0000-0000EF050000}"/>
    <cellStyle name="40% - Accent4 2 8 2" xfId="6643" xr:uid="{00000000-0005-0000-0000-0000F0050000}"/>
    <cellStyle name="40% - Accent4 2 8 2 2" xfId="22759" xr:uid="{55D48F1D-B1FC-4E90-B006-A745CCBB43C7}"/>
    <cellStyle name="40% - Accent4 2 8 2 3" xfId="15138" xr:uid="{FFEF283E-296D-4876-9099-BD9D750F1270}"/>
    <cellStyle name="40% - Accent4 2 8 3" xfId="18546" xr:uid="{67032308-41A8-4B5E-950F-D402D1C1952B}"/>
    <cellStyle name="40% - Accent4 2 8 4" xfId="10925" xr:uid="{249BDAF5-515A-405D-8883-BF0C40BE6BC3}"/>
    <cellStyle name="40% - Accent4 2 9" xfId="4577" xr:uid="{00000000-0005-0000-0000-0000F1050000}"/>
    <cellStyle name="40% - Accent4 2 9 2" xfId="20694" xr:uid="{D2874D29-C253-411F-9C08-D7E7A36D2147}"/>
    <cellStyle name="40% - Accent4 2 9 3" xfId="13073" xr:uid="{9D2C64F6-7C2A-4416-ABBE-CB861D5BB4C4}"/>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23257" xr:uid="{E1D6D372-1B06-4E8F-AEF0-E14E61451B30}"/>
    <cellStyle name="40% - Accent4 3 2 2 2 2 3" xfId="15636" xr:uid="{2FF16104-774E-4B50-908E-E9BE74B99B5B}"/>
    <cellStyle name="40% - Accent4 3 2 2 2 3" xfId="19044" xr:uid="{EDA02861-F9A0-42DF-B2C3-E79335889093}"/>
    <cellStyle name="40% - Accent4 3 2 2 2 4" xfId="11423" xr:uid="{7296B58C-D8FB-49B5-9AEF-7F85677AE7D1}"/>
    <cellStyle name="40% - Accent4 3 2 2 3" xfId="4996" xr:uid="{00000000-0005-0000-0000-0000F7050000}"/>
    <cellStyle name="40% - Accent4 3 2 2 3 2" xfId="21112" xr:uid="{E46D7E65-DDEE-4192-83BA-4FA3E736CC8D}"/>
    <cellStyle name="40% - Accent4 3 2 2 3 3" xfId="13491" xr:uid="{4415DC5A-E2C0-4D2E-9187-E2052AD4A496}"/>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23670" xr:uid="{C7FAD317-0305-4324-B5DB-4E54F7D2EF30}"/>
    <cellStyle name="40% - Accent4 3 2 3 2 2 3" xfId="16049" xr:uid="{2DE889F3-DCBA-434A-A2B9-1BB4CD42ACF2}"/>
    <cellStyle name="40% - Accent4 3 2 3 2 3" xfId="19457" xr:uid="{F7AE0F66-B9EC-40C2-B33B-3110FB176C3E}"/>
    <cellStyle name="40% - Accent4 3 2 3 2 4" xfId="11836" xr:uid="{2BA0F8AF-EED8-4C18-BEB0-986977F391CF}"/>
    <cellStyle name="40% - Accent4 3 2 3 3" xfId="5409" xr:uid="{00000000-0005-0000-0000-0000FB050000}"/>
    <cellStyle name="40% - Accent4 3 2 3 3 2" xfId="21525" xr:uid="{9BC0E93A-BF67-457C-B0C7-57FFC1B6B00F}"/>
    <cellStyle name="40% - Accent4 3 2 3 3 3" xfId="13904" xr:uid="{7E35BB0E-928F-4EB1-9D45-12C0B78720B2}"/>
    <cellStyle name="40% - Accent4 3 2 3 4" xfId="17312" xr:uid="{A1B7A108-CCFB-4F1B-9684-79180B7BC076}"/>
    <cellStyle name="40% - Accent4 3 2 3 5" xfId="9691" xr:uid="{C0A52F37-3BBE-43D0-9633-DE298C6B0CA6}"/>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24083" xr:uid="{99044676-C5C0-494F-B5F3-092B8A50D074}"/>
    <cellStyle name="40% - Accent4 3 2 4 2 2 3" xfId="16462" xr:uid="{5E1BDE18-A0EB-4F13-BBE2-341061951FB4}"/>
    <cellStyle name="40% - Accent4 3 2 4 2 3" xfId="19870" xr:uid="{569D4AEB-94B4-410C-81B6-C6E71B8D0653}"/>
    <cellStyle name="40% - Accent4 3 2 4 2 4" xfId="12249" xr:uid="{01988C78-87BD-4026-A8DD-8B8E280B732F}"/>
    <cellStyle name="40% - Accent4 3 2 4 3" xfId="5822" xr:uid="{00000000-0005-0000-0000-0000FF050000}"/>
    <cellStyle name="40% - Accent4 3 2 4 3 2" xfId="21938" xr:uid="{8EE4FFCE-FC6B-461F-A9C0-B9C618F49377}"/>
    <cellStyle name="40% - Accent4 3 2 4 3 3" xfId="14317" xr:uid="{80048FC0-58DB-4936-9D96-CAEB1B5ABEB8}"/>
    <cellStyle name="40% - Accent4 3 2 4 4" xfId="17725" xr:uid="{D3887EC2-4724-4543-9017-74AB21F0473F}"/>
    <cellStyle name="40% - Accent4 3 2 4 5" xfId="10104" xr:uid="{E9C4DD42-1F9C-4C60-B109-BAF4EB64B0D3}"/>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24496" xr:uid="{BDC53D8B-5BAC-490F-8F58-4FE96E538C15}"/>
    <cellStyle name="40% - Accent4 3 2 5 2 2 3" xfId="16875" xr:uid="{234F8A22-B899-4EFF-985F-24AEAF9DFA86}"/>
    <cellStyle name="40% - Accent4 3 2 5 2 3" xfId="20283" xr:uid="{995D5D04-C15B-4EC8-9D2B-3F58505734E9}"/>
    <cellStyle name="40% - Accent4 3 2 5 2 4" xfId="12662" xr:uid="{DD737C32-3599-48B7-AACB-D57625345427}"/>
    <cellStyle name="40% - Accent4 3 2 5 3" xfId="6235" xr:uid="{00000000-0005-0000-0000-000003060000}"/>
    <cellStyle name="40% - Accent4 3 2 5 3 2" xfId="22351" xr:uid="{5EDE9F56-FC88-4A86-9558-B6C967A0584C}"/>
    <cellStyle name="40% - Accent4 3 2 5 3 3" xfId="14730" xr:uid="{78ACE575-C801-450B-8E7B-07451CBDA16F}"/>
    <cellStyle name="40% - Accent4 3 2 5 4" xfId="18138" xr:uid="{BF46BE00-041C-45B9-B3DF-3853ABF8CA6B}"/>
    <cellStyle name="40% - Accent4 3 2 5 5" xfId="10517" xr:uid="{F5EF47C9-E9D0-4FE8-834C-E43488FCB652}"/>
    <cellStyle name="40% - Accent4 3 2 6" xfId="2342" xr:uid="{00000000-0005-0000-0000-000004060000}"/>
    <cellStyle name="40% - Accent4 3 2 6 2" xfId="6648" xr:uid="{00000000-0005-0000-0000-000005060000}"/>
    <cellStyle name="40% - Accent4 3 2 6 2 2" xfId="22764" xr:uid="{D87784AD-464A-41C0-A57A-C9C9C4E88D69}"/>
    <cellStyle name="40% - Accent4 3 2 6 2 3" xfId="15143" xr:uid="{C325F488-2252-462B-9A7F-271539FADCE8}"/>
    <cellStyle name="40% - Accent4 3 2 6 3" xfId="18551" xr:uid="{1062FCC3-83D0-4888-8E78-1D26CED3175D}"/>
    <cellStyle name="40% - Accent4 3 2 6 4" xfId="10930" xr:uid="{0D4E1C3E-32D2-4DE3-A254-F5E11CAA2C8E}"/>
    <cellStyle name="40% - Accent4 3 2 7" xfId="4582" xr:uid="{00000000-0005-0000-0000-000006060000}"/>
    <cellStyle name="40% - Accent4 3 2 7 2" xfId="20699" xr:uid="{B41800DE-2CD3-4B99-9197-AA3E9E9FA104}"/>
    <cellStyle name="40% - Accent4 3 2 7 3" xfId="13078" xr:uid="{5EDD7E8F-01FA-4DAF-A35A-BBFEE926448A}"/>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2 2 2" xfId="23256" xr:uid="{EA59F31A-3C10-4810-991F-FC6C56724A1D}"/>
    <cellStyle name="40% - Accent4 3 3 2 2 3" xfId="15635" xr:uid="{996863F6-DE88-434B-800B-13C27E31E871}"/>
    <cellStyle name="40% - Accent4 3 3 2 3" xfId="19043" xr:uid="{829214DB-0FD2-4056-8C58-AC74998A13AF}"/>
    <cellStyle name="40% - Accent4 3 3 2 4" xfId="11422" xr:uid="{2FB1D0DF-104D-4B93-AA36-A04E633A72CA}"/>
    <cellStyle name="40% - Accent4 3 3 3" xfId="4995" xr:uid="{00000000-0005-0000-0000-00000A060000}"/>
    <cellStyle name="40% - Accent4 3 3 3 2" xfId="21111" xr:uid="{9E4ED1F0-0992-424E-A023-2B09182EBE77}"/>
    <cellStyle name="40% - Accent4 3 3 3 3" xfId="13490" xr:uid="{B8F114AF-D8D5-44B3-BEFB-320D231A57BB}"/>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2 2 2" xfId="23669" xr:uid="{7CAEAFE7-5B10-4F00-8AED-2A330807523E}"/>
    <cellStyle name="40% - Accent4 3 4 2 2 3" xfId="16048" xr:uid="{3B5BA172-4541-4E1A-8BD8-CA1A6EE47448}"/>
    <cellStyle name="40% - Accent4 3 4 2 3" xfId="19456" xr:uid="{214E693E-31A4-48A6-8AAA-B7C7973DF5E0}"/>
    <cellStyle name="40% - Accent4 3 4 2 4" xfId="11835" xr:uid="{4A5AA2B8-C156-488E-8623-F763EE39DF41}"/>
    <cellStyle name="40% - Accent4 3 4 3" xfId="5408" xr:uid="{00000000-0005-0000-0000-00000E060000}"/>
    <cellStyle name="40% - Accent4 3 4 3 2" xfId="21524" xr:uid="{84E169E6-5BFE-4987-B110-3F34FE694B89}"/>
    <cellStyle name="40% - Accent4 3 4 3 3" xfId="13903" xr:uid="{77A35211-EA15-4854-B028-01661AF26A8D}"/>
    <cellStyle name="40% - Accent4 3 4 4" xfId="17311" xr:uid="{B747CB9A-9A69-4039-B40E-81069D7809B8}"/>
    <cellStyle name="40% - Accent4 3 4 5" xfId="9690" xr:uid="{B5BDBBA9-6746-45CC-BA4B-2319DDCD7A0E}"/>
    <cellStyle name="40% - Accent4 3 5" xfId="1514" xr:uid="{00000000-0005-0000-0000-00000F060000}"/>
    <cellStyle name="40% - Accent4 3 5 2" xfId="3744" xr:uid="{00000000-0005-0000-0000-000010060000}"/>
    <cellStyle name="40% - Accent4 3 5 2 2" xfId="7966" xr:uid="{00000000-0005-0000-0000-000011060000}"/>
    <cellStyle name="40% - Accent4 3 5 2 2 2" xfId="24082" xr:uid="{904533FA-8CFD-4BF4-AECC-DD5A7D4BFDDC}"/>
    <cellStyle name="40% - Accent4 3 5 2 2 3" xfId="16461" xr:uid="{A7147F55-02A2-462A-9639-37638395E154}"/>
    <cellStyle name="40% - Accent4 3 5 2 3" xfId="19869" xr:uid="{19E09DE2-ECDD-4E24-954C-00DA940D7284}"/>
    <cellStyle name="40% - Accent4 3 5 2 4" xfId="12248" xr:uid="{5A167776-51B5-4000-88A2-68806A9F573B}"/>
    <cellStyle name="40% - Accent4 3 5 3" xfId="5821" xr:uid="{00000000-0005-0000-0000-000012060000}"/>
    <cellStyle name="40% - Accent4 3 5 3 2" xfId="21937" xr:uid="{880023BD-03EB-402C-9602-671525EC57E8}"/>
    <cellStyle name="40% - Accent4 3 5 3 3" xfId="14316" xr:uid="{CC8E3518-58A8-46FA-9E82-C9A119BAA52F}"/>
    <cellStyle name="40% - Accent4 3 5 4" xfId="17724" xr:uid="{69D51902-4D6E-4E13-B682-A113D5288271}"/>
    <cellStyle name="40% - Accent4 3 5 5" xfId="10103" xr:uid="{6F6FEDF0-B195-4B8C-918D-A45285BDD574}"/>
    <cellStyle name="40% - Accent4 3 6" xfId="1928" xr:uid="{00000000-0005-0000-0000-000013060000}"/>
    <cellStyle name="40% - Accent4 3 6 2" xfId="4157" xr:uid="{00000000-0005-0000-0000-000014060000}"/>
    <cellStyle name="40% - Accent4 3 6 2 2" xfId="8379" xr:uid="{00000000-0005-0000-0000-000015060000}"/>
    <cellStyle name="40% - Accent4 3 6 2 2 2" xfId="24495" xr:uid="{9FDB76D4-B580-4C05-A0E7-8499FBD4EC09}"/>
    <cellStyle name="40% - Accent4 3 6 2 2 3" xfId="16874" xr:uid="{817AE1FB-E8CB-4691-9806-AF7D77674CC4}"/>
    <cellStyle name="40% - Accent4 3 6 2 3" xfId="20282" xr:uid="{7E2D768F-E64A-45F5-835A-58B8FE627012}"/>
    <cellStyle name="40% - Accent4 3 6 2 4" xfId="12661" xr:uid="{C1FB3B7F-D5B7-4941-B9BD-1B56CB14952F}"/>
    <cellStyle name="40% - Accent4 3 6 3" xfId="6234" xr:uid="{00000000-0005-0000-0000-000016060000}"/>
    <cellStyle name="40% - Accent4 3 6 3 2" xfId="22350" xr:uid="{52C67E7C-6D84-4BFD-9947-DF6DE828D7AE}"/>
    <cellStyle name="40% - Accent4 3 6 3 3" xfId="14729" xr:uid="{4D7C22E0-46CD-47E9-929E-4F817F71B85C}"/>
    <cellStyle name="40% - Accent4 3 6 4" xfId="18137" xr:uid="{51BE1226-94D1-4CF8-942E-A21631522BAA}"/>
    <cellStyle name="40% - Accent4 3 6 5" xfId="10516" xr:uid="{9ACBBC84-58AE-4EF3-B804-BD51B940E9DB}"/>
    <cellStyle name="40% - Accent4 3 7" xfId="2341" xr:uid="{00000000-0005-0000-0000-000017060000}"/>
    <cellStyle name="40% - Accent4 3 7 2" xfId="6647" xr:uid="{00000000-0005-0000-0000-000018060000}"/>
    <cellStyle name="40% - Accent4 3 7 2 2" xfId="22763" xr:uid="{45B29ED7-359C-4D2F-8D93-30E10F4C9CD8}"/>
    <cellStyle name="40% - Accent4 3 7 2 3" xfId="15142" xr:uid="{EB3448B7-BD54-4C07-A8C5-CF15F10B565A}"/>
    <cellStyle name="40% - Accent4 3 7 3" xfId="18550" xr:uid="{60042C86-A6E7-4107-919E-8A90354F729F}"/>
    <cellStyle name="40% - Accent4 3 7 4" xfId="10929" xr:uid="{7A0B0775-6FB0-4ED7-9721-2E0DDA0E06F8}"/>
    <cellStyle name="40% - Accent4 3 8" xfId="4581" xr:uid="{00000000-0005-0000-0000-000019060000}"/>
    <cellStyle name="40% - Accent4 3 8 2" xfId="20698" xr:uid="{F947899B-F4B9-40DE-851C-E6B3BD9E245C}"/>
    <cellStyle name="40% - Accent4 3 8 3" xfId="13077" xr:uid="{E699DE99-6F87-452A-8B0C-068031C0EF48}"/>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23258" xr:uid="{21A81E40-9CB6-4437-A37C-D737226A1AFB}"/>
    <cellStyle name="40% - Accent4 4 2 2 2 3" xfId="15637" xr:uid="{FD0E68E2-BBDA-4888-84D1-C135A0A63A8A}"/>
    <cellStyle name="40% - Accent4 4 2 2 3" xfId="19045" xr:uid="{F033DE34-3E4A-449D-A42F-F2BA8F05D9D2}"/>
    <cellStyle name="40% - Accent4 4 2 2 4" xfId="11424" xr:uid="{76BBC338-07B0-4CC0-B9FF-2B55B8550D44}"/>
    <cellStyle name="40% - Accent4 4 2 3" xfId="4997" xr:uid="{00000000-0005-0000-0000-00001E060000}"/>
    <cellStyle name="40% - Accent4 4 2 3 2" xfId="21113" xr:uid="{FDB3BEC7-9C0D-4749-9E80-D870DB0136C6}"/>
    <cellStyle name="40% - Accent4 4 2 3 3" xfId="13492" xr:uid="{C2AFC6C3-AAAA-430E-BF16-94CC0E425EC2}"/>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2 2 2" xfId="23671" xr:uid="{7407F855-3366-41B1-A403-602C081D1A24}"/>
    <cellStyle name="40% - Accent4 4 3 2 2 3" xfId="16050" xr:uid="{51D4B07E-7BA0-46DC-8A17-D88773723538}"/>
    <cellStyle name="40% - Accent4 4 3 2 3" xfId="19458" xr:uid="{815BF12B-C6FD-4354-84A2-C2F633905D3E}"/>
    <cellStyle name="40% - Accent4 4 3 2 4" xfId="11837" xr:uid="{E02F0762-C66F-4798-ABF7-0381B3F196D4}"/>
    <cellStyle name="40% - Accent4 4 3 3" xfId="5410" xr:uid="{00000000-0005-0000-0000-000022060000}"/>
    <cellStyle name="40% - Accent4 4 3 3 2" xfId="21526" xr:uid="{1CC64699-5801-4552-A70C-FA2D6C27E3AC}"/>
    <cellStyle name="40% - Accent4 4 3 3 3" xfId="13905" xr:uid="{D2577BC2-A73F-4561-95C5-DB13FE2EE8D7}"/>
    <cellStyle name="40% - Accent4 4 3 4" xfId="17313" xr:uid="{3ECE8742-F787-4F27-8F6E-B9606B0AD1A8}"/>
    <cellStyle name="40% - Accent4 4 3 5" xfId="9692" xr:uid="{277B77B4-5805-41BB-8353-016BD0F44BDC}"/>
    <cellStyle name="40% - Accent4 4 4" xfId="1516" xr:uid="{00000000-0005-0000-0000-000023060000}"/>
    <cellStyle name="40% - Accent4 4 4 2" xfId="3746" xr:uid="{00000000-0005-0000-0000-000024060000}"/>
    <cellStyle name="40% - Accent4 4 4 2 2" xfId="7968" xr:uid="{00000000-0005-0000-0000-000025060000}"/>
    <cellStyle name="40% - Accent4 4 4 2 2 2" xfId="24084" xr:uid="{78C61C8B-9399-45BE-9D7E-EB42B794FAE7}"/>
    <cellStyle name="40% - Accent4 4 4 2 2 3" xfId="16463" xr:uid="{BD03063E-C945-407D-B93E-54C1F3EE664F}"/>
    <cellStyle name="40% - Accent4 4 4 2 3" xfId="19871" xr:uid="{1E437B40-1FBD-4F02-BA1C-38D46365E694}"/>
    <cellStyle name="40% - Accent4 4 4 2 4" xfId="12250" xr:uid="{7AEC1115-2E00-4CCD-A44E-0A9B6F3D5EA8}"/>
    <cellStyle name="40% - Accent4 4 4 3" xfId="5823" xr:uid="{00000000-0005-0000-0000-000026060000}"/>
    <cellStyle name="40% - Accent4 4 4 3 2" xfId="21939" xr:uid="{93E0FDCB-D8A1-4EA3-836F-00676BD6C449}"/>
    <cellStyle name="40% - Accent4 4 4 3 3" xfId="14318" xr:uid="{CBED5B3F-D0C7-4C38-9850-3E281BCEC7B8}"/>
    <cellStyle name="40% - Accent4 4 4 4" xfId="17726" xr:uid="{3D72B49A-5F22-436E-81D4-8FCA2C298E25}"/>
    <cellStyle name="40% - Accent4 4 4 5" xfId="10105" xr:uid="{80CA7EB5-448C-4E2C-B5AE-89A3602B5915}"/>
    <cellStyle name="40% - Accent4 4 5" xfId="1930" xr:uid="{00000000-0005-0000-0000-000027060000}"/>
    <cellStyle name="40% - Accent4 4 5 2" xfId="4159" xr:uid="{00000000-0005-0000-0000-000028060000}"/>
    <cellStyle name="40% - Accent4 4 5 2 2" xfId="8381" xr:uid="{00000000-0005-0000-0000-000029060000}"/>
    <cellStyle name="40% - Accent4 4 5 2 2 2" xfId="24497" xr:uid="{A11F9A36-4B26-4B8A-B32A-86E96BC23419}"/>
    <cellStyle name="40% - Accent4 4 5 2 2 3" xfId="16876" xr:uid="{446AD3D1-F197-4CE2-A529-179C6C5FBB10}"/>
    <cellStyle name="40% - Accent4 4 5 2 3" xfId="20284" xr:uid="{1A0286EE-9F3C-44A7-948A-48662314E440}"/>
    <cellStyle name="40% - Accent4 4 5 2 4" xfId="12663" xr:uid="{CC2C9246-CD9B-418D-B551-549A663D7023}"/>
    <cellStyle name="40% - Accent4 4 5 3" xfId="6236" xr:uid="{00000000-0005-0000-0000-00002A060000}"/>
    <cellStyle name="40% - Accent4 4 5 3 2" xfId="22352" xr:uid="{541BF31A-DBC0-4219-AD84-E05C23C20C35}"/>
    <cellStyle name="40% - Accent4 4 5 3 3" xfId="14731" xr:uid="{BC474D89-FB5C-4FDF-9389-29EFA7CB6831}"/>
    <cellStyle name="40% - Accent4 4 5 4" xfId="18139" xr:uid="{829851AF-EADB-4FE2-B92D-16D2390446F2}"/>
    <cellStyle name="40% - Accent4 4 5 5" xfId="10518" xr:uid="{E4FD1AE1-B522-4370-B7BD-64BB2F4143DE}"/>
    <cellStyle name="40% - Accent4 4 6" xfId="2343" xr:uid="{00000000-0005-0000-0000-00002B060000}"/>
    <cellStyle name="40% - Accent4 4 6 2" xfId="6649" xr:uid="{00000000-0005-0000-0000-00002C060000}"/>
    <cellStyle name="40% - Accent4 4 6 2 2" xfId="22765" xr:uid="{AE3403D8-0773-4A50-A160-CE518C912AAD}"/>
    <cellStyle name="40% - Accent4 4 6 2 3" xfId="15144" xr:uid="{3E401D5E-9317-41AD-BD82-2368905F3609}"/>
    <cellStyle name="40% - Accent4 4 6 3" xfId="18552" xr:uid="{17DF64F9-8988-4BE1-9E2B-1D6921C1DC61}"/>
    <cellStyle name="40% - Accent4 4 6 4" xfId="10931" xr:uid="{86081EC4-475E-4A1B-AC90-1C02A760C8D8}"/>
    <cellStyle name="40% - Accent4 4 7" xfId="4583" xr:uid="{00000000-0005-0000-0000-00002D060000}"/>
    <cellStyle name="40% - Accent4 4 7 2" xfId="20700" xr:uid="{E45BD467-312A-47E5-A64C-E8B8598BF680}"/>
    <cellStyle name="40% - Accent4 4 7 3" xfId="13079" xr:uid="{337133B2-D73D-4AA2-8EDC-95B2CFCFA8ED}"/>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2 2 2" xfId="23251" xr:uid="{E3D3BCB1-2B84-4FF9-BC1B-44E59E177BB2}"/>
    <cellStyle name="40% - Accent4 5 2 2 3" xfId="15630" xr:uid="{C07F7BF9-716B-4435-9509-0812DA7DAFD5}"/>
    <cellStyle name="40% - Accent4 5 2 3" xfId="19038" xr:uid="{E93496E5-5DB1-4F77-A855-720063CD9D95}"/>
    <cellStyle name="40% - Accent4 5 2 4" xfId="11417" xr:uid="{1E2891C2-343B-4593-9CE4-2599F3F31F25}"/>
    <cellStyle name="40% - Accent4 5 3" xfId="4990" xr:uid="{00000000-0005-0000-0000-000031060000}"/>
    <cellStyle name="40% - Accent4 5 3 2" xfId="21106" xr:uid="{1A33DBA5-FCB7-4ACC-9D38-D3ED6D7B8FD0}"/>
    <cellStyle name="40% - Accent4 5 3 3" xfId="13485" xr:uid="{87290E81-F11F-45C0-A0DE-00DC5B2AE00E}"/>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2 2 2" xfId="23664" xr:uid="{9A2D6BB4-2F8E-4A18-8736-0F465589FAC7}"/>
    <cellStyle name="40% - Accent4 6 2 2 3" xfId="16043" xr:uid="{6EDD22AA-BF5F-4705-BCC8-C9EFBCD62742}"/>
    <cellStyle name="40% - Accent4 6 2 3" xfId="19451" xr:uid="{9F49BBE1-42A7-4168-BDFA-D710371967CF}"/>
    <cellStyle name="40% - Accent4 6 2 4" xfId="11830" xr:uid="{3CA961C5-ECEE-41B9-942B-E617E5CEBE97}"/>
    <cellStyle name="40% - Accent4 6 3" xfId="5403" xr:uid="{00000000-0005-0000-0000-000035060000}"/>
    <cellStyle name="40% - Accent4 6 3 2" xfId="21519" xr:uid="{5F1629C1-9484-4293-8235-459615FB35E3}"/>
    <cellStyle name="40% - Accent4 6 3 3" xfId="13898" xr:uid="{F6141257-1D59-44E2-9921-D36636C45B7C}"/>
    <cellStyle name="40% - Accent4 6 4" xfId="17306" xr:uid="{393A0FCE-A691-440D-836D-98A2B5AA44BE}"/>
    <cellStyle name="40% - Accent4 6 5" xfId="9685" xr:uid="{6C39B864-F990-47AA-A00B-9702341C5DC5}"/>
    <cellStyle name="40% - Accent4 7" xfId="1509" xr:uid="{00000000-0005-0000-0000-000036060000}"/>
    <cellStyle name="40% - Accent4 7 2" xfId="3739" xr:uid="{00000000-0005-0000-0000-000037060000}"/>
    <cellStyle name="40% - Accent4 7 2 2" xfId="7961" xr:uid="{00000000-0005-0000-0000-000038060000}"/>
    <cellStyle name="40% - Accent4 7 2 2 2" xfId="24077" xr:uid="{7357A6D6-968D-4932-B5D4-A9A9D196CA51}"/>
    <cellStyle name="40% - Accent4 7 2 2 3" xfId="16456" xr:uid="{CFDCB4C4-3860-4560-A1F1-3310523BE892}"/>
    <cellStyle name="40% - Accent4 7 2 3" xfId="19864" xr:uid="{2B01AF74-5DD6-48AB-9777-A9A97748D0F2}"/>
    <cellStyle name="40% - Accent4 7 2 4" xfId="12243" xr:uid="{6C19573B-D217-4819-88B9-AF1F0657306B}"/>
    <cellStyle name="40% - Accent4 7 3" xfId="5816" xr:uid="{00000000-0005-0000-0000-000039060000}"/>
    <cellStyle name="40% - Accent4 7 3 2" xfId="21932" xr:uid="{F01E564F-C8BD-48E7-84E1-BE981F74EA1E}"/>
    <cellStyle name="40% - Accent4 7 3 3" xfId="14311" xr:uid="{E92EDDFA-AD95-45D7-BF25-A693B81FB52A}"/>
    <cellStyle name="40% - Accent4 7 4" xfId="17719" xr:uid="{C546296E-5FE6-4B29-92E6-DEA39A3FC3CF}"/>
    <cellStyle name="40% - Accent4 7 5" xfId="10098" xr:uid="{6F092F9B-55F1-4258-9B8F-DF9E7F8746E0}"/>
    <cellStyle name="40% - Accent4 8" xfId="1923" xr:uid="{00000000-0005-0000-0000-00003A060000}"/>
    <cellStyle name="40% - Accent4 8 2" xfId="4152" xr:uid="{00000000-0005-0000-0000-00003B060000}"/>
    <cellStyle name="40% - Accent4 8 2 2" xfId="8374" xr:uid="{00000000-0005-0000-0000-00003C060000}"/>
    <cellStyle name="40% - Accent4 8 2 2 2" xfId="24490" xr:uid="{0B97E5DC-2F02-4CBA-8360-930D4BE3D25E}"/>
    <cellStyle name="40% - Accent4 8 2 2 3" xfId="16869" xr:uid="{FB4E6454-875A-4C54-A4D8-1E7F71EB35C4}"/>
    <cellStyle name="40% - Accent4 8 2 3" xfId="20277" xr:uid="{A025FF65-C6C3-4EF5-AD79-8DDB89FCEE61}"/>
    <cellStyle name="40% - Accent4 8 2 4" xfId="12656" xr:uid="{3EC2F642-22DF-4E9B-A780-0DAD13D54340}"/>
    <cellStyle name="40% - Accent4 8 3" xfId="6229" xr:uid="{00000000-0005-0000-0000-00003D060000}"/>
    <cellStyle name="40% - Accent4 8 3 2" xfId="22345" xr:uid="{B834F87B-1FE1-415A-9912-C8DD7568883F}"/>
    <cellStyle name="40% - Accent4 8 3 3" xfId="14724" xr:uid="{49689CA4-444B-4DD2-87D8-AD902841BEA5}"/>
    <cellStyle name="40% - Accent4 8 4" xfId="18132" xr:uid="{AFE4EBAD-2CFA-429F-98B6-41A7B2B58641}"/>
    <cellStyle name="40% - Accent4 8 5" xfId="10511" xr:uid="{96B766B0-8DFB-416A-B9C1-84D2AFAF72BD}"/>
    <cellStyle name="40% - Accent4 9" xfId="2336" xr:uid="{00000000-0005-0000-0000-00003E060000}"/>
    <cellStyle name="40% - Accent4 9 2" xfId="6642" xr:uid="{00000000-0005-0000-0000-00003F060000}"/>
    <cellStyle name="40% - Accent4 9 2 2" xfId="22758" xr:uid="{E1C14BEE-01D1-4B5C-8710-AE2151490244}"/>
    <cellStyle name="40% - Accent4 9 2 3" xfId="15137" xr:uid="{8349BC03-CD78-4E7F-8275-9A29E94F89A8}"/>
    <cellStyle name="40% - Accent4 9 3" xfId="18545" xr:uid="{40E3F593-4CD0-4255-A299-0D126CE78451}"/>
    <cellStyle name="40% - Accent4 9 4" xfId="10924" xr:uid="{018A2090-6B02-40BB-92DC-FAAFD869F763}"/>
    <cellStyle name="40% - Accent5" xfId="81" builtinId="47" customBuiltin="1"/>
    <cellStyle name="40% - Accent5 10" xfId="4584" xr:uid="{00000000-0005-0000-0000-000041060000}"/>
    <cellStyle name="40% - Accent5 10 2" xfId="20701" xr:uid="{00F8071C-C198-4D8B-8B14-6A5855A8EA27}"/>
    <cellStyle name="40% - Accent5 10 3" xfId="13080" xr:uid="{6D7F69D3-316A-4071-BD4B-7DEE41C1842F}"/>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23262" xr:uid="{B307CD2A-9C25-48BE-A0A1-A2DEEB1F07D1}"/>
    <cellStyle name="40% - Accent5 2 2 2 2 2 2 3" xfId="15641" xr:uid="{FD796CAF-59CC-4C60-A799-F9F4BE1CEF77}"/>
    <cellStyle name="40% - Accent5 2 2 2 2 2 3" xfId="19049" xr:uid="{F8E09F0A-F63A-4CB2-BDD0-53ADABEFB213}"/>
    <cellStyle name="40% - Accent5 2 2 2 2 2 4" xfId="11428" xr:uid="{469F0D8E-F6E8-48C0-932E-C8C92C8BE1AE}"/>
    <cellStyle name="40% - Accent5 2 2 2 2 3" xfId="5001" xr:uid="{00000000-0005-0000-0000-000048060000}"/>
    <cellStyle name="40% - Accent5 2 2 2 2 3 2" xfId="21117" xr:uid="{92335C1D-9B1A-4FF2-A657-4E6C8CA12B43}"/>
    <cellStyle name="40% - Accent5 2 2 2 2 3 3" xfId="13496" xr:uid="{B377B992-16BB-4AFF-BA62-02AE91E1AC95}"/>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23675" xr:uid="{20AE7C66-D13B-48D3-9C0B-E207839191D9}"/>
    <cellStyle name="40% - Accent5 2 2 2 3 2 2 3" xfId="16054" xr:uid="{ED5A261A-381D-434E-BBDF-0F08CA2D7E53}"/>
    <cellStyle name="40% - Accent5 2 2 2 3 2 3" xfId="19462" xr:uid="{56F173EE-A6CD-448E-B74C-05728B05D1B3}"/>
    <cellStyle name="40% - Accent5 2 2 2 3 2 4" xfId="11841" xr:uid="{71954A46-7C64-45E1-A917-07A1E4FBBBF6}"/>
    <cellStyle name="40% - Accent5 2 2 2 3 3" xfId="5414" xr:uid="{00000000-0005-0000-0000-00004C060000}"/>
    <cellStyle name="40% - Accent5 2 2 2 3 3 2" xfId="21530" xr:uid="{27F66B03-FE89-4849-B546-CC51EA4E8F41}"/>
    <cellStyle name="40% - Accent5 2 2 2 3 3 3" xfId="13909" xr:uid="{62BDF943-2FE8-4241-A3C3-215BB2F98C79}"/>
    <cellStyle name="40% - Accent5 2 2 2 3 4" xfId="17317" xr:uid="{B1248D97-BA7E-4916-9F75-1A86E36E6963}"/>
    <cellStyle name="40% - Accent5 2 2 2 3 5" xfId="9696" xr:uid="{496768F1-2D23-47FF-9FCA-F6209446C976}"/>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24088" xr:uid="{7EE874F2-F29D-4D6F-80E4-03834EC4F367}"/>
    <cellStyle name="40% - Accent5 2 2 2 4 2 2 3" xfId="16467" xr:uid="{510EF9D9-6D13-47EC-85E2-E773CAF000C9}"/>
    <cellStyle name="40% - Accent5 2 2 2 4 2 3" xfId="19875" xr:uid="{9658885F-59FF-48F0-8EA3-1DB9F825BDAC}"/>
    <cellStyle name="40% - Accent5 2 2 2 4 2 4" xfId="12254" xr:uid="{45A89600-AD12-4F1A-9115-30DAAFDC6648}"/>
    <cellStyle name="40% - Accent5 2 2 2 4 3" xfId="5827" xr:uid="{00000000-0005-0000-0000-000050060000}"/>
    <cellStyle name="40% - Accent5 2 2 2 4 3 2" xfId="21943" xr:uid="{BC675970-0F66-4534-92D3-E80D1C9A700B}"/>
    <cellStyle name="40% - Accent5 2 2 2 4 3 3" xfId="14322" xr:uid="{CCAB7FA2-4743-4C48-ADDF-24463DDBB740}"/>
    <cellStyle name="40% - Accent5 2 2 2 4 4" xfId="17730" xr:uid="{656E6684-A48B-4343-B403-D5F09218FBCE}"/>
    <cellStyle name="40% - Accent5 2 2 2 4 5" xfId="10109" xr:uid="{52D0106A-E363-4D0B-9C27-A1899F3E64FC}"/>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24501" xr:uid="{2ECF9CBA-F594-46D6-9674-BC3178F2726A}"/>
    <cellStyle name="40% - Accent5 2 2 2 5 2 2 3" xfId="16880" xr:uid="{1E6CFD5F-86B7-471C-AD23-8BA0A199ED21}"/>
    <cellStyle name="40% - Accent5 2 2 2 5 2 3" xfId="20288" xr:uid="{B5F36585-951D-4049-A012-A4FB6FEF80CF}"/>
    <cellStyle name="40% - Accent5 2 2 2 5 2 4" xfId="12667" xr:uid="{304A2ABC-5AD9-4931-837D-A09000773C33}"/>
    <cellStyle name="40% - Accent5 2 2 2 5 3" xfId="6240" xr:uid="{00000000-0005-0000-0000-000054060000}"/>
    <cellStyle name="40% - Accent5 2 2 2 5 3 2" xfId="22356" xr:uid="{B5B4C7E4-4CA4-41DF-890A-AF58918502E4}"/>
    <cellStyle name="40% - Accent5 2 2 2 5 3 3" xfId="14735" xr:uid="{FC7ABB1F-B2DC-4134-9B6D-65E20B98344B}"/>
    <cellStyle name="40% - Accent5 2 2 2 5 4" xfId="18143" xr:uid="{F4450FCC-03FB-460D-8980-788CD13FFB85}"/>
    <cellStyle name="40% - Accent5 2 2 2 5 5" xfId="10522" xr:uid="{DE6ED8AC-3F9F-40E9-AD08-1A7A2BFDD4C0}"/>
    <cellStyle name="40% - Accent5 2 2 2 6" xfId="2347" xr:uid="{00000000-0005-0000-0000-000055060000}"/>
    <cellStyle name="40% - Accent5 2 2 2 6 2" xfId="6653" xr:uid="{00000000-0005-0000-0000-000056060000}"/>
    <cellStyle name="40% - Accent5 2 2 2 6 2 2" xfId="22769" xr:uid="{E0B6ADFE-C97C-49F8-A4AF-3A0ACA8DEF6A}"/>
    <cellStyle name="40% - Accent5 2 2 2 6 2 3" xfId="15148" xr:uid="{D248874A-CEF1-4770-B95D-29E282646D10}"/>
    <cellStyle name="40% - Accent5 2 2 2 6 3" xfId="18556" xr:uid="{2793AB0E-C14D-4697-AF19-88B98BBFBB2E}"/>
    <cellStyle name="40% - Accent5 2 2 2 6 4" xfId="10935" xr:uid="{2DA79BEF-EF08-44A7-88DC-8D4794B2FE12}"/>
    <cellStyle name="40% - Accent5 2 2 2 7" xfId="4587" xr:uid="{00000000-0005-0000-0000-000057060000}"/>
    <cellStyle name="40% - Accent5 2 2 2 7 2" xfId="20704" xr:uid="{15DFB9C6-7210-45D2-9D08-CBA1581A4C2F}"/>
    <cellStyle name="40% - Accent5 2 2 2 7 3" xfId="13083" xr:uid="{5756A040-5854-4320-AA85-AD2712989C17}"/>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23261" xr:uid="{36658007-DDB8-4FF3-BD67-A358B54D461B}"/>
    <cellStyle name="40% - Accent5 2 2 3 2 2 3" xfId="15640" xr:uid="{6781E40E-198C-43B2-98C4-5F94B9132AA4}"/>
    <cellStyle name="40% - Accent5 2 2 3 2 3" xfId="19048" xr:uid="{48312A13-8C15-4325-B27C-CED8065D21D6}"/>
    <cellStyle name="40% - Accent5 2 2 3 2 4" xfId="11427" xr:uid="{A67B5104-95EF-4289-8351-430E6A456B87}"/>
    <cellStyle name="40% - Accent5 2 2 3 3" xfId="5000" xr:uid="{00000000-0005-0000-0000-00005B060000}"/>
    <cellStyle name="40% - Accent5 2 2 3 3 2" xfId="21116" xr:uid="{FF232D0F-A0A8-41CA-92FF-566DDD7F467D}"/>
    <cellStyle name="40% - Accent5 2 2 3 3 3" xfId="13495" xr:uid="{47291E3D-3DBB-47BF-9CA4-C026CE0DD119}"/>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23674" xr:uid="{CDE2D4C6-D02D-490A-9C97-9FFF52845ACB}"/>
    <cellStyle name="40% - Accent5 2 2 4 2 2 3" xfId="16053" xr:uid="{AAFCCB32-CB71-4BEB-A8F3-1E185CF2C3CE}"/>
    <cellStyle name="40% - Accent5 2 2 4 2 3" xfId="19461" xr:uid="{E05161C9-D8FA-4F27-85D4-DB8A51A466FF}"/>
    <cellStyle name="40% - Accent5 2 2 4 2 4" xfId="11840" xr:uid="{EA9887D9-C93B-4756-8A1F-668FA9C5598A}"/>
    <cellStyle name="40% - Accent5 2 2 4 3" xfId="5413" xr:uid="{00000000-0005-0000-0000-00005F060000}"/>
    <cellStyle name="40% - Accent5 2 2 4 3 2" xfId="21529" xr:uid="{AA4C0793-ACD7-473F-A974-9366B811043E}"/>
    <cellStyle name="40% - Accent5 2 2 4 3 3" xfId="13908" xr:uid="{386E5DDB-11BA-4D95-ADE6-932F46C7DFF8}"/>
    <cellStyle name="40% - Accent5 2 2 4 4" xfId="17316" xr:uid="{9E91097E-8F60-4BD4-A3E8-7DE8437414BB}"/>
    <cellStyle name="40% - Accent5 2 2 4 5" xfId="9695" xr:uid="{5A1682FE-B96E-413E-B19C-4117BEE9F084}"/>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24087" xr:uid="{DA7E4D32-E56E-40A8-AD83-340B0486D7A0}"/>
    <cellStyle name="40% - Accent5 2 2 5 2 2 3" xfId="16466" xr:uid="{F505D6AF-08D3-4158-946B-09116A49D8FD}"/>
    <cellStyle name="40% - Accent5 2 2 5 2 3" xfId="19874" xr:uid="{08D0C589-BCE0-4A98-872D-A00F5AE55243}"/>
    <cellStyle name="40% - Accent5 2 2 5 2 4" xfId="12253" xr:uid="{CD1E1FB6-DC64-40A8-B176-B0FCFBCC7033}"/>
    <cellStyle name="40% - Accent5 2 2 5 3" xfId="5826" xr:uid="{00000000-0005-0000-0000-000063060000}"/>
    <cellStyle name="40% - Accent5 2 2 5 3 2" xfId="21942" xr:uid="{6FE50202-3237-4C0F-AC9A-21F0E8829A9F}"/>
    <cellStyle name="40% - Accent5 2 2 5 3 3" xfId="14321" xr:uid="{560D4C6F-373D-4BA0-BA5B-8ACB39610CAB}"/>
    <cellStyle name="40% - Accent5 2 2 5 4" xfId="17729" xr:uid="{F4939B8D-95B4-4434-A79F-B373068EE657}"/>
    <cellStyle name="40% - Accent5 2 2 5 5" xfId="10108" xr:uid="{24383086-6201-478E-8881-E782504618AE}"/>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24500" xr:uid="{C61CED28-0F30-4D23-B7DF-A5BFE441DC0F}"/>
    <cellStyle name="40% - Accent5 2 2 6 2 2 3" xfId="16879" xr:uid="{5BC9FF14-9148-45FD-9776-D300BA872DE5}"/>
    <cellStyle name="40% - Accent5 2 2 6 2 3" xfId="20287" xr:uid="{C6F7BD1D-A504-4A29-9FB4-E8330746AD04}"/>
    <cellStyle name="40% - Accent5 2 2 6 2 4" xfId="12666" xr:uid="{2511260F-137B-4DBB-82AE-B4F0493D5B55}"/>
    <cellStyle name="40% - Accent5 2 2 6 3" xfId="6239" xr:uid="{00000000-0005-0000-0000-000067060000}"/>
    <cellStyle name="40% - Accent5 2 2 6 3 2" xfId="22355" xr:uid="{75AF7B51-DE62-4104-9161-B3CCEA1AD359}"/>
    <cellStyle name="40% - Accent5 2 2 6 3 3" xfId="14734" xr:uid="{5CE8467F-B2E8-43D8-9ADD-98ACA73BCED8}"/>
    <cellStyle name="40% - Accent5 2 2 6 4" xfId="18142" xr:uid="{5940E110-D0EC-4BB0-9AF3-59000D391736}"/>
    <cellStyle name="40% - Accent5 2 2 6 5" xfId="10521" xr:uid="{36B604D8-12A8-400E-A6F6-E8A17D79B138}"/>
    <cellStyle name="40% - Accent5 2 2 7" xfId="2346" xr:uid="{00000000-0005-0000-0000-000068060000}"/>
    <cellStyle name="40% - Accent5 2 2 7 2" xfId="6652" xr:uid="{00000000-0005-0000-0000-000069060000}"/>
    <cellStyle name="40% - Accent5 2 2 7 2 2" xfId="22768" xr:uid="{066E30D1-2129-4299-95A8-9596110BAC37}"/>
    <cellStyle name="40% - Accent5 2 2 7 2 3" xfId="15147" xr:uid="{7120D5D9-D7C2-4552-AA84-5D2903B23F0A}"/>
    <cellStyle name="40% - Accent5 2 2 7 3" xfId="18555" xr:uid="{24C687EA-A801-4F2D-B8EC-548EFA641B88}"/>
    <cellStyle name="40% - Accent5 2 2 7 4" xfId="10934" xr:uid="{9663A1F7-29C1-4298-AB1C-6C6D9988508C}"/>
    <cellStyle name="40% - Accent5 2 2 8" xfId="4586" xr:uid="{00000000-0005-0000-0000-00006A060000}"/>
    <cellStyle name="40% - Accent5 2 2 8 2" xfId="20703" xr:uid="{F76F6C27-807E-459D-905D-0DD8F06DEF88}"/>
    <cellStyle name="40% - Accent5 2 2 8 3" xfId="13082" xr:uid="{8627B35E-0FED-4042-B52B-B4D262A85C88}"/>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23263" xr:uid="{B7D0D3EC-6E86-449D-AD1B-6854652A9B82}"/>
    <cellStyle name="40% - Accent5 2 3 2 2 2 3" xfId="15642" xr:uid="{7A8305B1-311A-486C-A3C9-D0A6E45C9C70}"/>
    <cellStyle name="40% - Accent5 2 3 2 2 3" xfId="19050" xr:uid="{92B01A05-1473-4E14-BE20-E5E62D693183}"/>
    <cellStyle name="40% - Accent5 2 3 2 2 4" xfId="11429" xr:uid="{2497D76D-14E6-4EF5-8822-824AA05A5F37}"/>
    <cellStyle name="40% - Accent5 2 3 2 3" xfId="5002" xr:uid="{00000000-0005-0000-0000-00006F060000}"/>
    <cellStyle name="40% - Accent5 2 3 2 3 2" xfId="21118" xr:uid="{060571CF-0EE9-4998-B5F5-0E035FE78A1A}"/>
    <cellStyle name="40% - Accent5 2 3 2 3 3" xfId="13497" xr:uid="{3F197996-5607-4DCB-BE47-754DDF208BCA}"/>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23676" xr:uid="{EA1715D3-077C-4DB0-9084-1AF1547BA6A2}"/>
    <cellStyle name="40% - Accent5 2 3 3 2 2 3" xfId="16055" xr:uid="{B74C69E6-2D25-4B4C-B22A-DFF35DFADBCE}"/>
    <cellStyle name="40% - Accent5 2 3 3 2 3" xfId="19463" xr:uid="{9770653F-66F2-4AD6-8119-C0D11E8ED873}"/>
    <cellStyle name="40% - Accent5 2 3 3 2 4" xfId="11842" xr:uid="{EE97F6BD-0B76-42AC-9F3E-0D139E4F3343}"/>
    <cellStyle name="40% - Accent5 2 3 3 3" xfId="5415" xr:uid="{00000000-0005-0000-0000-000073060000}"/>
    <cellStyle name="40% - Accent5 2 3 3 3 2" xfId="21531" xr:uid="{0FC2D6B3-0A5D-46DB-BC2F-F803F585104C}"/>
    <cellStyle name="40% - Accent5 2 3 3 3 3" xfId="13910" xr:uid="{88D69853-952A-4D63-B8A9-93274EBBE2C8}"/>
    <cellStyle name="40% - Accent5 2 3 3 4" xfId="17318" xr:uid="{6261164C-EE17-4DB2-9091-44F26A44175F}"/>
    <cellStyle name="40% - Accent5 2 3 3 5" xfId="9697" xr:uid="{95FFDEF0-F97F-49FC-9E55-84B4F8ED7BB3}"/>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24089" xr:uid="{0450A0BA-4D6C-4DFF-B236-12C37563233D}"/>
    <cellStyle name="40% - Accent5 2 3 4 2 2 3" xfId="16468" xr:uid="{39A57ACD-B17F-4D68-BE5E-E2C5D2EAF4CE}"/>
    <cellStyle name="40% - Accent5 2 3 4 2 3" xfId="19876" xr:uid="{A929259A-7FF3-44E9-8B7B-A1F5E662B5B0}"/>
    <cellStyle name="40% - Accent5 2 3 4 2 4" xfId="12255" xr:uid="{BDF85D40-D61A-4F10-981A-18B9682A5AC0}"/>
    <cellStyle name="40% - Accent5 2 3 4 3" xfId="5828" xr:uid="{00000000-0005-0000-0000-000077060000}"/>
    <cellStyle name="40% - Accent5 2 3 4 3 2" xfId="21944" xr:uid="{C8511215-4F97-4286-A593-75260230E96E}"/>
    <cellStyle name="40% - Accent5 2 3 4 3 3" xfId="14323" xr:uid="{60D79B9F-9BC1-4756-9462-813A20ECD9E1}"/>
    <cellStyle name="40% - Accent5 2 3 4 4" xfId="17731" xr:uid="{2E59C77B-CAD0-4C82-892F-61EAAEEDF735}"/>
    <cellStyle name="40% - Accent5 2 3 4 5" xfId="10110" xr:uid="{0B225276-32B2-4BAE-B152-3D6866287D73}"/>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24502" xr:uid="{B861DD03-3A41-48A6-BE80-16AEA720DB01}"/>
    <cellStyle name="40% - Accent5 2 3 5 2 2 3" xfId="16881" xr:uid="{16BC1CA3-F831-4FB2-9679-4C7023683CF1}"/>
    <cellStyle name="40% - Accent5 2 3 5 2 3" xfId="20289" xr:uid="{45391FEA-0E97-4A0B-9F53-FB4E37E658C6}"/>
    <cellStyle name="40% - Accent5 2 3 5 2 4" xfId="12668" xr:uid="{B4907953-BA8C-48A7-B43F-D9AAF05502C1}"/>
    <cellStyle name="40% - Accent5 2 3 5 3" xfId="6241" xr:uid="{00000000-0005-0000-0000-00007B060000}"/>
    <cellStyle name="40% - Accent5 2 3 5 3 2" xfId="22357" xr:uid="{F26F8F54-FA7D-42FF-94AE-05E1093F5A87}"/>
    <cellStyle name="40% - Accent5 2 3 5 3 3" xfId="14736" xr:uid="{21CBAD68-4A48-4AC7-8C45-71A70EBAE7FE}"/>
    <cellStyle name="40% - Accent5 2 3 5 4" xfId="18144" xr:uid="{45073063-C4DA-4A4A-A43C-4490FF95D437}"/>
    <cellStyle name="40% - Accent5 2 3 5 5" xfId="10523" xr:uid="{947A0C11-45A8-4630-BB63-C9CC51B68EFB}"/>
    <cellStyle name="40% - Accent5 2 3 6" xfId="2348" xr:uid="{00000000-0005-0000-0000-00007C060000}"/>
    <cellStyle name="40% - Accent5 2 3 6 2" xfId="6654" xr:uid="{00000000-0005-0000-0000-00007D060000}"/>
    <cellStyle name="40% - Accent5 2 3 6 2 2" xfId="22770" xr:uid="{CD47D76E-0FB1-41E6-A778-F009106C2094}"/>
    <cellStyle name="40% - Accent5 2 3 6 2 3" xfId="15149" xr:uid="{DF0DA793-E1BE-4F9A-82F0-06DF911D8084}"/>
    <cellStyle name="40% - Accent5 2 3 6 3" xfId="18557" xr:uid="{688FA50C-3A3D-4A73-9916-CBC9FABFFDDA}"/>
    <cellStyle name="40% - Accent5 2 3 6 4" xfId="10936" xr:uid="{088A35D3-0A87-4797-A39C-D744AC7B68ED}"/>
    <cellStyle name="40% - Accent5 2 3 7" xfId="4588" xr:uid="{00000000-0005-0000-0000-00007E060000}"/>
    <cellStyle name="40% - Accent5 2 3 7 2" xfId="20705" xr:uid="{A73F781C-ECE8-446D-A247-4EA74BFB36A8}"/>
    <cellStyle name="40% - Accent5 2 3 7 3" xfId="13084" xr:uid="{2D024A85-C56D-4876-B812-0A5719748FC6}"/>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2 2 2" xfId="23260" xr:uid="{90C554B8-520F-4E0C-9C66-C4B49A69B800}"/>
    <cellStyle name="40% - Accent5 2 4 2 2 3" xfId="15639" xr:uid="{5C48515F-D33C-4AC7-AAD1-05971B375C8F}"/>
    <cellStyle name="40% - Accent5 2 4 2 3" xfId="19047" xr:uid="{97606473-5900-4EC6-AE1A-020C69FEA6ED}"/>
    <cellStyle name="40% - Accent5 2 4 2 4" xfId="11426" xr:uid="{7391297E-2CC5-4105-9D03-25230AA624E5}"/>
    <cellStyle name="40% - Accent5 2 4 3" xfId="4999" xr:uid="{00000000-0005-0000-0000-000082060000}"/>
    <cellStyle name="40% - Accent5 2 4 3 2" xfId="21115" xr:uid="{890BDF29-3D68-46F6-BA89-D170433A5975}"/>
    <cellStyle name="40% - Accent5 2 4 3 3" xfId="13494" xr:uid="{9F0FB5FD-C2C5-480C-AB0A-427865834D77}"/>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2 2 2" xfId="23673" xr:uid="{3AF2EB01-A178-4241-B208-A050E8B68CFC}"/>
    <cellStyle name="40% - Accent5 2 5 2 2 3" xfId="16052" xr:uid="{4E0A3527-0235-4DD7-AD04-944F8E396E7D}"/>
    <cellStyle name="40% - Accent5 2 5 2 3" xfId="19460" xr:uid="{F9D0C1B3-B8EA-4E32-9E3A-9F77D2AD0348}"/>
    <cellStyle name="40% - Accent5 2 5 2 4" xfId="11839" xr:uid="{46D3018D-6607-47D9-A002-C766B94DA325}"/>
    <cellStyle name="40% - Accent5 2 5 3" xfId="5412" xr:uid="{00000000-0005-0000-0000-000086060000}"/>
    <cellStyle name="40% - Accent5 2 5 3 2" xfId="21528" xr:uid="{FD6FC202-5BFA-48B1-9FF7-2E3005408C26}"/>
    <cellStyle name="40% - Accent5 2 5 3 3" xfId="13907" xr:uid="{7FD43E8A-507A-43A3-B661-B63DCD2E5CC6}"/>
    <cellStyle name="40% - Accent5 2 5 4" xfId="17315" xr:uid="{82CE9F05-4D58-482F-9C02-11571AA5F59C}"/>
    <cellStyle name="40% - Accent5 2 5 5" xfId="9694" xr:uid="{CBF34E88-5C95-46E1-B437-E1BD1A6FEDE7}"/>
    <cellStyle name="40% - Accent5 2 6" xfId="1518" xr:uid="{00000000-0005-0000-0000-000087060000}"/>
    <cellStyle name="40% - Accent5 2 6 2" xfId="3748" xr:uid="{00000000-0005-0000-0000-000088060000}"/>
    <cellStyle name="40% - Accent5 2 6 2 2" xfId="7970" xr:uid="{00000000-0005-0000-0000-000089060000}"/>
    <cellStyle name="40% - Accent5 2 6 2 2 2" xfId="24086" xr:uid="{DFFE912D-1EE9-4C02-98B8-0C92A737A20F}"/>
    <cellStyle name="40% - Accent5 2 6 2 2 3" xfId="16465" xr:uid="{640703BC-33E5-45BB-8DEF-17940D3BEBC4}"/>
    <cellStyle name="40% - Accent5 2 6 2 3" xfId="19873" xr:uid="{F0B2A722-E181-4743-A95B-42C2FA7E79EC}"/>
    <cellStyle name="40% - Accent5 2 6 2 4" xfId="12252" xr:uid="{A16CC4C9-1105-4A6A-9C7D-87BDF3CCB034}"/>
    <cellStyle name="40% - Accent5 2 6 3" xfId="5825" xr:uid="{00000000-0005-0000-0000-00008A060000}"/>
    <cellStyle name="40% - Accent5 2 6 3 2" xfId="21941" xr:uid="{6E435593-6C9F-47B3-BC48-2D86599DC081}"/>
    <cellStyle name="40% - Accent5 2 6 3 3" xfId="14320" xr:uid="{6FCE009E-E909-4A6C-A2A3-224E0D28E73F}"/>
    <cellStyle name="40% - Accent5 2 6 4" xfId="17728" xr:uid="{667BA6AC-F058-438C-BD6A-B1A251E74C81}"/>
    <cellStyle name="40% - Accent5 2 6 5" xfId="10107" xr:uid="{E2491BB4-39B5-40B2-8136-5BC424CD2C4B}"/>
    <cellStyle name="40% - Accent5 2 7" xfId="1932" xr:uid="{00000000-0005-0000-0000-00008B060000}"/>
    <cellStyle name="40% - Accent5 2 7 2" xfId="4161" xr:uid="{00000000-0005-0000-0000-00008C060000}"/>
    <cellStyle name="40% - Accent5 2 7 2 2" xfId="8383" xr:uid="{00000000-0005-0000-0000-00008D060000}"/>
    <cellStyle name="40% - Accent5 2 7 2 2 2" xfId="24499" xr:uid="{9FD62D4C-1BED-4057-B08D-2C3BFBBA8ADE}"/>
    <cellStyle name="40% - Accent5 2 7 2 2 3" xfId="16878" xr:uid="{D25E4FE3-8246-43E5-AD9C-573A6C9889F9}"/>
    <cellStyle name="40% - Accent5 2 7 2 3" xfId="20286" xr:uid="{1E2B942B-4EEF-4B2C-8FC3-49208BA163B8}"/>
    <cellStyle name="40% - Accent5 2 7 2 4" xfId="12665" xr:uid="{FC1ABBA9-D692-4A39-9088-2F6690E63581}"/>
    <cellStyle name="40% - Accent5 2 7 3" xfId="6238" xr:uid="{00000000-0005-0000-0000-00008E060000}"/>
    <cellStyle name="40% - Accent5 2 7 3 2" xfId="22354" xr:uid="{A770555F-74C7-4CA5-BAF4-F8A3225BAD6B}"/>
    <cellStyle name="40% - Accent5 2 7 3 3" xfId="14733" xr:uid="{1AA0F098-1019-469D-A51F-D6CA96BA6735}"/>
    <cellStyle name="40% - Accent5 2 7 4" xfId="18141" xr:uid="{99686C15-4814-4F30-8363-9EDC4C411F90}"/>
    <cellStyle name="40% - Accent5 2 7 5" xfId="10520" xr:uid="{BA6F4F93-F65E-4BF3-BF88-31310F6636B5}"/>
    <cellStyle name="40% - Accent5 2 8" xfId="2345" xr:uid="{00000000-0005-0000-0000-00008F060000}"/>
    <cellStyle name="40% - Accent5 2 8 2" xfId="6651" xr:uid="{00000000-0005-0000-0000-000090060000}"/>
    <cellStyle name="40% - Accent5 2 8 2 2" xfId="22767" xr:uid="{D1E9811C-B443-41D8-9A57-CDCD16FD983D}"/>
    <cellStyle name="40% - Accent5 2 8 2 3" xfId="15146" xr:uid="{5A909368-6241-4B65-8CCE-C9124C3177F9}"/>
    <cellStyle name="40% - Accent5 2 8 3" xfId="18554" xr:uid="{D52A404D-70C6-4BFA-8205-76EC13167489}"/>
    <cellStyle name="40% - Accent5 2 8 4" xfId="10933" xr:uid="{3DFB34E3-FF6D-4E98-9B13-682D7298F70F}"/>
    <cellStyle name="40% - Accent5 2 9" xfId="4585" xr:uid="{00000000-0005-0000-0000-000091060000}"/>
    <cellStyle name="40% - Accent5 2 9 2" xfId="20702" xr:uid="{0CC02BC3-F875-4A80-8FC5-5051A4A59C49}"/>
    <cellStyle name="40% - Accent5 2 9 3" xfId="13081" xr:uid="{DAB9C6E2-69EB-4A2D-B025-ADDF2BF4E4CE}"/>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23265" xr:uid="{28CECB81-1433-460D-8640-EEA56F7D9874}"/>
    <cellStyle name="40% - Accent5 3 2 2 2 2 3" xfId="15644" xr:uid="{1DE6D606-4055-439C-9784-1A6EF2FB7D69}"/>
    <cellStyle name="40% - Accent5 3 2 2 2 3" xfId="19052" xr:uid="{970C7316-2873-4F6D-BC20-248C403A8B78}"/>
    <cellStyle name="40% - Accent5 3 2 2 2 4" xfId="11431" xr:uid="{754C254D-6B8E-4D27-9651-B7CD3F7B1A31}"/>
    <cellStyle name="40% - Accent5 3 2 2 3" xfId="5004" xr:uid="{00000000-0005-0000-0000-000097060000}"/>
    <cellStyle name="40% - Accent5 3 2 2 3 2" xfId="21120" xr:uid="{94D1ABBF-9DAF-4C77-9400-5AACA76C9BA7}"/>
    <cellStyle name="40% - Accent5 3 2 2 3 3" xfId="13499" xr:uid="{CB80F42B-6B94-480D-B4B3-1846CE633CBD}"/>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23678" xr:uid="{291CAE10-17B7-4776-9908-7E1BC8F66A02}"/>
    <cellStyle name="40% - Accent5 3 2 3 2 2 3" xfId="16057" xr:uid="{1BDDC8D1-BB6B-45BD-887F-B9339A6C2D7D}"/>
    <cellStyle name="40% - Accent5 3 2 3 2 3" xfId="19465" xr:uid="{4C0843CA-4F86-4F99-AB8C-C4DA2460DA53}"/>
    <cellStyle name="40% - Accent5 3 2 3 2 4" xfId="11844" xr:uid="{51D4BF68-79F2-4281-998D-5201AA2B7B87}"/>
    <cellStyle name="40% - Accent5 3 2 3 3" xfId="5417" xr:uid="{00000000-0005-0000-0000-00009B060000}"/>
    <cellStyle name="40% - Accent5 3 2 3 3 2" xfId="21533" xr:uid="{2874CBBC-04DE-47DA-AFC5-36CCB9D86AD0}"/>
    <cellStyle name="40% - Accent5 3 2 3 3 3" xfId="13912" xr:uid="{3D18DD2A-C02F-48BD-BEB5-1E9C963168B9}"/>
    <cellStyle name="40% - Accent5 3 2 3 4" xfId="17320" xr:uid="{3899902E-22FC-4B89-B1C8-A3D414EDCC19}"/>
    <cellStyle name="40% - Accent5 3 2 3 5" xfId="9699" xr:uid="{C3041520-C302-4B13-8817-DDDDBD8EEECA}"/>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24091" xr:uid="{4F5D1F94-92F2-4186-8FFA-EE239A3D8DB0}"/>
    <cellStyle name="40% - Accent5 3 2 4 2 2 3" xfId="16470" xr:uid="{0A2CCBCD-786A-4E4F-8C14-F011204A7A08}"/>
    <cellStyle name="40% - Accent5 3 2 4 2 3" xfId="19878" xr:uid="{D6659E93-083F-46AC-B214-1E00588FD30C}"/>
    <cellStyle name="40% - Accent5 3 2 4 2 4" xfId="12257" xr:uid="{AD6DF0F5-5EF3-491C-9C00-E31684EAA94B}"/>
    <cellStyle name="40% - Accent5 3 2 4 3" xfId="5830" xr:uid="{00000000-0005-0000-0000-00009F060000}"/>
    <cellStyle name="40% - Accent5 3 2 4 3 2" xfId="21946" xr:uid="{9ABE9720-8DE4-4609-AA1E-100DDF3B46BB}"/>
    <cellStyle name="40% - Accent5 3 2 4 3 3" xfId="14325" xr:uid="{065262CA-B544-432A-83C2-A6A12E5683D7}"/>
    <cellStyle name="40% - Accent5 3 2 4 4" xfId="17733" xr:uid="{E48E6CC3-4C1E-4195-B9D2-6D99611F7244}"/>
    <cellStyle name="40% - Accent5 3 2 4 5" xfId="10112" xr:uid="{BBB0CF63-9228-4B6C-BAFC-16FE86C8E014}"/>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24504" xr:uid="{3FA8F7F9-66FB-4A7D-89E2-02647A743A10}"/>
    <cellStyle name="40% - Accent5 3 2 5 2 2 3" xfId="16883" xr:uid="{EDF31834-25F1-46FC-8A2D-9551E78C8EF9}"/>
    <cellStyle name="40% - Accent5 3 2 5 2 3" xfId="20291" xr:uid="{096F9FEB-9AF2-43F8-8C98-71134D8AD8FF}"/>
    <cellStyle name="40% - Accent5 3 2 5 2 4" xfId="12670" xr:uid="{4C001599-40C6-44C4-A01A-17944601178C}"/>
    <cellStyle name="40% - Accent5 3 2 5 3" xfId="6243" xr:uid="{00000000-0005-0000-0000-0000A3060000}"/>
    <cellStyle name="40% - Accent5 3 2 5 3 2" xfId="22359" xr:uid="{34F8F9E2-FBF7-4116-A0CE-D00601F24252}"/>
    <cellStyle name="40% - Accent5 3 2 5 3 3" xfId="14738" xr:uid="{79FC16A7-A59E-41B4-B4A4-AD92234F1BA8}"/>
    <cellStyle name="40% - Accent5 3 2 5 4" xfId="18146" xr:uid="{A7A9C360-74DD-4580-92C8-67EB26512FCE}"/>
    <cellStyle name="40% - Accent5 3 2 5 5" xfId="10525" xr:uid="{5C28D1EF-7B09-4AA8-9F14-15C7AE348702}"/>
    <cellStyle name="40% - Accent5 3 2 6" xfId="2350" xr:uid="{00000000-0005-0000-0000-0000A4060000}"/>
    <cellStyle name="40% - Accent5 3 2 6 2" xfId="6656" xr:uid="{00000000-0005-0000-0000-0000A5060000}"/>
    <cellStyle name="40% - Accent5 3 2 6 2 2" xfId="22772" xr:uid="{A8D5DED5-5CB9-472E-94C3-51DEA61FDCD7}"/>
    <cellStyle name="40% - Accent5 3 2 6 2 3" xfId="15151" xr:uid="{ED1D0D53-9067-4BF5-9978-4BFC2281A4CF}"/>
    <cellStyle name="40% - Accent5 3 2 6 3" xfId="18559" xr:uid="{E4B4C9D0-A477-4F5C-B74D-A310AB607A1B}"/>
    <cellStyle name="40% - Accent5 3 2 6 4" xfId="10938" xr:uid="{ED8B71C4-302D-4D66-BF51-49117E878F05}"/>
    <cellStyle name="40% - Accent5 3 2 7" xfId="4590" xr:uid="{00000000-0005-0000-0000-0000A6060000}"/>
    <cellStyle name="40% - Accent5 3 2 7 2" xfId="20707" xr:uid="{4D54A058-12C3-406F-903E-375EE7FA7F2F}"/>
    <cellStyle name="40% - Accent5 3 2 7 3" xfId="13086" xr:uid="{C66E6E70-73A3-4ABF-9D17-EC7CFDB20776}"/>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2 2 2" xfId="23264" xr:uid="{852D0383-D3C7-4E37-844C-4ACB30583906}"/>
    <cellStyle name="40% - Accent5 3 3 2 2 3" xfId="15643" xr:uid="{517AA7AB-9538-4FF8-8E7E-46848FA59349}"/>
    <cellStyle name="40% - Accent5 3 3 2 3" xfId="19051" xr:uid="{BF6DF3C7-2B1D-4A87-B4DE-FC6E1A608DC1}"/>
    <cellStyle name="40% - Accent5 3 3 2 4" xfId="11430" xr:uid="{BA8C38D5-8E6B-4D69-9396-91ABF7DAEF7A}"/>
    <cellStyle name="40% - Accent5 3 3 3" xfId="5003" xr:uid="{00000000-0005-0000-0000-0000AA060000}"/>
    <cellStyle name="40% - Accent5 3 3 3 2" xfId="21119" xr:uid="{D5638D4A-48CF-4763-A1D4-ED6C23B9CA87}"/>
    <cellStyle name="40% - Accent5 3 3 3 3" xfId="13498" xr:uid="{67BF2095-FB8A-460C-AC12-5DC9D9A9B5F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2 2 2" xfId="23677" xr:uid="{AECF62E9-2DDC-40E1-9416-7116E12A0C74}"/>
    <cellStyle name="40% - Accent5 3 4 2 2 3" xfId="16056" xr:uid="{EE8C9B4F-7880-4224-93FE-3B4F440A5732}"/>
    <cellStyle name="40% - Accent5 3 4 2 3" xfId="19464" xr:uid="{7691C901-D0A5-4CF1-AEF5-9E749FD889DC}"/>
    <cellStyle name="40% - Accent5 3 4 2 4" xfId="11843" xr:uid="{E8336C34-627C-4E01-9C66-3B6445AA64FB}"/>
    <cellStyle name="40% - Accent5 3 4 3" xfId="5416" xr:uid="{00000000-0005-0000-0000-0000AE060000}"/>
    <cellStyle name="40% - Accent5 3 4 3 2" xfId="21532" xr:uid="{E72FAA2F-4F50-4A88-BA1F-BFE3618619D2}"/>
    <cellStyle name="40% - Accent5 3 4 3 3" xfId="13911" xr:uid="{3A5626D1-5543-4329-A57D-9AAE113B3211}"/>
    <cellStyle name="40% - Accent5 3 4 4" xfId="17319" xr:uid="{E4F8FD21-4F5F-4AEB-8284-9606F662364E}"/>
    <cellStyle name="40% - Accent5 3 4 5" xfId="9698" xr:uid="{3E5AF592-3B3E-4AF2-B052-5E498CFDAB1C}"/>
    <cellStyle name="40% - Accent5 3 5" xfId="1522" xr:uid="{00000000-0005-0000-0000-0000AF060000}"/>
    <cellStyle name="40% - Accent5 3 5 2" xfId="3752" xr:uid="{00000000-0005-0000-0000-0000B0060000}"/>
    <cellStyle name="40% - Accent5 3 5 2 2" xfId="7974" xr:uid="{00000000-0005-0000-0000-0000B1060000}"/>
    <cellStyle name="40% - Accent5 3 5 2 2 2" xfId="24090" xr:uid="{37A91699-EE9F-4BE4-BA54-1A0D9B3EE78E}"/>
    <cellStyle name="40% - Accent5 3 5 2 2 3" xfId="16469" xr:uid="{3F0E3B31-723A-42AA-9562-8E0832015F12}"/>
    <cellStyle name="40% - Accent5 3 5 2 3" xfId="19877" xr:uid="{C911E6E6-587A-4460-88E1-33D596D3E804}"/>
    <cellStyle name="40% - Accent5 3 5 2 4" xfId="12256" xr:uid="{7FE7EB2D-77DA-47AD-961A-0CF044CB86AA}"/>
    <cellStyle name="40% - Accent5 3 5 3" xfId="5829" xr:uid="{00000000-0005-0000-0000-0000B2060000}"/>
    <cellStyle name="40% - Accent5 3 5 3 2" xfId="21945" xr:uid="{C17D778D-CDD4-413F-A8D1-5833FCC52D30}"/>
    <cellStyle name="40% - Accent5 3 5 3 3" xfId="14324" xr:uid="{C181E318-EBA1-49B4-BE51-54081CD9A39D}"/>
    <cellStyle name="40% - Accent5 3 5 4" xfId="17732" xr:uid="{F8A1AD7D-DE32-4121-8949-EF1706C84388}"/>
    <cellStyle name="40% - Accent5 3 5 5" xfId="10111" xr:uid="{744E1E08-5A8F-4307-B575-381D4949F042}"/>
    <cellStyle name="40% - Accent5 3 6" xfId="1936" xr:uid="{00000000-0005-0000-0000-0000B3060000}"/>
    <cellStyle name="40% - Accent5 3 6 2" xfId="4165" xr:uid="{00000000-0005-0000-0000-0000B4060000}"/>
    <cellStyle name="40% - Accent5 3 6 2 2" xfId="8387" xr:uid="{00000000-0005-0000-0000-0000B5060000}"/>
    <cellStyle name="40% - Accent5 3 6 2 2 2" xfId="24503" xr:uid="{6682AF39-5A69-45E2-81DA-3A523A970A14}"/>
    <cellStyle name="40% - Accent5 3 6 2 2 3" xfId="16882" xr:uid="{FDE5A314-3BB2-4A2A-8A1C-14D25B565A07}"/>
    <cellStyle name="40% - Accent5 3 6 2 3" xfId="20290" xr:uid="{652ADF18-90D4-494C-9A5A-541616B1184A}"/>
    <cellStyle name="40% - Accent5 3 6 2 4" xfId="12669" xr:uid="{F9F7909B-9E45-4BEE-9593-5E934E174E35}"/>
    <cellStyle name="40% - Accent5 3 6 3" xfId="6242" xr:uid="{00000000-0005-0000-0000-0000B6060000}"/>
    <cellStyle name="40% - Accent5 3 6 3 2" xfId="22358" xr:uid="{2D2D113E-5C8C-42C2-8C89-D96FC894ADD9}"/>
    <cellStyle name="40% - Accent5 3 6 3 3" xfId="14737" xr:uid="{8A0EA5EC-AA96-4430-B5E9-45F2C08CE367}"/>
    <cellStyle name="40% - Accent5 3 6 4" xfId="18145" xr:uid="{B1DCE82C-29B9-4509-ACB3-2EC217163FD9}"/>
    <cellStyle name="40% - Accent5 3 6 5" xfId="10524" xr:uid="{8E603A0A-B627-4660-9FA7-68C32818D68F}"/>
    <cellStyle name="40% - Accent5 3 7" xfId="2349" xr:uid="{00000000-0005-0000-0000-0000B7060000}"/>
    <cellStyle name="40% - Accent5 3 7 2" xfId="6655" xr:uid="{00000000-0005-0000-0000-0000B8060000}"/>
    <cellStyle name="40% - Accent5 3 7 2 2" xfId="22771" xr:uid="{E05AE73C-D4A8-4E3A-8D20-FA3429A9D07F}"/>
    <cellStyle name="40% - Accent5 3 7 2 3" xfId="15150" xr:uid="{A7279EFE-B395-478D-B20C-77D2A5943582}"/>
    <cellStyle name="40% - Accent5 3 7 3" xfId="18558" xr:uid="{2B70ED4E-6233-438A-874B-1BB4042F1922}"/>
    <cellStyle name="40% - Accent5 3 7 4" xfId="10937" xr:uid="{794DF43B-8FC6-43F7-985A-353B5B5F2923}"/>
    <cellStyle name="40% - Accent5 3 8" xfId="4589" xr:uid="{00000000-0005-0000-0000-0000B9060000}"/>
    <cellStyle name="40% - Accent5 3 8 2" xfId="20706" xr:uid="{AAC64C64-ABA3-4F7B-A1C9-DA03801C3050}"/>
    <cellStyle name="40% - Accent5 3 8 3" xfId="13085" xr:uid="{6D6645AF-5D57-43AB-92B9-4A63FC0AE06E}"/>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23266" xr:uid="{A7EE4A93-FDFF-4379-A956-8BA77E5E4063}"/>
    <cellStyle name="40% - Accent5 4 2 2 2 3" xfId="15645" xr:uid="{CA306170-9604-40C9-9926-3ACC70B90965}"/>
    <cellStyle name="40% - Accent5 4 2 2 3" xfId="19053" xr:uid="{2B377B22-08EB-42F1-B136-6DD724022422}"/>
    <cellStyle name="40% - Accent5 4 2 2 4" xfId="11432" xr:uid="{0479B7AE-A6A7-4D36-97B6-E20F01E3A1E3}"/>
    <cellStyle name="40% - Accent5 4 2 3" xfId="5005" xr:uid="{00000000-0005-0000-0000-0000BE060000}"/>
    <cellStyle name="40% - Accent5 4 2 3 2" xfId="21121" xr:uid="{8993049C-DE6B-4435-915E-B1575AF88F1F}"/>
    <cellStyle name="40% - Accent5 4 2 3 3" xfId="13500" xr:uid="{CF656171-9814-47C0-B9BC-DE2A4A60DE99}"/>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2 2 2" xfId="23679" xr:uid="{19B27D17-D4A5-4EEC-8C74-3F41C1F96C06}"/>
    <cellStyle name="40% - Accent5 4 3 2 2 3" xfId="16058" xr:uid="{6BCEEB0A-7936-4D87-A8E2-4CEFD575849F}"/>
    <cellStyle name="40% - Accent5 4 3 2 3" xfId="19466" xr:uid="{3E957B88-0458-49A2-8A71-0DAE41A2A6A0}"/>
    <cellStyle name="40% - Accent5 4 3 2 4" xfId="11845" xr:uid="{9BD06F1A-A1C5-45EC-A48B-4B4EB9777465}"/>
    <cellStyle name="40% - Accent5 4 3 3" xfId="5418" xr:uid="{00000000-0005-0000-0000-0000C2060000}"/>
    <cellStyle name="40% - Accent5 4 3 3 2" xfId="21534" xr:uid="{CCBC56B6-ABB9-4FAE-B242-12F1150D5959}"/>
    <cellStyle name="40% - Accent5 4 3 3 3" xfId="13913" xr:uid="{E2475235-355B-4CFB-B772-1DDFD23D0B49}"/>
    <cellStyle name="40% - Accent5 4 3 4" xfId="17321" xr:uid="{3209BE01-D894-4C85-8083-ECCC17826038}"/>
    <cellStyle name="40% - Accent5 4 3 5" xfId="9700" xr:uid="{B4D111B5-5077-463A-833C-C80D94561207}"/>
    <cellStyle name="40% - Accent5 4 4" xfId="1524" xr:uid="{00000000-0005-0000-0000-0000C3060000}"/>
    <cellStyle name="40% - Accent5 4 4 2" xfId="3754" xr:uid="{00000000-0005-0000-0000-0000C4060000}"/>
    <cellStyle name="40% - Accent5 4 4 2 2" xfId="7976" xr:uid="{00000000-0005-0000-0000-0000C5060000}"/>
    <cellStyle name="40% - Accent5 4 4 2 2 2" xfId="24092" xr:uid="{0CD1C677-5455-408B-9D81-8D41239A0148}"/>
    <cellStyle name="40% - Accent5 4 4 2 2 3" xfId="16471" xr:uid="{E3BB3EFE-097A-4F32-B09B-0A93CC15D514}"/>
    <cellStyle name="40% - Accent5 4 4 2 3" xfId="19879" xr:uid="{D681378A-EFBC-47BD-B087-70A683CD3E09}"/>
    <cellStyle name="40% - Accent5 4 4 2 4" xfId="12258" xr:uid="{42638E1F-652C-4A9A-8499-CDE119D6B24E}"/>
    <cellStyle name="40% - Accent5 4 4 3" xfId="5831" xr:uid="{00000000-0005-0000-0000-0000C6060000}"/>
    <cellStyle name="40% - Accent5 4 4 3 2" xfId="21947" xr:uid="{768AE61A-DC73-4D9A-B167-7B9A5E1CA7EB}"/>
    <cellStyle name="40% - Accent5 4 4 3 3" xfId="14326" xr:uid="{16D0A0BC-C803-4CFE-A73B-FD9AC24B87A3}"/>
    <cellStyle name="40% - Accent5 4 4 4" xfId="17734" xr:uid="{5DD806F9-117C-4F5D-A375-E802536C760C}"/>
    <cellStyle name="40% - Accent5 4 4 5" xfId="10113" xr:uid="{14392EB9-8EBE-499F-8D43-B302F81E8A6F}"/>
    <cellStyle name="40% - Accent5 4 5" xfId="1938" xr:uid="{00000000-0005-0000-0000-0000C7060000}"/>
    <cellStyle name="40% - Accent5 4 5 2" xfId="4167" xr:uid="{00000000-0005-0000-0000-0000C8060000}"/>
    <cellStyle name="40% - Accent5 4 5 2 2" xfId="8389" xr:uid="{00000000-0005-0000-0000-0000C9060000}"/>
    <cellStyle name="40% - Accent5 4 5 2 2 2" xfId="24505" xr:uid="{768DBDB4-059C-408B-9C98-9A6CF9A0AA3B}"/>
    <cellStyle name="40% - Accent5 4 5 2 2 3" xfId="16884" xr:uid="{4938D196-7F1D-4D80-8440-12B7687193BF}"/>
    <cellStyle name="40% - Accent5 4 5 2 3" xfId="20292" xr:uid="{89DDCEE4-34A6-4960-8DFE-5F910DC1CB2E}"/>
    <cellStyle name="40% - Accent5 4 5 2 4" xfId="12671" xr:uid="{6E2B574A-2585-43DD-B236-6D0EBE5161D7}"/>
    <cellStyle name="40% - Accent5 4 5 3" xfId="6244" xr:uid="{00000000-0005-0000-0000-0000CA060000}"/>
    <cellStyle name="40% - Accent5 4 5 3 2" xfId="22360" xr:uid="{66F58E3F-0453-42DC-ABE8-68BFFE6145AE}"/>
    <cellStyle name="40% - Accent5 4 5 3 3" xfId="14739" xr:uid="{EE7C92C7-1B11-4CDC-9986-CDDB901CF912}"/>
    <cellStyle name="40% - Accent5 4 5 4" xfId="18147" xr:uid="{FAC4358B-0DBA-4E49-A805-EF7CD987783A}"/>
    <cellStyle name="40% - Accent5 4 5 5" xfId="10526" xr:uid="{A3ABD5F2-CC13-401C-99A4-172863940837}"/>
    <cellStyle name="40% - Accent5 4 6" xfId="2351" xr:uid="{00000000-0005-0000-0000-0000CB060000}"/>
    <cellStyle name="40% - Accent5 4 6 2" xfId="6657" xr:uid="{00000000-0005-0000-0000-0000CC060000}"/>
    <cellStyle name="40% - Accent5 4 6 2 2" xfId="22773" xr:uid="{E0C5F926-BEFB-4F78-8061-5ED5D6DC16CB}"/>
    <cellStyle name="40% - Accent5 4 6 2 3" xfId="15152" xr:uid="{192F8F25-7C32-421F-B5B6-E20C65A704FC}"/>
    <cellStyle name="40% - Accent5 4 6 3" xfId="18560" xr:uid="{A326AC85-4CD0-4970-93AD-D00A56C2D378}"/>
    <cellStyle name="40% - Accent5 4 6 4" xfId="10939" xr:uid="{07639328-5A3F-4232-B0A4-7DBEDC642D5C}"/>
    <cellStyle name="40% - Accent5 4 7" xfId="4591" xr:uid="{00000000-0005-0000-0000-0000CD060000}"/>
    <cellStyle name="40% - Accent5 4 7 2" xfId="20708" xr:uid="{3DBD88C7-8139-4D1B-BC6D-1E60B04CCDE4}"/>
    <cellStyle name="40% - Accent5 4 7 3" xfId="13087" xr:uid="{6F61678A-0C76-429F-A081-55B1F651FBD8}"/>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2 2 2" xfId="23259" xr:uid="{FF302119-7C49-49AC-BD59-40CF193868B9}"/>
    <cellStyle name="40% - Accent5 5 2 2 3" xfId="15638" xr:uid="{408FD19B-2255-4E48-BF0C-B3E2C8E192F3}"/>
    <cellStyle name="40% - Accent5 5 2 3" xfId="19046" xr:uid="{12E1FBF4-40D6-4868-88E7-06CC13426F4A}"/>
    <cellStyle name="40% - Accent5 5 2 4" xfId="11425" xr:uid="{8528F075-C55E-4333-98D5-22A850238BF2}"/>
    <cellStyle name="40% - Accent5 5 3" xfId="4998" xr:uid="{00000000-0005-0000-0000-0000D1060000}"/>
    <cellStyle name="40% - Accent5 5 3 2" xfId="21114" xr:uid="{A3B62E0B-DBDC-460A-9797-B937D1478523}"/>
    <cellStyle name="40% - Accent5 5 3 3" xfId="13493" xr:uid="{11467761-F14E-47A9-A193-4DFA6E27EF7E}"/>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2 2 2" xfId="23672" xr:uid="{FF23F38C-2B3B-45F7-9E09-BF1B6F0ADEBA}"/>
    <cellStyle name="40% - Accent5 6 2 2 3" xfId="16051" xr:uid="{8643C775-C2D2-4B07-BD1A-6DEB6AFF34E9}"/>
    <cellStyle name="40% - Accent5 6 2 3" xfId="19459" xr:uid="{B442DD6D-920D-493E-BB16-E28457D2CE35}"/>
    <cellStyle name="40% - Accent5 6 2 4" xfId="11838" xr:uid="{8078C907-5749-4A69-83EB-0CD864E79340}"/>
    <cellStyle name="40% - Accent5 6 3" xfId="5411" xr:uid="{00000000-0005-0000-0000-0000D5060000}"/>
    <cellStyle name="40% - Accent5 6 3 2" xfId="21527" xr:uid="{00FE57FC-FB4F-46FF-9DDA-705A74F25AFA}"/>
    <cellStyle name="40% - Accent5 6 3 3" xfId="13906" xr:uid="{EC6DC206-7E20-4AFF-9F50-D57613A361D9}"/>
    <cellStyle name="40% - Accent5 6 4" xfId="17314" xr:uid="{7BC9F2BF-A4EB-40CC-AC2F-0741C1CFA7B9}"/>
    <cellStyle name="40% - Accent5 6 5" xfId="9693" xr:uid="{9FEEB3F4-BA38-4CEC-939C-C270EDC98568}"/>
    <cellStyle name="40% - Accent5 7" xfId="1517" xr:uid="{00000000-0005-0000-0000-0000D6060000}"/>
    <cellStyle name="40% - Accent5 7 2" xfId="3747" xr:uid="{00000000-0005-0000-0000-0000D7060000}"/>
    <cellStyle name="40% - Accent5 7 2 2" xfId="7969" xr:uid="{00000000-0005-0000-0000-0000D8060000}"/>
    <cellStyle name="40% - Accent5 7 2 2 2" xfId="24085" xr:uid="{1142CC6B-15FE-40D0-9B22-AB6DB8567499}"/>
    <cellStyle name="40% - Accent5 7 2 2 3" xfId="16464" xr:uid="{0815B7EA-150C-4712-8660-12F01064C1A5}"/>
    <cellStyle name="40% - Accent5 7 2 3" xfId="19872" xr:uid="{01FCA615-EF29-41C6-8942-240DA61D318A}"/>
    <cellStyle name="40% - Accent5 7 2 4" xfId="12251" xr:uid="{A5418C46-A7A1-4AFD-B1EB-41764D20BE91}"/>
    <cellStyle name="40% - Accent5 7 3" xfId="5824" xr:uid="{00000000-0005-0000-0000-0000D9060000}"/>
    <cellStyle name="40% - Accent5 7 3 2" xfId="21940" xr:uid="{0CC9766F-43B0-4963-AA2E-36DCB939BFFC}"/>
    <cellStyle name="40% - Accent5 7 3 3" xfId="14319" xr:uid="{15FE8E50-199F-4C85-A4AC-90C75BB332E8}"/>
    <cellStyle name="40% - Accent5 7 4" xfId="17727" xr:uid="{512EECB3-6CF1-42FA-A0A8-CC7A56D43E77}"/>
    <cellStyle name="40% - Accent5 7 5" xfId="10106" xr:uid="{3DBC5299-ED2B-4153-9B10-9DF55F7FD06E}"/>
    <cellStyle name="40% - Accent5 8" xfId="1931" xr:uid="{00000000-0005-0000-0000-0000DA060000}"/>
    <cellStyle name="40% - Accent5 8 2" xfId="4160" xr:uid="{00000000-0005-0000-0000-0000DB060000}"/>
    <cellStyle name="40% - Accent5 8 2 2" xfId="8382" xr:uid="{00000000-0005-0000-0000-0000DC060000}"/>
    <cellStyle name="40% - Accent5 8 2 2 2" xfId="24498" xr:uid="{B8127585-CAE8-4E8E-8CC5-D4310F588696}"/>
    <cellStyle name="40% - Accent5 8 2 2 3" xfId="16877" xr:uid="{8AB6430A-F6AA-401C-B81E-5258B4BE21F7}"/>
    <cellStyle name="40% - Accent5 8 2 3" xfId="20285" xr:uid="{2BCC2B7E-F2BE-4228-97CB-4C4C6C09942E}"/>
    <cellStyle name="40% - Accent5 8 2 4" xfId="12664" xr:uid="{96FE4773-60E0-4D3F-B799-250CBF06B7CB}"/>
    <cellStyle name="40% - Accent5 8 3" xfId="6237" xr:uid="{00000000-0005-0000-0000-0000DD060000}"/>
    <cellStyle name="40% - Accent5 8 3 2" xfId="22353" xr:uid="{5C324AEC-7DAF-4CAE-A0A0-533A131EC5C4}"/>
    <cellStyle name="40% - Accent5 8 3 3" xfId="14732" xr:uid="{064D03D1-B10B-4099-8D3F-CBDE1418E778}"/>
    <cellStyle name="40% - Accent5 8 4" xfId="18140" xr:uid="{45AA903A-DCC3-4F15-B7FD-74D9E642FF9C}"/>
    <cellStyle name="40% - Accent5 8 5" xfId="10519" xr:uid="{2D594C28-18FB-4B06-A515-5A6E670B7549}"/>
    <cellStyle name="40% - Accent5 9" xfId="2344" xr:uid="{00000000-0005-0000-0000-0000DE060000}"/>
    <cellStyle name="40% - Accent5 9 2" xfId="6650" xr:uid="{00000000-0005-0000-0000-0000DF060000}"/>
    <cellStyle name="40% - Accent5 9 2 2" xfId="22766" xr:uid="{49CFC6C1-06FA-4521-8E13-F69E17374885}"/>
    <cellStyle name="40% - Accent5 9 2 3" xfId="15145" xr:uid="{D662C3CD-8814-4D71-AB9D-6C1D50453466}"/>
    <cellStyle name="40% - Accent5 9 3" xfId="18553" xr:uid="{C1262A4D-94EA-4C6D-9E69-AF2222130523}"/>
    <cellStyle name="40% - Accent5 9 4" xfId="10932" xr:uid="{5E51FCBC-FF43-41FB-B87E-87BA63AF15C7}"/>
    <cellStyle name="40% - Accent6" xfId="89" builtinId="51" customBuiltin="1"/>
    <cellStyle name="40% - Accent6 10" xfId="4592" xr:uid="{00000000-0005-0000-0000-0000E1060000}"/>
    <cellStyle name="40% - Accent6 10 2" xfId="20709" xr:uid="{73A22960-E392-440F-A0DA-45DA5CF0B454}"/>
    <cellStyle name="40% - Accent6 10 3" xfId="13088" xr:uid="{8607C5D8-CE4B-4D75-B39B-D9A7EA74C5D7}"/>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23270" xr:uid="{7343F2A9-122E-44CF-BE2A-A955BB9E14F2}"/>
    <cellStyle name="40% - Accent6 2 2 2 2 2 2 3" xfId="15649" xr:uid="{85CE5567-E18C-4DEB-8E91-EF4EEBC19456}"/>
    <cellStyle name="40% - Accent6 2 2 2 2 2 3" xfId="19057" xr:uid="{4D7E4F6F-CFE7-4AFA-8DBE-1BB9185B7CEC}"/>
    <cellStyle name="40% - Accent6 2 2 2 2 2 4" xfId="11436" xr:uid="{083EAF53-EBFF-4411-8B2F-E981ED785E9C}"/>
    <cellStyle name="40% - Accent6 2 2 2 2 3" xfId="5009" xr:uid="{00000000-0005-0000-0000-0000E8060000}"/>
    <cellStyle name="40% - Accent6 2 2 2 2 3 2" xfId="21125" xr:uid="{BB47A0D6-2827-4788-936E-E04A4CFFAF60}"/>
    <cellStyle name="40% - Accent6 2 2 2 2 3 3" xfId="13504" xr:uid="{66F81F73-4979-43FB-B280-7AF17DD35EB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23683" xr:uid="{F914ABF2-CF1D-4916-847F-2D427D5CDF78}"/>
    <cellStyle name="40% - Accent6 2 2 2 3 2 2 3" xfId="16062" xr:uid="{3912B27A-637C-43A5-B083-6B1B51F29878}"/>
    <cellStyle name="40% - Accent6 2 2 2 3 2 3" xfId="19470" xr:uid="{1462C3F6-05ED-4EF3-9FCF-41E48F009AF5}"/>
    <cellStyle name="40% - Accent6 2 2 2 3 2 4" xfId="11849" xr:uid="{0AF1F339-6BB3-433A-9BA7-AF9B989DB6C7}"/>
    <cellStyle name="40% - Accent6 2 2 2 3 3" xfId="5422" xr:uid="{00000000-0005-0000-0000-0000EC060000}"/>
    <cellStyle name="40% - Accent6 2 2 2 3 3 2" xfId="21538" xr:uid="{5DE90D15-0BD3-4756-9159-510A80605386}"/>
    <cellStyle name="40% - Accent6 2 2 2 3 3 3" xfId="13917" xr:uid="{EAA6431E-E04C-48AC-A1A8-F3F4550C6AF1}"/>
    <cellStyle name="40% - Accent6 2 2 2 3 4" xfId="17325" xr:uid="{1202B278-368C-44F7-BB82-BB14FD11DB15}"/>
    <cellStyle name="40% - Accent6 2 2 2 3 5" xfId="9704" xr:uid="{5C64B605-8B18-4545-BAEE-8D692DA4D588}"/>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24096" xr:uid="{701570B9-DBD4-4877-982E-4E8E7CDF2C98}"/>
    <cellStyle name="40% - Accent6 2 2 2 4 2 2 3" xfId="16475" xr:uid="{3478AA36-1B34-4AA4-B498-B0F7E2655BA4}"/>
    <cellStyle name="40% - Accent6 2 2 2 4 2 3" xfId="19883" xr:uid="{2D4B9E2F-6157-4356-8967-60AA7DBE35B1}"/>
    <cellStyle name="40% - Accent6 2 2 2 4 2 4" xfId="12262" xr:uid="{C6557121-BDD7-4108-9F12-505B15BF8752}"/>
    <cellStyle name="40% - Accent6 2 2 2 4 3" xfId="5835" xr:uid="{00000000-0005-0000-0000-0000F0060000}"/>
    <cellStyle name="40% - Accent6 2 2 2 4 3 2" xfId="21951" xr:uid="{07623210-1B3E-4F4C-A636-0DB232E4B2B4}"/>
    <cellStyle name="40% - Accent6 2 2 2 4 3 3" xfId="14330" xr:uid="{DEFB8DDB-1E1D-47F4-B394-61DF83429106}"/>
    <cellStyle name="40% - Accent6 2 2 2 4 4" xfId="17738" xr:uid="{6EB6B4B5-31C3-43C8-8E9E-4F5F75B2DF74}"/>
    <cellStyle name="40% - Accent6 2 2 2 4 5" xfId="10117" xr:uid="{A6FF34D6-BCA9-440A-9F96-EAF5EA1D9002}"/>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24509" xr:uid="{2C5DAFE6-6B26-4648-95CC-191C66FA304E}"/>
    <cellStyle name="40% - Accent6 2 2 2 5 2 2 3" xfId="16888" xr:uid="{FACD58BE-D5D1-4E5D-9D26-B591FBC6BAE1}"/>
    <cellStyle name="40% - Accent6 2 2 2 5 2 3" xfId="20296" xr:uid="{D5B2A2E4-75F9-4D71-A6E5-12F7041FEC53}"/>
    <cellStyle name="40% - Accent6 2 2 2 5 2 4" xfId="12675" xr:uid="{36D39DC8-B5B9-498D-AA4F-E800E6E581E8}"/>
    <cellStyle name="40% - Accent6 2 2 2 5 3" xfId="6248" xr:uid="{00000000-0005-0000-0000-0000F4060000}"/>
    <cellStyle name="40% - Accent6 2 2 2 5 3 2" xfId="22364" xr:uid="{BA0D8202-2E27-43C8-A2FC-71F7D5CC4D2E}"/>
    <cellStyle name="40% - Accent6 2 2 2 5 3 3" xfId="14743" xr:uid="{1E2C4BA0-B53F-4C0C-8649-7D72C911CAB8}"/>
    <cellStyle name="40% - Accent6 2 2 2 5 4" xfId="18151" xr:uid="{FC36D57A-F42E-4330-8C68-E5646A2FFC0A}"/>
    <cellStyle name="40% - Accent6 2 2 2 5 5" xfId="10530" xr:uid="{B32493BF-722D-4F78-A806-C5069AD1C2AE}"/>
    <cellStyle name="40% - Accent6 2 2 2 6" xfId="2355" xr:uid="{00000000-0005-0000-0000-0000F5060000}"/>
    <cellStyle name="40% - Accent6 2 2 2 6 2" xfId="6661" xr:uid="{00000000-0005-0000-0000-0000F6060000}"/>
    <cellStyle name="40% - Accent6 2 2 2 6 2 2" xfId="22777" xr:uid="{9170B2AA-5F73-4C56-81F8-CFE3D5F131B7}"/>
    <cellStyle name="40% - Accent6 2 2 2 6 2 3" xfId="15156" xr:uid="{A946A63F-924F-43A7-9923-208978CC7B4B}"/>
    <cellStyle name="40% - Accent6 2 2 2 6 3" xfId="18564" xr:uid="{9C14BE44-7EAC-442A-B44A-B77AA85C9FD5}"/>
    <cellStyle name="40% - Accent6 2 2 2 6 4" xfId="10943" xr:uid="{14CF2CB1-D05F-42D4-9F94-5130653F2147}"/>
    <cellStyle name="40% - Accent6 2 2 2 7" xfId="4595" xr:uid="{00000000-0005-0000-0000-0000F7060000}"/>
    <cellStyle name="40% - Accent6 2 2 2 7 2" xfId="20712" xr:uid="{FCB19288-BB58-4CF4-8610-788EB00CFFB1}"/>
    <cellStyle name="40% - Accent6 2 2 2 7 3" xfId="13091" xr:uid="{A83B61FE-2146-4C47-A1FC-87C4DBDC83C8}"/>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23269" xr:uid="{56676A20-08B1-41C2-B67A-C5BD47A222D6}"/>
    <cellStyle name="40% - Accent6 2 2 3 2 2 3" xfId="15648" xr:uid="{177A7129-4556-4528-AEC2-84E063A9B5DC}"/>
    <cellStyle name="40% - Accent6 2 2 3 2 3" xfId="19056" xr:uid="{F9B34C7C-38EE-4B56-A4FC-4A8B54AB9E25}"/>
    <cellStyle name="40% - Accent6 2 2 3 2 4" xfId="11435" xr:uid="{F5B4BC95-56B7-4055-92EA-940AA0C6C581}"/>
    <cellStyle name="40% - Accent6 2 2 3 3" xfId="5008" xr:uid="{00000000-0005-0000-0000-0000FB060000}"/>
    <cellStyle name="40% - Accent6 2 2 3 3 2" xfId="21124" xr:uid="{EE849878-6798-4026-8FF3-1DC0A74B4465}"/>
    <cellStyle name="40% - Accent6 2 2 3 3 3" xfId="13503" xr:uid="{EBF42F60-1F20-4965-8E16-832C807D5BC1}"/>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23682" xr:uid="{3E76D5C8-CAC3-44D9-A1C5-DA4FB178442D}"/>
    <cellStyle name="40% - Accent6 2 2 4 2 2 3" xfId="16061" xr:uid="{8C807F24-8A86-429B-8F0C-DB55E3EB67F2}"/>
    <cellStyle name="40% - Accent6 2 2 4 2 3" xfId="19469" xr:uid="{A7552ED7-D333-4451-A4D1-55DB7C9FD191}"/>
    <cellStyle name="40% - Accent6 2 2 4 2 4" xfId="11848" xr:uid="{EEDFC3D7-9EDF-48B3-8346-2FC019D22B08}"/>
    <cellStyle name="40% - Accent6 2 2 4 3" xfId="5421" xr:uid="{00000000-0005-0000-0000-0000FF060000}"/>
    <cellStyle name="40% - Accent6 2 2 4 3 2" xfId="21537" xr:uid="{E8C7975C-3B42-42A8-BAB7-4F3E3ACC469A}"/>
    <cellStyle name="40% - Accent6 2 2 4 3 3" xfId="13916" xr:uid="{7497291A-07AF-498F-AD12-6B446DC25507}"/>
    <cellStyle name="40% - Accent6 2 2 4 4" xfId="17324" xr:uid="{CCDC9339-FFD0-4740-B7BA-8488CD46A272}"/>
    <cellStyle name="40% - Accent6 2 2 4 5" xfId="9703" xr:uid="{1E8C0FAB-7795-411A-9D9F-35E124556996}"/>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24095" xr:uid="{8D4C14C8-2EB0-4FBB-AC86-D2D1BC163B4B}"/>
    <cellStyle name="40% - Accent6 2 2 5 2 2 3" xfId="16474" xr:uid="{2B147A5B-536F-47DB-A276-755AB8E29114}"/>
    <cellStyle name="40% - Accent6 2 2 5 2 3" xfId="19882" xr:uid="{87A7ED0A-2769-4D03-A258-447C2B515AD5}"/>
    <cellStyle name="40% - Accent6 2 2 5 2 4" xfId="12261" xr:uid="{5E7773B5-05E0-4772-83DD-C080C4BEDF75}"/>
    <cellStyle name="40% - Accent6 2 2 5 3" xfId="5834" xr:uid="{00000000-0005-0000-0000-000003070000}"/>
    <cellStyle name="40% - Accent6 2 2 5 3 2" xfId="21950" xr:uid="{80688168-4CFC-4432-851C-E764AE1FE2AA}"/>
    <cellStyle name="40% - Accent6 2 2 5 3 3" xfId="14329" xr:uid="{F32DF31F-71AC-4990-B017-9961B14EB849}"/>
    <cellStyle name="40% - Accent6 2 2 5 4" xfId="17737" xr:uid="{9BDCC86A-C7B9-4715-BE14-8A259ED5379A}"/>
    <cellStyle name="40% - Accent6 2 2 5 5" xfId="10116" xr:uid="{C41A2306-36FB-4BBE-BB3E-83526C510559}"/>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24508" xr:uid="{4ADB78CA-3450-44F9-A3AF-A92250C6BCCE}"/>
    <cellStyle name="40% - Accent6 2 2 6 2 2 3" xfId="16887" xr:uid="{B1EA9336-39D5-4F6E-9B2C-F4DD4AB48D51}"/>
    <cellStyle name="40% - Accent6 2 2 6 2 3" xfId="20295" xr:uid="{1CCFF0DE-E917-4FA0-9E02-7445DC29F221}"/>
    <cellStyle name="40% - Accent6 2 2 6 2 4" xfId="12674" xr:uid="{8924FFBA-5A33-4ED3-83A7-5E5E70DFBB10}"/>
    <cellStyle name="40% - Accent6 2 2 6 3" xfId="6247" xr:uid="{00000000-0005-0000-0000-000007070000}"/>
    <cellStyle name="40% - Accent6 2 2 6 3 2" xfId="22363" xr:uid="{D7EB10EC-5896-4B3E-916C-1E1346444431}"/>
    <cellStyle name="40% - Accent6 2 2 6 3 3" xfId="14742" xr:uid="{DA12E4B0-30AA-40BF-9506-61D980857844}"/>
    <cellStyle name="40% - Accent6 2 2 6 4" xfId="18150" xr:uid="{574DD096-9E34-4F8C-BF70-8E189C30CC30}"/>
    <cellStyle name="40% - Accent6 2 2 6 5" xfId="10529" xr:uid="{41E7A0B5-BF17-4E07-945A-4951FB658C93}"/>
    <cellStyle name="40% - Accent6 2 2 7" xfId="2354" xr:uid="{00000000-0005-0000-0000-000008070000}"/>
    <cellStyle name="40% - Accent6 2 2 7 2" xfId="6660" xr:uid="{00000000-0005-0000-0000-000009070000}"/>
    <cellStyle name="40% - Accent6 2 2 7 2 2" xfId="22776" xr:uid="{3E89AFAD-CA96-4BDD-A390-7181947B5EC5}"/>
    <cellStyle name="40% - Accent6 2 2 7 2 3" xfId="15155" xr:uid="{F36495C1-8C42-4E31-ACDB-AC2A5BE4B76C}"/>
    <cellStyle name="40% - Accent6 2 2 7 3" xfId="18563" xr:uid="{93EC8EFA-274F-4B37-9AD1-3A5D9C9D79D1}"/>
    <cellStyle name="40% - Accent6 2 2 7 4" xfId="10942" xr:uid="{355963FD-E2A8-4BBD-A1BB-8768B21B831B}"/>
    <cellStyle name="40% - Accent6 2 2 8" xfId="4594" xr:uid="{00000000-0005-0000-0000-00000A070000}"/>
    <cellStyle name="40% - Accent6 2 2 8 2" xfId="20711" xr:uid="{22FBD468-49E2-4129-91F0-94D3FEF3DB4E}"/>
    <cellStyle name="40% - Accent6 2 2 8 3" xfId="13090" xr:uid="{5491FE2D-E0B1-4B1B-A231-CDFE2F133CAF}"/>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23271" xr:uid="{03726FAA-588C-4EB5-9D28-33C0D704B3A1}"/>
    <cellStyle name="40% - Accent6 2 3 2 2 2 3" xfId="15650" xr:uid="{39826551-8A6B-4E6D-83D7-EFD32D28482C}"/>
    <cellStyle name="40% - Accent6 2 3 2 2 3" xfId="19058" xr:uid="{06CAEC98-4AC7-4FAC-9BDE-A7FA73B04D27}"/>
    <cellStyle name="40% - Accent6 2 3 2 2 4" xfId="11437" xr:uid="{34FFBEA2-C662-4450-8513-A63F9E7B6EBD}"/>
    <cellStyle name="40% - Accent6 2 3 2 3" xfId="5010" xr:uid="{00000000-0005-0000-0000-00000F070000}"/>
    <cellStyle name="40% - Accent6 2 3 2 3 2" xfId="21126" xr:uid="{8CADD651-F36A-44D9-AEF3-62B75856177D}"/>
    <cellStyle name="40% - Accent6 2 3 2 3 3" xfId="13505" xr:uid="{460A687D-BC37-4259-AD15-344935F01047}"/>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23684" xr:uid="{E1B7B10A-2ADC-407D-B9B9-E412483A3585}"/>
    <cellStyle name="40% - Accent6 2 3 3 2 2 3" xfId="16063" xr:uid="{2D9DCCF4-5BB9-4815-A5A2-9EEA197947F7}"/>
    <cellStyle name="40% - Accent6 2 3 3 2 3" xfId="19471" xr:uid="{EC04E811-ACBE-4F69-B881-6AE10D0A2A52}"/>
    <cellStyle name="40% - Accent6 2 3 3 2 4" xfId="11850" xr:uid="{EFECE8C6-5963-4A8C-AF63-35353650C634}"/>
    <cellStyle name="40% - Accent6 2 3 3 3" xfId="5423" xr:uid="{00000000-0005-0000-0000-000013070000}"/>
    <cellStyle name="40% - Accent6 2 3 3 3 2" xfId="21539" xr:uid="{0FD7F7E7-0CB2-43A5-AFCA-9988F6B19F71}"/>
    <cellStyle name="40% - Accent6 2 3 3 3 3" xfId="13918" xr:uid="{EF7887DC-5D6A-447B-A8A5-369280B31C3E}"/>
    <cellStyle name="40% - Accent6 2 3 3 4" xfId="17326" xr:uid="{C875A1F2-7D21-432B-B5EC-DC6D5178E286}"/>
    <cellStyle name="40% - Accent6 2 3 3 5" xfId="9705" xr:uid="{831ACFFA-9BF0-4A85-B22C-B71AFB5FA1AF}"/>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24097" xr:uid="{C5D0B207-9CAA-42DC-A595-14DE566487AE}"/>
    <cellStyle name="40% - Accent6 2 3 4 2 2 3" xfId="16476" xr:uid="{0BB0E188-98A9-4D4E-96CA-EF04D2E93AB1}"/>
    <cellStyle name="40% - Accent6 2 3 4 2 3" xfId="19884" xr:uid="{271B5A20-842D-4374-B93A-2C0F8E6DB48D}"/>
    <cellStyle name="40% - Accent6 2 3 4 2 4" xfId="12263" xr:uid="{74CCA5E9-DF33-4DE2-B22D-B7DB09A2D0EE}"/>
    <cellStyle name="40% - Accent6 2 3 4 3" xfId="5836" xr:uid="{00000000-0005-0000-0000-000017070000}"/>
    <cellStyle name="40% - Accent6 2 3 4 3 2" xfId="21952" xr:uid="{70EF3C2E-D6BB-4D11-A180-91F8D9B5CB98}"/>
    <cellStyle name="40% - Accent6 2 3 4 3 3" xfId="14331" xr:uid="{89B24A01-8B2E-479A-BFD1-8D858CEF6291}"/>
    <cellStyle name="40% - Accent6 2 3 4 4" xfId="17739" xr:uid="{7318F151-45BE-477B-A062-11DE6C941A65}"/>
    <cellStyle name="40% - Accent6 2 3 4 5" xfId="10118" xr:uid="{FC07181B-F5C1-48F3-915E-A674FCAF2A22}"/>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24510" xr:uid="{475CDAD0-61D4-46ED-BE0F-64FB68059303}"/>
    <cellStyle name="40% - Accent6 2 3 5 2 2 3" xfId="16889" xr:uid="{723EEEDC-9B3E-4C4E-B691-D1F908158557}"/>
    <cellStyle name="40% - Accent6 2 3 5 2 3" xfId="20297" xr:uid="{2873B9C8-155A-43CD-BA7D-A142FF70F2C1}"/>
    <cellStyle name="40% - Accent6 2 3 5 2 4" xfId="12676" xr:uid="{8C226B75-64D6-4E9F-8BB0-94119E9F89BB}"/>
    <cellStyle name="40% - Accent6 2 3 5 3" xfId="6249" xr:uid="{00000000-0005-0000-0000-00001B070000}"/>
    <cellStyle name="40% - Accent6 2 3 5 3 2" xfId="22365" xr:uid="{79B79EB4-B73F-4C5D-A7B4-9B02A3A15EA9}"/>
    <cellStyle name="40% - Accent6 2 3 5 3 3" xfId="14744" xr:uid="{346DA709-F45C-48BF-B7F7-25E09DB0A94B}"/>
    <cellStyle name="40% - Accent6 2 3 5 4" xfId="18152" xr:uid="{E1AE1A82-772B-41EB-B3ED-1B8FA17715EF}"/>
    <cellStyle name="40% - Accent6 2 3 5 5" xfId="10531" xr:uid="{8FD1B52E-CECA-4217-9009-171CEEA3F0A2}"/>
    <cellStyle name="40% - Accent6 2 3 6" xfId="2356" xr:uid="{00000000-0005-0000-0000-00001C070000}"/>
    <cellStyle name="40% - Accent6 2 3 6 2" xfId="6662" xr:uid="{00000000-0005-0000-0000-00001D070000}"/>
    <cellStyle name="40% - Accent6 2 3 6 2 2" xfId="22778" xr:uid="{31FF8774-8B1F-438B-BC26-6FF9E84234AF}"/>
    <cellStyle name="40% - Accent6 2 3 6 2 3" xfId="15157" xr:uid="{241C1832-E93C-4A4A-BD73-567F727DFF5A}"/>
    <cellStyle name="40% - Accent6 2 3 6 3" xfId="18565" xr:uid="{08910712-1533-4452-9225-10E19574BEC4}"/>
    <cellStyle name="40% - Accent6 2 3 6 4" xfId="10944" xr:uid="{A6C914C3-2130-4794-8AA6-A4FC95932A8D}"/>
    <cellStyle name="40% - Accent6 2 3 7" xfId="4596" xr:uid="{00000000-0005-0000-0000-00001E070000}"/>
    <cellStyle name="40% - Accent6 2 3 7 2" xfId="20713" xr:uid="{546C8C90-0AD1-4AFF-BA0B-0910244DD255}"/>
    <cellStyle name="40% - Accent6 2 3 7 3" xfId="13092" xr:uid="{7028FB6D-D27F-4B92-A1A5-323E45289C94}"/>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2 2 2" xfId="23268" xr:uid="{13051D5B-9387-4252-ACAE-3560875A5B89}"/>
    <cellStyle name="40% - Accent6 2 4 2 2 3" xfId="15647" xr:uid="{442D2DB6-87CA-4B56-BFD5-C896479D7354}"/>
    <cellStyle name="40% - Accent6 2 4 2 3" xfId="19055" xr:uid="{0D12025F-AB67-4A8F-8E68-BC9D3C441636}"/>
    <cellStyle name="40% - Accent6 2 4 2 4" xfId="11434" xr:uid="{69F455C2-EC61-4F2A-83DE-5149303277F5}"/>
    <cellStyle name="40% - Accent6 2 4 3" xfId="5007" xr:uid="{00000000-0005-0000-0000-000022070000}"/>
    <cellStyle name="40% - Accent6 2 4 3 2" xfId="21123" xr:uid="{9F7E93AF-FF37-4DE6-9449-A862F9836E6F}"/>
    <cellStyle name="40% - Accent6 2 4 3 3" xfId="13502" xr:uid="{78AA2DAF-A3D5-4978-86FE-027BFE4A0455}"/>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2 2 2" xfId="23681" xr:uid="{7EA6975F-6465-4090-B2D9-3B83E9D500D7}"/>
    <cellStyle name="40% - Accent6 2 5 2 2 3" xfId="16060" xr:uid="{2057179D-D0E5-4DFE-A171-4C6F79D1838C}"/>
    <cellStyle name="40% - Accent6 2 5 2 3" xfId="19468" xr:uid="{E0471701-0B3B-426D-A410-B1541B9C1E57}"/>
    <cellStyle name="40% - Accent6 2 5 2 4" xfId="11847" xr:uid="{18E8EEF7-0562-4EB1-AE46-02E33F7A798B}"/>
    <cellStyle name="40% - Accent6 2 5 3" xfId="5420" xr:uid="{00000000-0005-0000-0000-000026070000}"/>
    <cellStyle name="40% - Accent6 2 5 3 2" xfId="21536" xr:uid="{9EC3E3CD-0329-42F1-8B8D-2EF55A41F282}"/>
    <cellStyle name="40% - Accent6 2 5 3 3" xfId="13915" xr:uid="{ECC1C0E9-28DA-4E93-818E-D63E84AD14D8}"/>
    <cellStyle name="40% - Accent6 2 5 4" xfId="17323" xr:uid="{903AD6AE-5546-4854-BFB1-759D14B7DE30}"/>
    <cellStyle name="40% - Accent6 2 5 5" xfId="9702" xr:uid="{57927586-CC41-486E-9067-A3F05C951AFB}"/>
    <cellStyle name="40% - Accent6 2 6" xfId="1526" xr:uid="{00000000-0005-0000-0000-000027070000}"/>
    <cellStyle name="40% - Accent6 2 6 2" xfId="3756" xr:uid="{00000000-0005-0000-0000-000028070000}"/>
    <cellStyle name="40% - Accent6 2 6 2 2" xfId="7978" xr:uid="{00000000-0005-0000-0000-000029070000}"/>
    <cellStyle name="40% - Accent6 2 6 2 2 2" xfId="24094" xr:uid="{26CEB9CC-390E-4095-8D99-5FA3BD710A25}"/>
    <cellStyle name="40% - Accent6 2 6 2 2 3" xfId="16473" xr:uid="{F00AED71-B4EB-4CE3-887A-D32CDC39BCE7}"/>
    <cellStyle name="40% - Accent6 2 6 2 3" xfId="19881" xr:uid="{FD1AAA1A-0FF1-40B9-BB48-57393A8D2EB9}"/>
    <cellStyle name="40% - Accent6 2 6 2 4" xfId="12260" xr:uid="{A31F183A-C2EE-4EF0-B820-403324FF963F}"/>
    <cellStyle name="40% - Accent6 2 6 3" xfId="5833" xr:uid="{00000000-0005-0000-0000-00002A070000}"/>
    <cellStyle name="40% - Accent6 2 6 3 2" xfId="21949" xr:uid="{8923D687-BAC6-41F7-83C1-C32ABC8A33F3}"/>
    <cellStyle name="40% - Accent6 2 6 3 3" xfId="14328" xr:uid="{07CAEF2A-B3BE-4A58-82E9-AF3C4E1CD875}"/>
    <cellStyle name="40% - Accent6 2 6 4" xfId="17736" xr:uid="{82CC63E8-8C84-4F08-B2CF-60068B0F7553}"/>
    <cellStyle name="40% - Accent6 2 6 5" xfId="10115" xr:uid="{18758B4F-B3BF-48E8-BF86-752D57CF7E67}"/>
    <cellStyle name="40% - Accent6 2 7" xfId="1940" xr:uid="{00000000-0005-0000-0000-00002B070000}"/>
    <cellStyle name="40% - Accent6 2 7 2" xfId="4169" xr:uid="{00000000-0005-0000-0000-00002C070000}"/>
    <cellStyle name="40% - Accent6 2 7 2 2" xfId="8391" xr:uid="{00000000-0005-0000-0000-00002D070000}"/>
    <cellStyle name="40% - Accent6 2 7 2 2 2" xfId="24507" xr:uid="{723988C0-90B3-4B6D-A3D6-A8A800B82619}"/>
    <cellStyle name="40% - Accent6 2 7 2 2 3" xfId="16886" xr:uid="{75948B09-2DB7-4B85-AAE4-C12994805132}"/>
    <cellStyle name="40% - Accent6 2 7 2 3" xfId="20294" xr:uid="{3A721F31-400C-4ADA-BBDD-F61675633757}"/>
    <cellStyle name="40% - Accent6 2 7 2 4" xfId="12673" xr:uid="{C7AFEC5F-0121-4A2D-ACBF-758D80D3929F}"/>
    <cellStyle name="40% - Accent6 2 7 3" xfId="6246" xr:uid="{00000000-0005-0000-0000-00002E070000}"/>
    <cellStyle name="40% - Accent6 2 7 3 2" xfId="22362" xr:uid="{C09828A2-DB46-4B1E-9935-779B0CC84601}"/>
    <cellStyle name="40% - Accent6 2 7 3 3" xfId="14741" xr:uid="{3D29CBC3-BC2A-496C-9AD9-22F3C450E8F6}"/>
    <cellStyle name="40% - Accent6 2 7 4" xfId="18149" xr:uid="{9E8A87C0-D39F-4F19-8A2D-D0FDD573E140}"/>
    <cellStyle name="40% - Accent6 2 7 5" xfId="10528" xr:uid="{5DE7E7FD-87DB-491E-9803-895E40E5DBDA}"/>
    <cellStyle name="40% - Accent6 2 8" xfId="2353" xr:uid="{00000000-0005-0000-0000-00002F070000}"/>
    <cellStyle name="40% - Accent6 2 8 2" xfId="6659" xr:uid="{00000000-0005-0000-0000-000030070000}"/>
    <cellStyle name="40% - Accent6 2 8 2 2" xfId="22775" xr:uid="{0AA3505A-48DF-4348-8AFD-9EC6989859AB}"/>
    <cellStyle name="40% - Accent6 2 8 2 3" xfId="15154" xr:uid="{83125F14-9040-415B-84C5-BFDF461B998D}"/>
    <cellStyle name="40% - Accent6 2 8 3" xfId="18562" xr:uid="{9BB5BB57-61D4-4587-8E86-51B9066197E7}"/>
    <cellStyle name="40% - Accent6 2 8 4" xfId="10941" xr:uid="{4CBF3A0D-6099-4E3C-9B3B-B1F6C8AE2044}"/>
    <cellStyle name="40% - Accent6 2 9" xfId="4593" xr:uid="{00000000-0005-0000-0000-000031070000}"/>
    <cellStyle name="40% - Accent6 2 9 2" xfId="20710" xr:uid="{6114BF08-E638-45AD-9DA7-6CC7F0C428D4}"/>
    <cellStyle name="40% - Accent6 2 9 3" xfId="13089" xr:uid="{F05B4E3B-58F4-484B-956A-93A662B9B133}"/>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23273" xr:uid="{DE4D1E44-D696-43C7-905A-32F6F208C992}"/>
    <cellStyle name="40% - Accent6 3 2 2 2 2 3" xfId="15652" xr:uid="{8A0C51D0-D173-45A2-8527-C284B074FC4C}"/>
    <cellStyle name="40% - Accent6 3 2 2 2 3" xfId="19060" xr:uid="{F6905722-497C-4174-B441-0E101E5A7917}"/>
    <cellStyle name="40% - Accent6 3 2 2 2 4" xfId="11439" xr:uid="{3B221874-BF84-453A-9BC5-BE8131BB5579}"/>
    <cellStyle name="40% - Accent6 3 2 2 3" xfId="5012" xr:uid="{00000000-0005-0000-0000-000037070000}"/>
    <cellStyle name="40% - Accent6 3 2 2 3 2" xfId="21128" xr:uid="{F364113E-2862-4DED-B433-71A60109C79D}"/>
    <cellStyle name="40% - Accent6 3 2 2 3 3" xfId="13507" xr:uid="{EF454EBA-47AE-41F2-A43B-045E0EBA27F7}"/>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23686" xr:uid="{AB4752AB-989D-42D2-AF7C-81ADEC4D15D7}"/>
    <cellStyle name="40% - Accent6 3 2 3 2 2 3" xfId="16065" xr:uid="{A6B00C12-1FB5-4F8E-B3BD-D64F1D89733B}"/>
    <cellStyle name="40% - Accent6 3 2 3 2 3" xfId="19473" xr:uid="{15AC538A-4828-4C1D-BB5E-AB513BF273CD}"/>
    <cellStyle name="40% - Accent6 3 2 3 2 4" xfId="11852" xr:uid="{6F83DFAB-B36E-4191-9045-8A5130691097}"/>
    <cellStyle name="40% - Accent6 3 2 3 3" xfId="5425" xr:uid="{00000000-0005-0000-0000-00003B070000}"/>
    <cellStyle name="40% - Accent6 3 2 3 3 2" xfId="21541" xr:uid="{71729D2D-B6A0-4773-840A-8CA73A56B6AC}"/>
    <cellStyle name="40% - Accent6 3 2 3 3 3" xfId="13920" xr:uid="{9B68FDF8-F42C-4A36-BC82-CD3AE4AA3040}"/>
    <cellStyle name="40% - Accent6 3 2 3 4" xfId="17328" xr:uid="{ED58224E-DD9F-4EAF-9CF1-D456E76D13FC}"/>
    <cellStyle name="40% - Accent6 3 2 3 5" xfId="9707" xr:uid="{0B04DDAE-460B-4B52-AF09-AD225E7D14E4}"/>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24099" xr:uid="{2419F27C-BA34-4BF3-AB14-C5F7485041DB}"/>
    <cellStyle name="40% - Accent6 3 2 4 2 2 3" xfId="16478" xr:uid="{EDD639E0-FA30-4B3F-A5C8-93C91CF67693}"/>
    <cellStyle name="40% - Accent6 3 2 4 2 3" xfId="19886" xr:uid="{CD807791-61DC-4A84-B266-3893D01E48B5}"/>
    <cellStyle name="40% - Accent6 3 2 4 2 4" xfId="12265" xr:uid="{C815E890-1EC4-4EC5-8308-326CC1D507DC}"/>
    <cellStyle name="40% - Accent6 3 2 4 3" xfId="5838" xr:uid="{00000000-0005-0000-0000-00003F070000}"/>
    <cellStyle name="40% - Accent6 3 2 4 3 2" xfId="21954" xr:uid="{3046B17E-6D81-44B7-82E9-CFA3AED61DF4}"/>
    <cellStyle name="40% - Accent6 3 2 4 3 3" xfId="14333" xr:uid="{5C746589-6050-43E3-9587-F8CE4852A536}"/>
    <cellStyle name="40% - Accent6 3 2 4 4" xfId="17741" xr:uid="{1DC87765-65F4-4917-AF9D-311B10F88A4D}"/>
    <cellStyle name="40% - Accent6 3 2 4 5" xfId="10120" xr:uid="{C95181CB-04A5-48EC-A0E5-72CD3B87323F}"/>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24512" xr:uid="{DE217AEB-26E5-4B93-A138-798E3411779B}"/>
    <cellStyle name="40% - Accent6 3 2 5 2 2 3" xfId="16891" xr:uid="{50C0CC52-86DE-4D77-9FA3-260807EEEB0F}"/>
    <cellStyle name="40% - Accent6 3 2 5 2 3" xfId="20299" xr:uid="{748A3C3B-8383-4D56-BFAE-48A0C65E3D3C}"/>
    <cellStyle name="40% - Accent6 3 2 5 2 4" xfId="12678" xr:uid="{A14B893E-9275-4FE6-BAF2-A4FC5D185C03}"/>
    <cellStyle name="40% - Accent6 3 2 5 3" xfId="6251" xr:uid="{00000000-0005-0000-0000-000043070000}"/>
    <cellStyle name="40% - Accent6 3 2 5 3 2" xfId="22367" xr:uid="{E31A7BF6-91AB-4979-80CD-2D86DA603445}"/>
    <cellStyle name="40% - Accent6 3 2 5 3 3" xfId="14746" xr:uid="{1B9F03AF-5877-499B-81D8-87E5E78DAE91}"/>
    <cellStyle name="40% - Accent6 3 2 5 4" xfId="18154" xr:uid="{9F4AC9A5-A564-46EB-95F7-FA244A38ECB7}"/>
    <cellStyle name="40% - Accent6 3 2 5 5" xfId="10533" xr:uid="{285B61FA-55C0-4415-A1CC-3F42C7921D0E}"/>
    <cellStyle name="40% - Accent6 3 2 6" xfId="2358" xr:uid="{00000000-0005-0000-0000-000044070000}"/>
    <cellStyle name="40% - Accent6 3 2 6 2" xfId="6664" xr:uid="{00000000-0005-0000-0000-000045070000}"/>
    <cellStyle name="40% - Accent6 3 2 6 2 2" xfId="22780" xr:uid="{65058B5A-8C78-41AE-8329-A8ED054848D2}"/>
    <cellStyle name="40% - Accent6 3 2 6 2 3" xfId="15159" xr:uid="{28E582D5-05DE-48AE-9F08-010206008C21}"/>
    <cellStyle name="40% - Accent6 3 2 6 3" xfId="18567" xr:uid="{9D929067-1E4D-4256-9EAD-99B12A945C64}"/>
    <cellStyle name="40% - Accent6 3 2 6 4" xfId="10946" xr:uid="{0B675F4C-A1E9-4315-8CA8-0ECB0FCDAFF9}"/>
    <cellStyle name="40% - Accent6 3 2 7" xfId="4598" xr:uid="{00000000-0005-0000-0000-000046070000}"/>
    <cellStyle name="40% - Accent6 3 2 7 2" xfId="20715" xr:uid="{471C17BE-4E29-4F1E-9F55-0D070B9C68EE}"/>
    <cellStyle name="40% - Accent6 3 2 7 3" xfId="13094" xr:uid="{E2BF9797-5C65-4D4E-BEA6-E5255A75D251}"/>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2 2 2" xfId="23272" xr:uid="{5A110E25-C009-4F21-A135-78CA3F3F7995}"/>
    <cellStyle name="40% - Accent6 3 3 2 2 3" xfId="15651" xr:uid="{7878C574-1C63-4AB5-9A36-0CB27643E08D}"/>
    <cellStyle name="40% - Accent6 3 3 2 3" xfId="19059" xr:uid="{9491800D-BD38-4DF0-AC6E-7523B7EEAC26}"/>
    <cellStyle name="40% - Accent6 3 3 2 4" xfId="11438" xr:uid="{6B9B18A0-C88C-4E1E-9B2A-C64861B70000}"/>
    <cellStyle name="40% - Accent6 3 3 3" xfId="5011" xr:uid="{00000000-0005-0000-0000-00004A070000}"/>
    <cellStyle name="40% - Accent6 3 3 3 2" xfId="21127" xr:uid="{944397BC-1278-437D-847A-D8EC215E9B01}"/>
    <cellStyle name="40% - Accent6 3 3 3 3" xfId="13506" xr:uid="{A3183314-7D69-4C4C-8545-763CDECDFDD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2 2 2" xfId="23685" xr:uid="{E0D2FB36-DD3A-438C-9A5F-FB13E7FAE58C}"/>
    <cellStyle name="40% - Accent6 3 4 2 2 3" xfId="16064" xr:uid="{7F8F7928-1BEA-4A84-99BF-B04182A63590}"/>
    <cellStyle name="40% - Accent6 3 4 2 3" xfId="19472" xr:uid="{43B40611-DEAC-4C81-A634-662ACB4A1963}"/>
    <cellStyle name="40% - Accent6 3 4 2 4" xfId="11851" xr:uid="{E9DCC712-3D3A-442A-8E09-32CDEE0031F1}"/>
    <cellStyle name="40% - Accent6 3 4 3" xfId="5424" xr:uid="{00000000-0005-0000-0000-00004E070000}"/>
    <cellStyle name="40% - Accent6 3 4 3 2" xfId="21540" xr:uid="{8B960BB0-AA37-4DCB-8749-DB7D9529A81A}"/>
    <cellStyle name="40% - Accent6 3 4 3 3" xfId="13919" xr:uid="{B6ED822C-794D-4641-88D4-9BDF3EA71A8D}"/>
    <cellStyle name="40% - Accent6 3 4 4" xfId="17327" xr:uid="{DF555144-C1F5-4185-B75D-2F5DFA3C9192}"/>
    <cellStyle name="40% - Accent6 3 4 5" xfId="9706" xr:uid="{3019527C-5CD7-4A31-9EDE-CC148862933F}"/>
    <cellStyle name="40% - Accent6 3 5" xfId="1530" xr:uid="{00000000-0005-0000-0000-00004F070000}"/>
    <cellStyle name="40% - Accent6 3 5 2" xfId="3760" xr:uid="{00000000-0005-0000-0000-000050070000}"/>
    <cellStyle name="40% - Accent6 3 5 2 2" xfId="7982" xr:uid="{00000000-0005-0000-0000-000051070000}"/>
    <cellStyle name="40% - Accent6 3 5 2 2 2" xfId="24098" xr:uid="{2C81D50F-A0A2-46CD-83AB-894388BB61E3}"/>
    <cellStyle name="40% - Accent6 3 5 2 2 3" xfId="16477" xr:uid="{E5F8D119-CA4B-4CEA-9EE6-E78938352D6F}"/>
    <cellStyle name="40% - Accent6 3 5 2 3" xfId="19885" xr:uid="{69F6B669-0BD1-498B-BD92-7C44DF7D3253}"/>
    <cellStyle name="40% - Accent6 3 5 2 4" xfId="12264" xr:uid="{6A516C45-9CC2-4BA1-90BA-114A51BCC05F}"/>
    <cellStyle name="40% - Accent6 3 5 3" xfId="5837" xr:uid="{00000000-0005-0000-0000-000052070000}"/>
    <cellStyle name="40% - Accent6 3 5 3 2" xfId="21953" xr:uid="{1DB47E23-54CA-4E4D-8BD9-DE9F93C1CD96}"/>
    <cellStyle name="40% - Accent6 3 5 3 3" xfId="14332" xr:uid="{ADCB2116-372C-45E7-BB13-D2C35723010E}"/>
    <cellStyle name="40% - Accent6 3 5 4" xfId="17740" xr:uid="{9FEC7F1A-03C9-48AF-86DC-83873DE82685}"/>
    <cellStyle name="40% - Accent6 3 5 5" xfId="10119" xr:uid="{514ADC7C-47DB-41F8-8FC8-FB8848B951C1}"/>
    <cellStyle name="40% - Accent6 3 6" xfId="1944" xr:uid="{00000000-0005-0000-0000-000053070000}"/>
    <cellStyle name="40% - Accent6 3 6 2" xfId="4173" xr:uid="{00000000-0005-0000-0000-000054070000}"/>
    <cellStyle name="40% - Accent6 3 6 2 2" xfId="8395" xr:uid="{00000000-0005-0000-0000-000055070000}"/>
    <cellStyle name="40% - Accent6 3 6 2 2 2" xfId="24511" xr:uid="{F7023156-7228-4929-BDC7-E8D0460DA540}"/>
    <cellStyle name="40% - Accent6 3 6 2 2 3" xfId="16890" xr:uid="{CF43A79C-277A-4533-8F4F-4EA8AE18528B}"/>
    <cellStyle name="40% - Accent6 3 6 2 3" xfId="20298" xr:uid="{E0A5D51F-9D67-451C-94B6-B9526F412B05}"/>
    <cellStyle name="40% - Accent6 3 6 2 4" xfId="12677" xr:uid="{E8CEC30E-5C7B-44C3-951C-DB1574D0E20D}"/>
    <cellStyle name="40% - Accent6 3 6 3" xfId="6250" xr:uid="{00000000-0005-0000-0000-000056070000}"/>
    <cellStyle name="40% - Accent6 3 6 3 2" xfId="22366" xr:uid="{FA05CBE3-6570-4429-B331-B429FB3D2D95}"/>
    <cellStyle name="40% - Accent6 3 6 3 3" xfId="14745" xr:uid="{B9A5A585-B28A-4AF1-9F8A-17DFED3DC887}"/>
    <cellStyle name="40% - Accent6 3 6 4" xfId="18153" xr:uid="{8AEC958F-CB97-43B7-8C6A-90761FD11404}"/>
    <cellStyle name="40% - Accent6 3 6 5" xfId="10532" xr:uid="{8AA4DA9E-141E-43C5-9F64-57B6D24D50FB}"/>
    <cellStyle name="40% - Accent6 3 7" xfId="2357" xr:uid="{00000000-0005-0000-0000-000057070000}"/>
    <cellStyle name="40% - Accent6 3 7 2" xfId="6663" xr:uid="{00000000-0005-0000-0000-000058070000}"/>
    <cellStyle name="40% - Accent6 3 7 2 2" xfId="22779" xr:uid="{EC0D99B4-84E6-4390-83A1-9C990852DF3D}"/>
    <cellStyle name="40% - Accent6 3 7 2 3" xfId="15158" xr:uid="{138AB550-551D-4744-A590-11B47231BC29}"/>
    <cellStyle name="40% - Accent6 3 7 3" xfId="18566" xr:uid="{EBF8C38B-6EE1-4A2A-9273-9659A2B6FDE8}"/>
    <cellStyle name="40% - Accent6 3 7 4" xfId="10945" xr:uid="{C9D67A45-EBDE-46E5-BD5A-51D05E908264}"/>
    <cellStyle name="40% - Accent6 3 8" xfId="4597" xr:uid="{00000000-0005-0000-0000-000059070000}"/>
    <cellStyle name="40% - Accent6 3 8 2" xfId="20714" xr:uid="{7E48AC8E-538B-4AAF-A457-B1EF1046C2C7}"/>
    <cellStyle name="40% - Accent6 3 8 3" xfId="13093" xr:uid="{F2102A42-1006-48C2-9C5F-A0BC2A20BF1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23274" xr:uid="{63E900F8-9E59-4E93-AD6D-13D5DBB7D913}"/>
    <cellStyle name="40% - Accent6 4 2 2 2 3" xfId="15653" xr:uid="{29FC0C41-7815-468F-9A52-734989C81849}"/>
    <cellStyle name="40% - Accent6 4 2 2 3" xfId="19061" xr:uid="{89C8E5D4-1A5C-489F-8CC0-12F15107B111}"/>
    <cellStyle name="40% - Accent6 4 2 2 4" xfId="11440" xr:uid="{E56C7360-4B27-4B6E-93FC-4BFCB569B265}"/>
    <cellStyle name="40% - Accent6 4 2 3" xfId="5013" xr:uid="{00000000-0005-0000-0000-00005E070000}"/>
    <cellStyle name="40% - Accent6 4 2 3 2" xfId="21129" xr:uid="{9D1547E5-2B02-44F9-BADE-190ACFA0D035}"/>
    <cellStyle name="40% - Accent6 4 2 3 3" xfId="13508" xr:uid="{A8ABB3E3-0473-47D6-9327-30BAAA77FE65}"/>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2 2 2" xfId="23687" xr:uid="{15DE8652-2E7B-4F61-A6DB-CC82DBD824B2}"/>
    <cellStyle name="40% - Accent6 4 3 2 2 3" xfId="16066" xr:uid="{36DE5062-F27E-4389-9D4D-8FBC29077E1B}"/>
    <cellStyle name="40% - Accent6 4 3 2 3" xfId="19474" xr:uid="{E928EDDD-03FD-4543-8125-18F7F917037E}"/>
    <cellStyle name="40% - Accent6 4 3 2 4" xfId="11853" xr:uid="{A921C852-2C03-4E5A-ABF7-C7A63896F611}"/>
    <cellStyle name="40% - Accent6 4 3 3" xfId="5426" xr:uid="{00000000-0005-0000-0000-000062070000}"/>
    <cellStyle name="40% - Accent6 4 3 3 2" xfId="21542" xr:uid="{5FC2F179-60BC-4B64-887A-9EB63080A8A2}"/>
    <cellStyle name="40% - Accent6 4 3 3 3" xfId="13921" xr:uid="{1C4E999B-3684-482D-9C6D-CD9DCBD7A807}"/>
    <cellStyle name="40% - Accent6 4 3 4" xfId="17329" xr:uid="{E2598D13-2928-42DC-84B6-4BD26E3C1D1D}"/>
    <cellStyle name="40% - Accent6 4 3 5" xfId="9708" xr:uid="{E83BAE8C-F119-4E22-973A-7B555B371563}"/>
    <cellStyle name="40% - Accent6 4 4" xfId="1532" xr:uid="{00000000-0005-0000-0000-000063070000}"/>
    <cellStyle name="40% - Accent6 4 4 2" xfId="3762" xr:uid="{00000000-0005-0000-0000-000064070000}"/>
    <cellStyle name="40% - Accent6 4 4 2 2" xfId="7984" xr:uid="{00000000-0005-0000-0000-000065070000}"/>
    <cellStyle name="40% - Accent6 4 4 2 2 2" xfId="24100" xr:uid="{0CA72B53-FABF-4D62-AE96-E1A654AAA3D5}"/>
    <cellStyle name="40% - Accent6 4 4 2 2 3" xfId="16479" xr:uid="{96941BD3-8B04-48B5-AFEB-E27451298D61}"/>
    <cellStyle name="40% - Accent6 4 4 2 3" xfId="19887" xr:uid="{A0D31763-B805-492C-B4CB-FFB27628F236}"/>
    <cellStyle name="40% - Accent6 4 4 2 4" xfId="12266" xr:uid="{CA1BA0C4-4EC9-4563-AFEA-B7AD37E4F99A}"/>
    <cellStyle name="40% - Accent6 4 4 3" xfId="5839" xr:uid="{00000000-0005-0000-0000-000066070000}"/>
    <cellStyle name="40% - Accent6 4 4 3 2" xfId="21955" xr:uid="{8D859369-F9ED-44C2-BF2B-063E35F50D5D}"/>
    <cellStyle name="40% - Accent6 4 4 3 3" xfId="14334" xr:uid="{4D3D6DB4-0B21-4C5E-8A85-6D0C5233D67D}"/>
    <cellStyle name="40% - Accent6 4 4 4" xfId="17742" xr:uid="{DDAA4A1C-82F8-4A32-94E3-3D1AC79DB621}"/>
    <cellStyle name="40% - Accent6 4 4 5" xfId="10121" xr:uid="{EBE3C502-A21E-4B7A-8040-A5D999D9E873}"/>
    <cellStyle name="40% - Accent6 4 5" xfId="1946" xr:uid="{00000000-0005-0000-0000-000067070000}"/>
    <cellStyle name="40% - Accent6 4 5 2" xfId="4175" xr:uid="{00000000-0005-0000-0000-000068070000}"/>
    <cellStyle name="40% - Accent6 4 5 2 2" xfId="8397" xr:uid="{00000000-0005-0000-0000-000069070000}"/>
    <cellStyle name="40% - Accent6 4 5 2 2 2" xfId="24513" xr:uid="{7BC6B653-1A3D-4BD5-AB4B-C89BCC5A68FB}"/>
    <cellStyle name="40% - Accent6 4 5 2 2 3" xfId="16892" xr:uid="{8C02C715-55C3-43DE-853F-84264F18BC2A}"/>
    <cellStyle name="40% - Accent6 4 5 2 3" xfId="20300" xr:uid="{982A43CC-AC23-4EE2-8CE7-94802F3DEA2A}"/>
    <cellStyle name="40% - Accent6 4 5 2 4" xfId="12679" xr:uid="{CA28185A-5548-4E7A-8FA4-19B07D494389}"/>
    <cellStyle name="40% - Accent6 4 5 3" xfId="6252" xr:uid="{00000000-0005-0000-0000-00006A070000}"/>
    <cellStyle name="40% - Accent6 4 5 3 2" xfId="22368" xr:uid="{5F3CDA70-9C7E-40AF-AC9C-6CFF1FB24637}"/>
    <cellStyle name="40% - Accent6 4 5 3 3" xfId="14747" xr:uid="{9BF48AD4-3E2B-483F-B2CF-A16C54B132D1}"/>
    <cellStyle name="40% - Accent6 4 5 4" xfId="18155" xr:uid="{02D84A5F-5256-48F5-B97F-6468E7D03AC7}"/>
    <cellStyle name="40% - Accent6 4 5 5" xfId="10534" xr:uid="{5E6AF2C9-60E7-46FF-8903-D827036E8C9D}"/>
    <cellStyle name="40% - Accent6 4 6" xfId="2359" xr:uid="{00000000-0005-0000-0000-00006B070000}"/>
    <cellStyle name="40% - Accent6 4 6 2" xfId="6665" xr:uid="{00000000-0005-0000-0000-00006C070000}"/>
    <cellStyle name="40% - Accent6 4 6 2 2" xfId="22781" xr:uid="{8EC60BE8-C0A4-40B7-BCCA-143BB5C40225}"/>
    <cellStyle name="40% - Accent6 4 6 2 3" xfId="15160" xr:uid="{EE4562A0-BCAF-49B3-B27C-CE7A512161B7}"/>
    <cellStyle name="40% - Accent6 4 6 3" xfId="18568" xr:uid="{D18D7D80-519F-4B19-97EC-84309AD89044}"/>
    <cellStyle name="40% - Accent6 4 6 4" xfId="10947" xr:uid="{5E5B6842-04B7-4E1F-BB53-88FC50036918}"/>
    <cellStyle name="40% - Accent6 4 7" xfId="4599" xr:uid="{00000000-0005-0000-0000-00006D070000}"/>
    <cellStyle name="40% - Accent6 4 7 2" xfId="20716" xr:uid="{A362B720-0EFC-4280-B8C7-3C3DC9426998}"/>
    <cellStyle name="40% - Accent6 4 7 3" xfId="13095" xr:uid="{BBAA7F7C-944F-4508-9CBB-D7DF8A58D9CA}"/>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2 2 2" xfId="23267" xr:uid="{27418401-B01D-442C-9C37-519C4AB4DBFB}"/>
    <cellStyle name="40% - Accent6 5 2 2 3" xfId="15646" xr:uid="{C9E343F9-0E64-48EA-B491-07ED8076A55C}"/>
    <cellStyle name="40% - Accent6 5 2 3" xfId="19054" xr:uid="{F0FC10CA-1289-491C-8499-E3AFA9962A9F}"/>
    <cellStyle name="40% - Accent6 5 2 4" xfId="11433" xr:uid="{2E01CA58-2E35-4A2B-B670-2BFB3F8B87C3}"/>
    <cellStyle name="40% - Accent6 5 3" xfId="5006" xr:uid="{00000000-0005-0000-0000-000071070000}"/>
    <cellStyle name="40% - Accent6 5 3 2" xfId="21122" xr:uid="{3ADEC1BA-FBDB-4260-8FD0-16E0F3C4C935}"/>
    <cellStyle name="40% - Accent6 5 3 3" xfId="13501" xr:uid="{379D3CB4-B102-4C26-8AC8-685E24F22EB7}"/>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2 2 2" xfId="23680" xr:uid="{5327C893-1765-40DA-B805-5099E50E9FE3}"/>
    <cellStyle name="40% - Accent6 6 2 2 3" xfId="16059" xr:uid="{0216388F-7CCA-4006-9747-28BDA54A720C}"/>
    <cellStyle name="40% - Accent6 6 2 3" xfId="19467" xr:uid="{15E881B5-838F-4C0E-A3AF-6F1A038FCBFF}"/>
    <cellStyle name="40% - Accent6 6 2 4" xfId="11846" xr:uid="{2E11B673-A953-4BCF-A4D0-298777765740}"/>
    <cellStyle name="40% - Accent6 6 3" xfId="5419" xr:uid="{00000000-0005-0000-0000-000075070000}"/>
    <cellStyle name="40% - Accent6 6 3 2" xfId="21535" xr:uid="{7C719A17-01E7-4F59-83CD-21289DF98C12}"/>
    <cellStyle name="40% - Accent6 6 3 3" xfId="13914" xr:uid="{45CB8EB6-4993-4FC5-BC23-01899310B94E}"/>
    <cellStyle name="40% - Accent6 6 4" xfId="17322" xr:uid="{A42FAA62-56FF-4C46-BF97-FCDCFEEC133A}"/>
    <cellStyle name="40% - Accent6 6 5" xfId="9701" xr:uid="{4AC62009-9809-4BB3-819F-96AC407177BE}"/>
    <cellStyle name="40% - Accent6 7" xfId="1525" xr:uid="{00000000-0005-0000-0000-000076070000}"/>
    <cellStyle name="40% - Accent6 7 2" xfId="3755" xr:uid="{00000000-0005-0000-0000-000077070000}"/>
    <cellStyle name="40% - Accent6 7 2 2" xfId="7977" xr:uid="{00000000-0005-0000-0000-000078070000}"/>
    <cellStyle name="40% - Accent6 7 2 2 2" xfId="24093" xr:uid="{50006889-D5C7-43A2-A198-CD23CFDA5A7E}"/>
    <cellStyle name="40% - Accent6 7 2 2 3" xfId="16472" xr:uid="{F33B2592-06D9-4A28-B06D-CCCB13BEF351}"/>
    <cellStyle name="40% - Accent6 7 2 3" xfId="19880" xr:uid="{1C084B22-5C1C-468A-B249-D0FE2464375C}"/>
    <cellStyle name="40% - Accent6 7 2 4" xfId="12259" xr:uid="{5E04D6D7-2925-442F-986F-E0B7D811B480}"/>
    <cellStyle name="40% - Accent6 7 3" xfId="5832" xr:uid="{00000000-0005-0000-0000-000079070000}"/>
    <cellStyle name="40% - Accent6 7 3 2" xfId="21948" xr:uid="{F3BC9FEC-DBC8-4D91-B4DA-7C9F610CEE65}"/>
    <cellStyle name="40% - Accent6 7 3 3" xfId="14327" xr:uid="{E194AEFA-35FD-4FBD-84C3-BF2A7CF32879}"/>
    <cellStyle name="40% - Accent6 7 4" xfId="17735" xr:uid="{E813A0E6-937D-4225-8CC9-D50718F3B61D}"/>
    <cellStyle name="40% - Accent6 7 5" xfId="10114" xr:uid="{56411907-0382-45FA-A46B-15CE09B18280}"/>
    <cellStyle name="40% - Accent6 8" xfId="1939" xr:uid="{00000000-0005-0000-0000-00007A070000}"/>
    <cellStyle name="40% - Accent6 8 2" xfId="4168" xr:uid="{00000000-0005-0000-0000-00007B070000}"/>
    <cellStyle name="40% - Accent6 8 2 2" xfId="8390" xr:uid="{00000000-0005-0000-0000-00007C070000}"/>
    <cellStyle name="40% - Accent6 8 2 2 2" xfId="24506" xr:uid="{B466B1F7-F770-4B6B-A799-139A17B211A8}"/>
    <cellStyle name="40% - Accent6 8 2 2 3" xfId="16885" xr:uid="{4DB80C70-3DC5-4188-A579-97BA975654A5}"/>
    <cellStyle name="40% - Accent6 8 2 3" xfId="20293" xr:uid="{E5CDADCD-E644-4030-A927-71849A34382A}"/>
    <cellStyle name="40% - Accent6 8 2 4" xfId="12672" xr:uid="{3E651E0E-BCFF-4824-BCA2-6FE43756784C}"/>
    <cellStyle name="40% - Accent6 8 3" xfId="6245" xr:uid="{00000000-0005-0000-0000-00007D070000}"/>
    <cellStyle name="40% - Accent6 8 3 2" xfId="22361" xr:uid="{D45E465E-16BF-4F96-B0CC-53A1BD161EAC}"/>
    <cellStyle name="40% - Accent6 8 3 3" xfId="14740" xr:uid="{B3D4DD98-2D45-4081-9D83-8B8B673489F3}"/>
    <cellStyle name="40% - Accent6 8 4" xfId="18148" xr:uid="{1FE10F99-4A61-4E4D-9D72-445154D38D01}"/>
    <cellStyle name="40% - Accent6 8 5" xfId="10527" xr:uid="{26E50F7E-BC9F-43BF-BFA4-B06E27902FB9}"/>
    <cellStyle name="40% - Accent6 9" xfId="2352" xr:uid="{00000000-0005-0000-0000-00007E070000}"/>
    <cellStyle name="40% - Accent6 9 2" xfId="6658" xr:uid="{00000000-0005-0000-0000-00007F070000}"/>
    <cellStyle name="40% - Accent6 9 2 2" xfId="22774" xr:uid="{E97EC6FA-8D47-436C-82BA-7E956BD5453C}"/>
    <cellStyle name="40% - Accent6 9 2 3" xfId="15153" xr:uid="{EBD99106-A5E3-4B84-B8AD-3556E68323EA}"/>
    <cellStyle name="40% - Accent6 9 3" xfId="18561" xr:uid="{D538073B-591F-4BA9-A13C-EAC00B3B341D}"/>
    <cellStyle name="40% - Accent6 9 4" xfId="10940" xr:uid="{5B87F687-4EEC-4FC9-8CFA-84F5210969B5}"/>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23099" xr:uid="{E76FF01B-C09C-42B0-88DA-18DE908C20B8}"/>
    <cellStyle name="Comma 4 2 2 2 10 2 3" xfId="15478" xr:uid="{D3C80ED2-D40C-4A4F-B6D3-93001057C162}"/>
    <cellStyle name="Comma 4 2 2 2 10 3" xfId="18886" xr:uid="{2CE2E71F-FEA2-48A8-8D50-274E455204A7}"/>
    <cellStyle name="Comma 4 2 2 2 10 4" xfId="11265" xr:uid="{B391231B-D56F-4EF3-905D-AA78D4C2D755}"/>
    <cellStyle name="Comma 4 2 2 2 11" xfId="4600" xr:uid="{00000000-0005-0000-0000-0000A3070000}"/>
    <cellStyle name="Comma 4 2 2 2 11 2" xfId="20717" xr:uid="{F688CD00-536D-4C33-B3C5-2CBB6CF62F8A}"/>
    <cellStyle name="Comma 4 2 2 2 11 3" xfId="13096" xr:uid="{07383E85-081F-4E90-929D-F9245DB58DA3}"/>
    <cellStyle name="Comma 4 2 2 2 12" xfId="8806" xr:uid="{6C773D0B-D2E3-4A8C-B041-8DA2843B9E25}"/>
    <cellStyle name="Comma 4 2 2 2 2" xfId="129" xr:uid="{00000000-0005-0000-0000-0000A4070000}"/>
    <cellStyle name="Comma 4 2 2 2 2 10" xfId="4601" xr:uid="{00000000-0005-0000-0000-0000A5070000}"/>
    <cellStyle name="Comma 4 2 2 2 2 10 2" xfId="20718" xr:uid="{0369B982-31F6-4F3C-8CFD-5E6E72BDAB22}"/>
    <cellStyle name="Comma 4 2 2 2 2 10 3" xfId="13097" xr:uid="{55A1CDF2-C536-45A9-9D31-B06E8E0745C4}"/>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23277" xr:uid="{565F0BB0-5F2F-49E0-AB98-6782F568EFC9}"/>
    <cellStyle name="Comma 4 2 2 2 2 2 2 2 2 3" xfId="15656" xr:uid="{BCCB489B-C242-40A3-9E1E-D43EDD34A267}"/>
    <cellStyle name="Comma 4 2 2 2 2 2 2 2 3" xfId="19064" xr:uid="{123D29A6-6254-428C-987B-A395C40AA8B7}"/>
    <cellStyle name="Comma 4 2 2 2 2 2 2 2 4" xfId="11443" xr:uid="{A1F3A4B4-A9D9-40D3-A78C-F6A4D8970C31}"/>
    <cellStyle name="Comma 4 2 2 2 2 2 2 3" xfId="5016" xr:uid="{00000000-0005-0000-0000-0000AA070000}"/>
    <cellStyle name="Comma 4 2 2 2 2 2 2 3 2" xfId="21132" xr:uid="{EB1E8C9B-B21D-4C3F-A928-9DCC23A8C62C}"/>
    <cellStyle name="Comma 4 2 2 2 2 2 2 3 3" xfId="13511" xr:uid="{35868E8F-AA99-47FB-92E1-41BBDFB59038}"/>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23690" xr:uid="{237CA9C0-F49F-4594-A7ED-13EEF43B7958}"/>
    <cellStyle name="Comma 4 2 2 2 2 2 3 2 2 3" xfId="16069" xr:uid="{998CAD91-7C12-486A-B679-523E4887C75D}"/>
    <cellStyle name="Comma 4 2 2 2 2 2 3 2 3" xfId="19477" xr:uid="{8262E22E-B855-41B6-B80F-93EBA1C735CE}"/>
    <cellStyle name="Comma 4 2 2 2 2 2 3 2 4" xfId="11856" xr:uid="{F0257F4E-30A6-4689-9FF7-33553EB0B99D}"/>
    <cellStyle name="Comma 4 2 2 2 2 2 3 3" xfId="5429" xr:uid="{00000000-0005-0000-0000-0000AE070000}"/>
    <cellStyle name="Comma 4 2 2 2 2 2 3 3 2" xfId="21545" xr:uid="{5694C2FD-87A8-41BC-A290-44372338CE4A}"/>
    <cellStyle name="Comma 4 2 2 2 2 2 3 3 3" xfId="13924" xr:uid="{0240FDE7-C81F-4C4C-9E54-578F28B573AE}"/>
    <cellStyle name="Comma 4 2 2 2 2 2 3 4" xfId="17332" xr:uid="{20C4C5B6-E0A8-4D58-BB49-EA1E7CD9FD7A}"/>
    <cellStyle name="Comma 4 2 2 2 2 2 3 5" xfId="9711" xr:uid="{525CEF6D-5FAA-4C3E-838F-AE1C210B92BF}"/>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24103" xr:uid="{A1E5B7CA-F3B7-4A4B-8C88-C1A6DC3A3525}"/>
    <cellStyle name="Comma 4 2 2 2 2 2 4 2 2 3" xfId="16482" xr:uid="{127FE428-5CBA-4F87-82C3-ACD4C0438B13}"/>
    <cellStyle name="Comma 4 2 2 2 2 2 4 2 3" xfId="19890" xr:uid="{CAE64BDD-5D89-4271-95CE-747AD10A19A7}"/>
    <cellStyle name="Comma 4 2 2 2 2 2 4 2 4" xfId="12269" xr:uid="{5C862CD3-7FFE-4730-8863-B497794FBD87}"/>
    <cellStyle name="Comma 4 2 2 2 2 2 4 3" xfId="5842" xr:uid="{00000000-0005-0000-0000-0000B2070000}"/>
    <cellStyle name="Comma 4 2 2 2 2 2 4 3 2" xfId="21958" xr:uid="{B077F324-A51E-44F4-A77F-A4F9C5241A3A}"/>
    <cellStyle name="Comma 4 2 2 2 2 2 4 3 3" xfId="14337" xr:uid="{76CC8B56-2AE4-40B6-8EA7-65CD63E96CE1}"/>
    <cellStyle name="Comma 4 2 2 2 2 2 4 4" xfId="17745" xr:uid="{73E0A672-571F-4E02-9ABC-E66E50FB9884}"/>
    <cellStyle name="Comma 4 2 2 2 2 2 4 5" xfId="10124" xr:uid="{1B9267C8-A8DA-4C4F-B510-8B68EC496747}"/>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24516" xr:uid="{71E2D07C-0D2D-4502-B8AD-78AE12DBD8D0}"/>
    <cellStyle name="Comma 4 2 2 2 2 2 5 2 2 3" xfId="16895" xr:uid="{5E173B48-8130-46FC-BFE2-DAFC7F87EDEE}"/>
    <cellStyle name="Comma 4 2 2 2 2 2 5 2 3" xfId="20303" xr:uid="{D80B1629-6E18-4B05-95AE-9279C4464498}"/>
    <cellStyle name="Comma 4 2 2 2 2 2 5 2 4" xfId="12682" xr:uid="{F67D9F20-3C37-4322-A088-870CE2003A4E}"/>
    <cellStyle name="Comma 4 2 2 2 2 2 5 3" xfId="6255" xr:uid="{00000000-0005-0000-0000-0000B6070000}"/>
    <cellStyle name="Comma 4 2 2 2 2 2 5 3 2" xfId="22371" xr:uid="{21E06548-A752-421F-9B8D-B6108757620F}"/>
    <cellStyle name="Comma 4 2 2 2 2 2 5 3 3" xfId="14750" xr:uid="{A2E82E92-6820-48D0-BD1E-BDADCA9C62E2}"/>
    <cellStyle name="Comma 4 2 2 2 2 2 5 4" xfId="18158" xr:uid="{E785253D-CC3E-4A9F-AF41-35BCB7BA4593}"/>
    <cellStyle name="Comma 4 2 2 2 2 2 5 5" xfId="10537" xr:uid="{C4C67AF4-F954-46E0-BD21-A8873CE4ECF9}"/>
    <cellStyle name="Comma 4 2 2 2 2 2 6" xfId="2384" xr:uid="{00000000-0005-0000-0000-0000B7070000}"/>
    <cellStyle name="Comma 4 2 2 2 2 2 6 2" xfId="6668" xr:uid="{00000000-0005-0000-0000-0000B8070000}"/>
    <cellStyle name="Comma 4 2 2 2 2 2 6 2 2" xfId="22784" xr:uid="{F13B4FC3-6162-4A30-BBCF-D53A3F2CD1B9}"/>
    <cellStyle name="Comma 4 2 2 2 2 2 6 2 3" xfId="15163" xr:uid="{6C53EFCF-1686-4725-BD29-1386FC494F82}"/>
    <cellStyle name="Comma 4 2 2 2 2 2 6 3" xfId="18571" xr:uid="{C6B5AB83-50D5-4660-B53D-EAD39C920252}"/>
    <cellStyle name="Comma 4 2 2 2 2 2 6 4" xfId="10950" xr:uid="{D6D8C20B-DD5E-4222-BC87-D30F2FA1285E}"/>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23101" xr:uid="{9CF177D3-7753-480B-A398-3660AC815070}"/>
    <cellStyle name="Comma 4 2 2 2 2 2 8 2 3" xfId="15480" xr:uid="{599B52D7-7F0D-4D01-9270-9C5B28B3204B}"/>
    <cellStyle name="Comma 4 2 2 2 2 2 8 3" xfId="18888" xr:uid="{CBDBD363-E702-450A-BA05-3D87590D6C36}"/>
    <cellStyle name="Comma 4 2 2 2 2 2 8 4" xfId="11267" xr:uid="{48474BDF-A2FA-4151-BEE9-C83414245792}"/>
    <cellStyle name="Comma 4 2 2 2 2 2 9" xfId="4602" xr:uid="{00000000-0005-0000-0000-0000BC070000}"/>
    <cellStyle name="Comma 4 2 2 2 2 2 9 2" xfId="20719" xr:uid="{9417AECD-3B86-4BAD-998A-F18B22F9134B}"/>
    <cellStyle name="Comma 4 2 2 2 2 2 9 3" xfId="13098" xr:uid="{35146F6E-EF12-45D5-A89B-F55607C66358}"/>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23276" xr:uid="{EA3BBC3F-7253-4FF6-909B-576194916109}"/>
    <cellStyle name="Comma 4 2 2 2 2 3 2 2 3" xfId="15655" xr:uid="{0D34234D-EF5F-4AAF-9A63-A635094B9D07}"/>
    <cellStyle name="Comma 4 2 2 2 2 3 2 3" xfId="19063" xr:uid="{2A4DE0D2-A27F-4FA9-8CD5-CE539834D217}"/>
    <cellStyle name="Comma 4 2 2 2 2 3 2 4" xfId="11442" xr:uid="{25A7EAF5-4366-41BC-83EC-525326F400CA}"/>
    <cellStyle name="Comma 4 2 2 2 2 3 3" xfId="5015" xr:uid="{00000000-0005-0000-0000-0000C0070000}"/>
    <cellStyle name="Comma 4 2 2 2 2 3 3 2" xfId="21131" xr:uid="{5579E6C4-A9A3-4B56-A8F5-40E1910BCF29}"/>
    <cellStyle name="Comma 4 2 2 2 2 3 3 3" xfId="13510" xr:uid="{6C189A37-BB91-497F-8FBC-03E8C63AEC99}"/>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23689" xr:uid="{922F3243-B83A-424B-8F35-AF5A0194B583}"/>
    <cellStyle name="Comma 4 2 2 2 2 4 2 2 3" xfId="16068" xr:uid="{E053C0A5-2909-4678-8B11-5A5B37E3A44B}"/>
    <cellStyle name="Comma 4 2 2 2 2 4 2 3" xfId="19476" xr:uid="{BA90E195-5D05-47E4-8581-C0B6FECDEF8F}"/>
    <cellStyle name="Comma 4 2 2 2 2 4 2 4" xfId="11855" xr:uid="{D1C50DBF-6F78-4E28-9DB4-3DF3D4C9F8C9}"/>
    <cellStyle name="Comma 4 2 2 2 2 4 3" xfId="5428" xr:uid="{00000000-0005-0000-0000-0000C4070000}"/>
    <cellStyle name="Comma 4 2 2 2 2 4 3 2" xfId="21544" xr:uid="{C4FD548D-18D4-4439-AE52-B80728F8A1A0}"/>
    <cellStyle name="Comma 4 2 2 2 2 4 3 3" xfId="13923" xr:uid="{C9535A90-57F6-42AE-ACCE-B0584CF1FBF4}"/>
    <cellStyle name="Comma 4 2 2 2 2 4 4" xfId="17331" xr:uid="{02B2966B-71C2-4B5C-84A1-5EA20589FAA9}"/>
    <cellStyle name="Comma 4 2 2 2 2 4 5" xfId="9710" xr:uid="{0998BA33-C06D-4BEB-A550-B26A331A62FB}"/>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24102" xr:uid="{EF89F5A7-D96C-41C5-BCAB-986BA9400F19}"/>
    <cellStyle name="Comma 4 2 2 2 2 5 2 2 3" xfId="16481" xr:uid="{EB2AA2DC-4B40-445A-A7B0-01453C2A1700}"/>
    <cellStyle name="Comma 4 2 2 2 2 5 2 3" xfId="19889" xr:uid="{98A30818-C88C-411F-AFBA-196F2720C28C}"/>
    <cellStyle name="Comma 4 2 2 2 2 5 2 4" xfId="12268" xr:uid="{0279A33B-78F9-4D22-BFE9-4A2C0B9F3E95}"/>
    <cellStyle name="Comma 4 2 2 2 2 5 3" xfId="5841" xr:uid="{00000000-0005-0000-0000-0000C8070000}"/>
    <cellStyle name="Comma 4 2 2 2 2 5 3 2" xfId="21957" xr:uid="{8D3444F8-E80A-4C85-B1A5-93BCD3D306EC}"/>
    <cellStyle name="Comma 4 2 2 2 2 5 3 3" xfId="14336" xr:uid="{DB340B9E-05CE-47CD-910F-55C209959865}"/>
    <cellStyle name="Comma 4 2 2 2 2 5 4" xfId="17744" xr:uid="{B5414122-CD6E-4404-A2E8-69BD1ED18963}"/>
    <cellStyle name="Comma 4 2 2 2 2 5 5" xfId="10123" xr:uid="{C0E31A5C-12FD-4F26-AD08-DE3C15723245}"/>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24515" xr:uid="{A9627687-B2EA-4E5F-AFFA-D3410AFF3AFD}"/>
    <cellStyle name="Comma 4 2 2 2 2 6 2 2 3" xfId="16894" xr:uid="{01B33D49-A3FC-4342-8D22-8AE38DFD63AB}"/>
    <cellStyle name="Comma 4 2 2 2 2 6 2 3" xfId="20302" xr:uid="{89AA546A-A1CC-4397-992C-AABC1723F122}"/>
    <cellStyle name="Comma 4 2 2 2 2 6 2 4" xfId="12681" xr:uid="{78F55D3F-927D-4547-906D-BD7CB686BF47}"/>
    <cellStyle name="Comma 4 2 2 2 2 6 3" xfId="6254" xr:uid="{00000000-0005-0000-0000-0000CC070000}"/>
    <cellStyle name="Comma 4 2 2 2 2 6 3 2" xfId="22370" xr:uid="{1795D373-18FE-48B6-AE71-31BB44F52080}"/>
    <cellStyle name="Comma 4 2 2 2 2 6 3 3" xfId="14749" xr:uid="{A11C85EA-D9D7-490E-95CB-9CC19B102CF9}"/>
    <cellStyle name="Comma 4 2 2 2 2 6 4" xfId="18157" xr:uid="{218C6E66-3804-461F-8D09-5324D6E9D0CC}"/>
    <cellStyle name="Comma 4 2 2 2 2 6 5" xfId="10536" xr:uid="{7281006A-0A1B-4C40-8A8F-8617DB993602}"/>
    <cellStyle name="Comma 4 2 2 2 2 7" xfId="2383" xr:uid="{00000000-0005-0000-0000-0000CD070000}"/>
    <cellStyle name="Comma 4 2 2 2 2 7 2" xfId="6667" xr:uid="{00000000-0005-0000-0000-0000CE070000}"/>
    <cellStyle name="Comma 4 2 2 2 2 7 2 2" xfId="22783" xr:uid="{2BF90E2D-C2BD-4B54-B441-C95CD5363C9E}"/>
    <cellStyle name="Comma 4 2 2 2 2 7 2 3" xfId="15162" xr:uid="{42F0AE05-05F5-4C59-A9FF-8C458170BC9A}"/>
    <cellStyle name="Comma 4 2 2 2 2 7 3" xfId="18570" xr:uid="{D832712A-E981-4F28-B2FE-D7A047D4F425}"/>
    <cellStyle name="Comma 4 2 2 2 2 7 4" xfId="10949" xr:uid="{DF080A89-0EAE-4D45-A6E4-4A263400F18A}"/>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23100" xr:uid="{E0808C4B-3525-4958-B9EE-3528073A6F75}"/>
    <cellStyle name="Comma 4 2 2 2 2 9 2 3" xfId="15479" xr:uid="{028A97D8-1B0A-408D-B8A1-78E28D79CFFA}"/>
    <cellStyle name="Comma 4 2 2 2 2 9 3" xfId="18887" xr:uid="{9D10C4A0-5B39-4BAD-AA09-6C970BFAB35D}"/>
    <cellStyle name="Comma 4 2 2 2 2 9 4" xfId="11266" xr:uid="{E076ACF0-2F70-43E3-BB25-067C2A0FDAC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23278" xr:uid="{FCFCAAC2-2052-410A-BE7D-7354779D48D8}"/>
    <cellStyle name="Comma 4 2 2 2 3 2 2 2 3" xfId="15657" xr:uid="{58E588AA-6EF8-414F-B701-FE691350772D}"/>
    <cellStyle name="Comma 4 2 2 2 3 2 2 3" xfId="19065" xr:uid="{43B2B61A-BFEF-47D8-9492-F854444B0C15}"/>
    <cellStyle name="Comma 4 2 2 2 3 2 2 4" xfId="11444" xr:uid="{F3B98B62-FBB2-4318-A3C3-C49A6C197342}"/>
    <cellStyle name="Comma 4 2 2 2 3 2 3" xfId="5017" xr:uid="{00000000-0005-0000-0000-0000D6070000}"/>
    <cellStyle name="Comma 4 2 2 2 3 2 3 2" xfId="21133" xr:uid="{9373899F-0F1E-4117-902B-6052E5620A1A}"/>
    <cellStyle name="Comma 4 2 2 2 3 2 3 3" xfId="13512" xr:uid="{EFC9A488-3C48-4255-8829-DD23AB78CC28}"/>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23691" xr:uid="{C8362FBA-292A-467C-86E6-9265EC542B48}"/>
    <cellStyle name="Comma 4 2 2 2 3 3 2 2 3" xfId="16070" xr:uid="{2D72962A-5846-4260-80A2-4F8F7399DCD1}"/>
    <cellStyle name="Comma 4 2 2 2 3 3 2 3" xfId="19478" xr:uid="{9AD5FDC2-E3F4-4F35-8770-1F688B18EFC6}"/>
    <cellStyle name="Comma 4 2 2 2 3 3 2 4" xfId="11857" xr:uid="{F9CAE005-934F-4F95-B5C9-85DE2D304E1C}"/>
    <cellStyle name="Comma 4 2 2 2 3 3 3" xfId="5430" xr:uid="{00000000-0005-0000-0000-0000DA070000}"/>
    <cellStyle name="Comma 4 2 2 2 3 3 3 2" xfId="21546" xr:uid="{1CBB9B77-EB5D-443F-9DF3-F9E1AC1E2692}"/>
    <cellStyle name="Comma 4 2 2 2 3 3 3 3" xfId="13925" xr:uid="{36F01951-EC80-458B-B149-FF30A0A922E0}"/>
    <cellStyle name="Comma 4 2 2 2 3 3 4" xfId="17333" xr:uid="{E665AAAA-0DF1-436D-B5D8-A543DCDFD2A1}"/>
    <cellStyle name="Comma 4 2 2 2 3 3 5" xfId="9712" xr:uid="{82A1E3F5-2530-4879-A0F0-1F8024EB48DA}"/>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24104" xr:uid="{D8E7E976-4BB3-46F8-91B9-6BAD78CA0BAC}"/>
    <cellStyle name="Comma 4 2 2 2 3 4 2 2 3" xfId="16483" xr:uid="{5DD99948-52BA-4821-BD57-EB1962F32D03}"/>
    <cellStyle name="Comma 4 2 2 2 3 4 2 3" xfId="19891" xr:uid="{4D8F1999-507C-4D34-94C7-2007852356FA}"/>
    <cellStyle name="Comma 4 2 2 2 3 4 2 4" xfId="12270" xr:uid="{3865BB3D-CBD1-485E-976E-F5779B5A43D2}"/>
    <cellStyle name="Comma 4 2 2 2 3 4 3" xfId="5843" xr:uid="{00000000-0005-0000-0000-0000DE070000}"/>
    <cellStyle name="Comma 4 2 2 2 3 4 3 2" xfId="21959" xr:uid="{AADC6E2C-6FCD-49C3-A5B3-4BBCC0C557F4}"/>
    <cellStyle name="Comma 4 2 2 2 3 4 3 3" xfId="14338" xr:uid="{F8C4AAF7-2AC4-46EA-9AF1-F68416154DE9}"/>
    <cellStyle name="Comma 4 2 2 2 3 4 4" xfId="17746" xr:uid="{5FD4549D-9366-417A-B0A3-82997D272342}"/>
    <cellStyle name="Comma 4 2 2 2 3 4 5" xfId="10125" xr:uid="{CB7940DF-019B-41C7-AD1F-54357458C21D}"/>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24517" xr:uid="{A4A97248-AE73-41C4-A322-1BC05D78AB32}"/>
    <cellStyle name="Comma 4 2 2 2 3 5 2 2 3" xfId="16896" xr:uid="{2ECDD7FF-3B67-4451-B7D1-0B24E59D10E8}"/>
    <cellStyle name="Comma 4 2 2 2 3 5 2 3" xfId="20304" xr:uid="{AAD03EB9-2252-4825-8945-39F11A50146C}"/>
    <cellStyle name="Comma 4 2 2 2 3 5 2 4" xfId="12683" xr:uid="{D8706820-17EC-4A21-A6F7-06BB0A29DCEA}"/>
    <cellStyle name="Comma 4 2 2 2 3 5 3" xfId="6256" xr:uid="{00000000-0005-0000-0000-0000E2070000}"/>
    <cellStyle name="Comma 4 2 2 2 3 5 3 2" xfId="22372" xr:uid="{87B89E0C-9354-4158-92D2-D5999CC6CE7C}"/>
    <cellStyle name="Comma 4 2 2 2 3 5 3 3" xfId="14751" xr:uid="{B9E68E2F-9DAB-414B-85C8-8D03CE2CC2A4}"/>
    <cellStyle name="Comma 4 2 2 2 3 5 4" xfId="18159" xr:uid="{C6EF82B7-0F36-4BB2-A38D-41C2DFC5FC22}"/>
    <cellStyle name="Comma 4 2 2 2 3 5 5" xfId="10538" xr:uid="{07534E4C-6B15-4AE9-9CCA-58A5458240F8}"/>
    <cellStyle name="Comma 4 2 2 2 3 6" xfId="2385" xr:uid="{00000000-0005-0000-0000-0000E3070000}"/>
    <cellStyle name="Comma 4 2 2 2 3 6 2" xfId="6669" xr:uid="{00000000-0005-0000-0000-0000E4070000}"/>
    <cellStyle name="Comma 4 2 2 2 3 6 2 2" xfId="22785" xr:uid="{F5ED4087-AB74-423A-B579-832ED10E88AD}"/>
    <cellStyle name="Comma 4 2 2 2 3 6 2 3" xfId="15164" xr:uid="{DC8005B9-3C42-4421-8F09-F257D9E7DC0A}"/>
    <cellStyle name="Comma 4 2 2 2 3 6 3" xfId="18572" xr:uid="{8DB7ED66-2B06-4759-8E29-37B99D652E03}"/>
    <cellStyle name="Comma 4 2 2 2 3 6 4" xfId="10951" xr:uid="{9BDEF181-88B9-4CBC-AEAF-47406E47EF74}"/>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23102" xr:uid="{54C0FAC0-0027-43A7-8FBA-0335E71335C7}"/>
    <cellStyle name="Comma 4 2 2 2 3 8 2 3" xfId="15481" xr:uid="{F6C9FBD3-F9D3-4E8A-B730-2BB1E25A05F6}"/>
    <cellStyle name="Comma 4 2 2 2 3 8 3" xfId="18889" xr:uid="{FC47FD34-570C-49C0-B0EF-D3E1406D4917}"/>
    <cellStyle name="Comma 4 2 2 2 3 8 4" xfId="11268" xr:uid="{B91784A2-41A5-4D39-9B82-28AC89D97D71}"/>
    <cellStyle name="Comma 4 2 2 2 3 9" xfId="4603" xr:uid="{00000000-0005-0000-0000-0000E8070000}"/>
    <cellStyle name="Comma 4 2 2 2 3 9 2" xfId="20720" xr:uid="{543DD281-9CC5-4933-AD65-553B42DD90A0}"/>
    <cellStyle name="Comma 4 2 2 2 3 9 3" xfId="13099" xr:uid="{8450C4F8-7416-4CB3-9C22-3759224A97D5}"/>
    <cellStyle name="Comma 4 2 2 2 4" xfId="666" xr:uid="{00000000-0005-0000-0000-0000E9070000}"/>
    <cellStyle name="Comma 4 2 2 2 4 2" xfId="2937" xr:uid="{00000000-0005-0000-0000-0000EA070000}"/>
    <cellStyle name="Comma 4 2 2 2 4 2 2" xfId="7159" xr:uid="{00000000-0005-0000-0000-0000EB070000}"/>
    <cellStyle name="Comma 4 2 2 2 4 2 2 2" xfId="23275" xr:uid="{723BA05B-6539-4C02-A283-8C5F3B88290B}"/>
    <cellStyle name="Comma 4 2 2 2 4 2 2 3" xfId="15654" xr:uid="{18FE95EB-64EE-4280-ABA3-ACFDF5F39DFE}"/>
    <cellStyle name="Comma 4 2 2 2 4 2 3" xfId="19062" xr:uid="{589E2331-3532-4530-A278-77FAE4B1D728}"/>
    <cellStyle name="Comma 4 2 2 2 4 2 4" xfId="11441" xr:uid="{A770D54A-AFAF-4DC1-A38B-52FBC4F9BBC3}"/>
    <cellStyle name="Comma 4 2 2 2 4 3" xfId="5014" xr:uid="{00000000-0005-0000-0000-0000EC070000}"/>
    <cellStyle name="Comma 4 2 2 2 4 3 2" xfId="21130" xr:uid="{82753295-4255-47F0-AE1C-71391E13ABEE}"/>
    <cellStyle name="Comma 4 2 2 2 4 3 3" xfId="13509" xr:uid="{84012313-6EE7-479A-A2A7-FCEEBF0C4DF5}"/>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2 2 2" xfId="23688" xr:uid="{5BC6BFDD-489B-440E-8295-2DAA17D52D3C}"/>
    <cellStyle name="Comma 4 2 2 2 5 2 2 3" xfId="16067" xr:uid="{7C6F178D-A0F1-4604-97AC-8025543F738F}"/>
    <cellStyle name="Comma 4 2 2 2 5 2 3" xfId="19475" xr:uid="{713E1D62-77A1-46C4-B052-2ED814C58DDF}"/>
    <cellStyle name="Comma 4 2 2 2 5 2 4" xfId="11854" xr:uid="{326471BB-4323-42FB-9212-44A3450E2D84}"/>
    <cellStyle name="Comma 4 2 2 2 5 3" xfId="5427" xr:uid="{00000000-0005-0000-0000-0000F0070000}"/>
    <cellStyle name="Comma 4 2 2 2 5 3 2" xfId="21543" xr:uid="{5B3A91EA-0E7B-4A6F-87E0-9AE6DF1525F6}"/>
    <cellStyle name="Comma 4 2 2 2 5 3 3" xfId="13922" xr:uid="{B85B19FA-41A3-407E-B755-8F0FC6CC52CA}"/>
    <cellStyle name="Comma 4 2 2 2 5 4" xfId="17330" xr:uid="{33886155-8836-483A-9B2D-F894CE0F44C3}"/>
    <cellStyle name="Comma 4 2 2 2 5 5" xfId="9709" xr:uid="{9AE250EA-8EF1-4B25-BF15-03AE9C69F8E4}"/>
    <cellStyle name="Comma 4 2 2 2 6" xfId="1533" xr:uid="{00000000-0005-0000-0000-0000F1070000}"/>
    <cellStyle name="Comma 4 2 2 2 6 2" xfId="3763" xr:uid="{00000000-0005-0000-0000-0000F2070000}"/>
    <cellStyle name="Comma 4 2 2 2 6 2 2" xfId="7985" xr:uid="{00000000-0005-0000-0000-0000F3070000}"/>
    <cellStyle name="Comma 4 2 2 2 6 2 2 2" xfId="24101" xr:uid="{5AEB0A0B-6F6E-44A6-A24D-B631654579FD}"/>
    <cellStyle name="Comma 4 2 2 2 6 2 2 3" xfId="16480" xr:uid="{EF2B7661-5273-4248-BC50-3723036B04F5}"/>
    <cellStyle name="Comma 4 2 2 2 6 2 3" xfId="19888" xr:uid="{EB86B924-A254-43D7-AC04-55E3476C7E6E}"/>
    <cellStyle name="Comma 4 2 2 2 6 2 4" xfId="12267" xr:uid="{8F4EFC25-9788-4CDC-8A11-2DB144680BB3}"/>
    <cellStyle name="Comma 4 2 2 2 6 3" xfId="5840" xr:uid="{00000000-0005-0000-0000-0000F4070000}"/>
    <cellStyle name="Comma 4 2 2 2 6 3 2" xfId="21956" xr:uid="{60BA2F3C-8A48-4866-AF91-F8311DA0FC7F}"/>
    <cellStyle name="Comma 4 2 2 2 6 3 3" xfId="14335" xr:uid="{EA018075-5EBE-4292-91E8-541CECFCB41C}"/>
    <cellStyle name="Comma 4 2 2 2 6 4" xfId="17743" xr:uid="{A8D9A14A-F06F-4683-9A0C-83B27C573B47}"/>
    <cellStyle name="Comma 4 2 2 2 6 5" xfId="10122" xr:uid="{7110B97F-C28A-4A4E-BE8D-374BAD1288D8}"/>
    <cellStyle name="Comma 4 2 2 2 7" xfId="1947" xr:uid="{00000000-0005-0000-0000-0000F5070000}"/>
    <cellStyle name="Comma 4 2 2 2 7 2" xfId="4176" xr:uid="{00000000-0005-0000-0000-0000F6070000}"/>
    <cellStyle name="Comma 4 2 2 2 7 2 2" xfId="8398" xr:uid="{00000000-0005-0000-0000-0000F7070000}"/>
    <cellStyle name="Comma 4 2 2 2 7 2 2 2" xfId="24514" xr:uid="{46D3E3FF-201E-4592-B642-99DDC825259A}"/>
    <cellStyle name="Comma 4 2 2 2 7 2 2 3" xfId="16893" xr:uid="{38F51C4B-828B-45A6-B86B-844B550346F5}"/>
    <cellStyle name="Comma 4 2 2 2 7 2 3" xfId="20301" xr:uid="{A1FA33D5-D3C5-4574-A56B-60F4346CE970}"/>
    <cellStyle name="Comma 4 2 2 2 7 2 4" xfId="12680" xr:uid="{B7F5DF66-81DD-4596-A936-DD825CB01E31}"/>
    <cellStyle name="Comma 4 2 2 2 7 3" xfId="6253" xr:uid="{00000000-0005-0000-0000-0000F8070000}"/>
    <cellStyle name="Comma 4 2 2 2 7 3 2" xfId="22369" xr:uid="{B04F2C29-EB33-4941-9994-84BF53691E69}"/>
    <cellStyle name="Comma 4 2 2 2 7 3 3" xfId="14748" xr:uid="{87E3C439-45F0-4CFF-833A-10F31E84F26D}"/>
    <cellStyle name="Comma 4 2 2 2 7 4" xfId="18156" xr:uid="{0E24CE1D-DD7F-4DDA-ABE8-731D97D1EC9D}"/>
    <cellStyle name="Comma 4 2 2 2 7 5" xfId="10535" xr:uid="{FA60271C-963B-400B-8E76-0E3DDB52DD58}"/>
    <cellStyle name="Comma 4 2 2 2 8" xfId="2382" xr:uid="{00000000-0005-0000-0000-0000F9070000}"/>
    <cellStyle name="Comma 4 2 2 2 8 2" xfId="6666" xr:uid="{00000000-0005-0000-0000-0000FA070000}"/>
    <cellStyle name="Comma 4 2 2 2 8 2 2" xfId="22782" xr:uid="{36B6C6C5-FF0C-4930-B381-07F3619E8BEC}"/>
    <cellStyle name="Comma 4 2 2 2 8 2 3" xfId="15161" xr:uid="{B9362CDB-923B-4AA7-BCEE-D8BBC1BF54EC}"/>
    <cellStyle name="Comma 4 2 2 2 8 3" xfId="18569" xr:uid="{F5DB7E7B-8CD9-44AC-B39A-E915BDE59E10}"/>
    <cellStyle name="Comma 4 2 2 2 8 4" xfId="10948" xr:uid="{4A2D1EAE-6467-40BF-B9EB-E95D0B6D9478}"/>
    <cellStyle name="Comma 4 2 2 2 9" xfId="2381" xr:uid="{00000000-0005-0000-0000-0000FB070000}"/>
    <cellStyle name="Comma 4 2 2 3" xfId="132" xr:uid="{00000000-0005-0000-0000-0000FC070000}"/>
    <cellStyle name="Comma 4 2 2 3 10" xfId="4604" xr:uid="{00000000-0005-0000-0000-0000FD070000}"/>
    <cellStyle name="Comma 4 2 2 3 10 2" xfId="20721" xr:uid="{17C05CA6-1475-439A-9C24-006CDDABFDCB}"/>
    <cellStyle name="Comma 4 2 2 3 10 3" xfId="13100" xr:uid="{EAB0F46B-EED2-4D92-A5F6-3A99D7C4D911}"/>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23280" xr:uid="{D36CE80A-33D7-4FBE-9EC7-8014355C1D92}"/>
    <cellStyle name="Comma 4 2 2 3 2 2 2 2 3" xfId="15659" xr:uid="{62338C6E-D2AF-45C0-B054-581BFE10A0E3}"/>
    <cellStyle name="Comma 4 2 2 3 2 2 2 3" xfId="19067" xr:uid="{300E3892-CAAC-496D-B943-89619A164E9A}"/>
    <cellStyle name="Comma 4 2 2 3 2 2 2 4" xfId="11446" xr:uid="{8541F41A-50A5-423D-A4EE-623934BA7C7C}"/>
    <cellStyle name="Comma 4 2 2 3 2 2 3" xfId="5019" xr:uid="{00000000-0005-0000-0000-000002080000}"/>
    <cellStyle name="Comma 4 2 2 3 2 2 3 2" xfId="21135" xr:uid="{C0AAD25B-4A79-4A4D-B441-AE14F30C0018}"/>
    <cellStyle name="Comma 4 2 2 3 2 2 3 3" xfId="13514" xr:uid="{784138CB-2877-434C-A52C-09A97C79A35F}"/>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23693" xr:uid="{D96B4404-87F3-4C9D-9408-12D2A444EFE7}"/>
    <cellStyle name="Comma 4 2 2 3 2 3 2 2 3" xfId="16072" xr:uid="{17C3AC8F-2615-460A-9D57-DFD054101DB6}"/>
    <cellStyle name="Comma 4 2 2 3 2 3 2 3" xfId="19480" xr:uid="{5843BCEC-6D70-41E7-8906-B515023E7B35}"/>
    <cellStyle name="Comma 4 2 2 3 2 3 2 4" xfId="11859" xr:uid="{A9C9EA4F-0465-4406-9F74-670D5AD2B5FA}"/>
    <cellStyle name="Comma 4 2 2 3 2 3 3" xfId="5432" xr:uid="{00000000-0005-0000-0000-000006080000}"/>
    <cellStyle name="Comma 4 2 2 3 2 3 3 2" xfId="21548" xr:uid="{D31ED016-781E-4FE7-8571-C7C73A87B757}"/>
    <cellStyle name="Comma 4 2 2 3 2 3 3 3" xfId="13927" xr:uid="{6E822E64-51B0-4090-A6EA-02745CE383D0}"/>
    <cellStyle name="Comma 4 2 2 3 2 3 4" xfId="17335" xr:uid="{B46990B8-E76F-4CBB-9402-E299BA6B8A67}"/>
    <cellStyle name="Comma 4 2 2 3 2 3 5" xfId="9714" xr:uid="{C011971A-5D39-45BC-9AE5-5744227F635D}"/>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24106" xr:uid="{092AFDCF-9ABC-4162-B853-D170900EE40C}"/>
    <cellStyle name="Comma 4 2 2 3 2 4 2 2 3" xfId="16485" xr:uid="{E9F7F0C6-09DA-41B0-A8BF-EAB04C1D83B1}"/>
    <cellStyle name="Comma 4 2 2 3 2 4 2 3" xfId="19893" xr:uid="{94E0973D-9D5B-4046-8B8F-440B5AA70D75}"/>
    <cellStyle name="Comma 4 2 2 3 2 4 2 4" xfId="12272" xr:uid="{91D25C06-6FBE-4A6F-B810-AD2419A07D74}"/>
    <cellStyle name="Comma 4 2 2 3 2 4 3" xfId="5845" xr:uid="{00000000-0005-0000-0000-00000A080000}"/>
    <cellStyle name="Comma 4 2 2 3 2 4 3 2" xfId="21961" xr:uid="{E14DDABD-84B9-4B5D-A6F4-363E2FC0DF03}"/>
    <cellStyle name="Comma 4 2 2 3 2 4 3 3" xfId="14340" xr:uid="{FFDDFCD7-CDE5-4F9E-A79A-4081128931CB}"/>
    <cellStyle name="Comma 4 2 2 3 2 4 4" xfId="17748" xr:uid="{5D3DEF0E-D522-490F-8A08-706FC2797B25}"/>
    <cellStyle name="Comma 4 2 2 3 2 4 5" xfId="10127" xr:uid="{2DB04F1F-EDF5-42C2-BCCB-107479268C1B}"/>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24519" xr:uid="{3E80FDD8-BF0E-42AA-88B7-D5F842CB1A72}"/>
    <cellStyle name="Comma 4 2 2 3 2 5 2 2 3" xfId="16898" xr:uid="{625FC557-E54C-4E0F-8906-F68D2610C209}"/>
    <cellStyle name="Comma 4 2 2 3 2 5 2 3" xfId="20306" xr:uid="{CFA2DE74-CAD7-4FE0-A01B-7DD5D85F37E7}"/>
    <cellStyle name="Comma 4 2 2 3 2 5 2 4" xfId="12685" xr:uid="{49762DF4-469D-4127-A2BB-14846D38AEFE}"/>
    <cellStyle name="Comma 4 2 2 3 2 5 3" xfId="6258" xr:uid="{00000000-0005-0000-0000-00000E080000}"/>
    <cellStyle name="Comma 4 2 2 3 2 5 3 2" xfId="22374" xr:uid="{F0DD6DCC-E483-4808-B07C-0582BE04F164}"/>
    <cellStyle name="Comma 4 2 2 3 2 5 3 3" xfId="14753" xr:uid="{478059AD-A4F7-4C85-86DD-6B530B461994}"/>
    <cellStyle name="Comma 4 2 2 3 2 5 4" xfId="18161" xr:uid="{CC0C535B-6F1E-4175-A8BC-CD3A25A9AF71}"/>
    <cellStyle name="Comma 4 2 2 3 2 5 5" xfId="10540" xr:uid="{0ABA2790-C4F4-42B2-8CB5-680E1D7D07F3}"/>
    <cellStyle name="Comma 4 2 2 3 2 6" xfId="2387" xr:uid="{00000000-0005-0000-0000-00000F080000}"/>
    <cellStyle name="Comma 4 2 2 3 2 6 2" xfId="6671" xr:uid="{00000000-0005-0000-0000-000010080000}"/>
    <cellStyle name="Comma 4 2 2 3 2 6 2 2" xfId="22787" xr:uid="{6E685CFC-280C-4185-B78F-2DF0506DF348}"/>
    <cellStyle name="Comma 4 2 2 3 2 6 2 3" xfId="15166" xr:uid="{295FC0BD-9741-40C3-92BF-52F90C571EEA}"/>
    <cellStyle name="Comma 4 2 2 3 2 6 3" xfId="18574" xr:uid="{831DD6BE-3E4D-407D-A1C8-4C04C424AA36}"/>
    <cellStyle name="Comma 4 2 2 3 2 6 4" xfId="10953" xr:uid="{4ABFDC94-A222-446A-9444-BBA0950F71A9}"/>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23104" xr:uid="{E154F742-7857-42D4-8C08-63D868AF97C4}"/>
    <cellStyle name="Comma 4 2 2 3 2 8 2 3" xfId="15483" xr:uid="{4525552F-87DC-41E4-ABE6-3DF5AE2E2A57}"/>
    <cellStyle name="Comma 4 2 2 3 2 8 3" xfId="18891" xr:uid="{41CA995A-3A70-4407-BA86-E25F20B75EE8}"/>
    <cellStyle name="Comma 4 2 2 3 2 8 4" xfId="11270" xr:uid="{3E54C686-179D-4668-B931-9CE14EAE8D1D}"/>
    <cellStyle name="Comma 4 2 2 3 2 9" xfId="4605" xr:uid="{00000000-0005-0000-0000-000014080000}"/>
    <cellStyle name="Comma 4 2 2 3 2 9 2" xfId="20722" xr:uid="{E2579D38-1A50-4EA4-BAB0-FCDEC42B3012}"/>
    <cellStyle name="Comma 4 2 2 3 2 9 3" xfId="13101" xr:uid="{8EB0C563-C2BE-43DB-B017-9FBDC5E53DD0}"/>
    <cellStyle name="Comma 4 2 2 3 3" xfId="670" xr:uid="{00000000-0005-0000-0000-000015080000}"/>
    <cellStyle name="Comma 4 2 2 3 3 2" xfId="2941" xr:uid="{00000000-0005-0000-0000-000016080000}"/>
    <cellStyle name="Comma 4 2 2 3 3 2 2" xfId="7163" xr:uid="{00000000-0005-0000-0000-000017080000}"/>
    <cellStyle name="Comma 4 2 2 3 3 2 2 2" xfId="23279" xr:uid="{A62503FD-1A52-465F-AFBC-69D8B0DF1F73}"/>
    <cellStyle name="Comma 4 2 2 3 3 2 2 3" xfId="15658" xr:uid="{3C1FDA95-21BD-43EE-AEAB-0AAA46D6A08B}"/>
    <cellStyle name="Comma 4 2 2 3 3 2 3" xfId="19066" xr:uid="{1C0708C1-317F-48E4-B315-10152525856D}"/>
    <cellStyle name="Comma 4 2 2 3 3 2 4" xfId="11445" xr:uid="{2E6BA2CA-F6B8-488C-BB58-F6AA3BA3625D}"/>
    <cellStyle name="Comma 4 2 2 3 3 3" xfId="5018" xr:uid="{00000000-0005-0000-0000-000018080000}"/>
    <cellStyle name="Comma 4 2 2 3 3 3 2" xfId="21134" xr:uid="{01498446-618A-41E5-B576-C10F1AF6374C}"/>
    <cellStyle name="Comma 4 2 2 3 3 3 3" xfId="13513" xr:uid="{148AA535-7184-4097-837E-94BE410B422B}"/>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2 2 2" xfId="23692" xr:uid="{95DF1865-687A-47B2-A36F-22421BE47872}"/>
    <cellStyle name="Comma 4 2 2 3 4 2 2 3" xfId="16071" xr:uid="{0AB5C7C8-2359-47F1-BE5B-00F7D8A6C1A2}"/>
    <cellStyle name="Comma 4 2 2 3 4 2 3" xfId="19479" xr:uid="{03C9DF21-448C-4B1E-A19F-0330320F03DC}"/>
    <cellStyle name="Comma 4 2 2 3 4 2 4" xfId="11858" xr:uid="{04D3F4FE-0C93-4A23-B2A9-A4E5B6AEEF86}"/>
    <cellStyle name="Comma 4 2 2 3 4 3" xfId="5431" xr:uid="{00000000-0005-0000-0000-00001C080000}"/>
    <cellStyle name="Comma 4 2 2 3 4 3 2" xfId="21547" xr:uid="{38982A3E-F824-43F0-B65E-08DB7FE84598}"/>
    <cellStyle name="Comma 4 2 2 3 4 3 3" xfId="13926" xr:uid="{23CA5FA4-96ED-47CC-9AB8-2F84640561EF}"/>
    <cellStyle name="Comma 4 2 2 3 4 4" xfId="17334" xr:uid="{FCC6A0BF-B49B-463A-836F-7CFB94D1B311}"/>
    <cellStyle name="Comma 4 2 2 3 4 5" xfId="9713" xr:uid="{960E32CD-0681-4E20-9DA1-8235CC003984}"/>
    <cellStyle name="Comma 4 2 2 3 5" xfId="1537" xr:uid="{00000000-0005-0000-0000-00001D080000}"/>
    <cellStyle name="Comma 4 2 2 3 5 2" xfId="3767" xr:uid="{00000000-0005-0000-0000-00001E080000}"/>
    <cellStyle name="Comma 4 2 2 3 5 2 2" xfId="7989" xr:uid="{00000000-0005-0000-0000-00001F080000}"/>
    <cellStyle name="Comma 4 2 2 3 5 2 2 2" xfId="24105" xr:uid="{A7D8700E-6173-4826-9853-60D8B3D3F1DD}"/>
    <cellStyle name="Comma 4 2 2 3 5 2 2 3" xfId="16484" xr:uid="{974B3AB8-2460-49D6-884F-25E386655689}"/>
    <cellStyle name="Comma 4 2 2 3 5 2 3" xfId="19892" xr:uid="{4639E3BA-2638-4174-B394-756F265B3D37}"/>
    <cellStyle name="Comma 4 2 2 3 5 2 4" xfId="12271" xr:uid="{A1137AED-5E92-48C2-A8F2-28A083AA52F6}"/>
    <cellStyle name="Comma 4 2 2 3 5 3" xfId="5844" xr:uid="{00000000-0005-0000-0000-000020080000}"/>
    <cellStyle name="Comma 4 2 2 3 5 3 2" xfId="21960" xr:uid="{F4528D9C-4DBC-4D38-9C7B-31DA2F6BDE12}"/>
    <cellStyle name="Comma 4 2 2 3 5 3 3" xfId="14339" xr:uid="{AB6FB05F-4862-4D29-B8E8-A7A60E04DF29}"/>
    <cellStyle name="Comma 4 2 2 3 5 4" xfId="17747" xr:uid="{82DAA222-2B1D-4F10-9406-552C413B2DE8}"/>
    <cellStyle name="Comma 4 2 2 3 5 5" xfId="10126" xr:uid="{ADE99E84-B374-4274-9102-980917CAE040}"/>
    <cellStyle name="Comma 4 2 2 3 6" xfId="1951" xr:uid="{00000000-0005-0000-0000-000021080000}"/>
    <cellStyle name="Comma 4 2 2 3 6 2" xfId="4180" xr:uid="{00000000-0005-0000-0000-000022080000}"/>
    <cellStyle name="Comma 4 2 2 3 6 2 2" xfId="8402" xr:uid="{00000000-0005-0000-0000-000023080000}"/>
    <cellStyle name="Comma 4 2 2 3 6 2 2 2" xfId="24518" xr:uid="{982773A0-61DF-4307-BA01-BD69DE28EFF3}"/>
    <cellStyle name="Comma 4 2 2 3 6 2 2 3" xfId="16897" xr:uid="{92464DCE-F2A4-48BC-880E-8421D921E52D}"/>
    <cellStyle name="Comma 4 2 2 3 6 2 3" xfId="20305" xr:uid="{90062A7C-BB05-45B5-A496-94FF2A66FB2E}"/>
    <cellStyle name="Comma 4 2 2 3 6 2 4" xfId="12684" xr:uid="{799C4D78-6C30-4866-BCB1-8EDF54D8F0BB}"/>
    <cellStyle name="Comma 4 2 2 3 6 3" xfId="6257" xr:uid="{00000000-0005-0000-0000-000024080000}"/>
    <cellStyle name="Comma 4 2 2 3 6 3 2" xfId="22373" xr:uid="{3F4D10BB-6A48-420A-99BC-408AC1582773}"/>
    <cellStyle name="Comma 4 2 2 3 6 3 3" xfId="14752" xr:uid="{FC27635D-972B-4FDA-A3F9-0E87376F030C}"/>
    <cellStyle name="Comma 4 2 2 3 6 4" xfId="18160" xr:uid="{2C628D5A-B2F4-4527-9E83-E9408BA41873}"/>
    <cellStyle name="Comma 4 2 2 3 6 5" xfId="10539" xr:uid="{C26D4A0B-6D9D-4DB6-A197-AFD03BEDAA73}"/>
    <cellStyle name="Comma 4 2 2 3 7" xfId="2386" xr:uid="{00000000-0005-0000-0000-000025080000}"/>
    <cellStyle name="Comma 4 2 2 3 7 2" xfId="6670" xr:uid="{00000000-0005-0000-0000-000026080000}"/>
    <cellStyle name="Comma 4 2 2 3 7 2 2" xfId="22786" xr:uid="{1B28C25A-1ABC-4B8D-A0C3-E83FF0453F36}"/>
    <cellStyle name="Comma 4 2 2 3 7 2 3" xfId="15165" xr:uid="{0B8556AC-6639-44A1-8271-FCE9D212DBC9}"/>
    <cellStyle name="Comma 4 2 2 3 7 3" xfId="18573" xr:uid="{BB0FE44E-FB03-47A2-ABA7-89207CD6355B}"/>
    <cellStyle name="Comma 4 2 2 3 7 4" xfId="10952" xr:uid="{F1995886-83CA-4B70-A304-D56D813C2158}"/>
    <cellStyle name="Comma 4 2 2 3 8" xfId="2377" xr:uid="{00000000-0005-0000-0000-000027080000}"/>
    <cellStyle name="Comma 4 2 2 3 9" xfId="2764" xr:uid="{00000000-0005-0000-0000-000028080000}"/>
    <cellStyle name="Comma 4 2 2 3 9 2" xfId="6987" xr:uid="{00000000-0005-0000-0000-000029080000}"/>
    <cellStyle name="Comma 4 2 2 3 9 2 2" xfId="23103" xr:uid="{4F923871-5FFF-4496-BD3A-22610460B604}"/>
    <cellStyle name="Comma 4 2 2 3 9 2 3" xfId="15482" xr:uid="{A59FAFA7-D7BB-4E03-8DF4-CC7CBE91E6B7}"/>
    <cellStyle name="Comma 4 2 2 3 9 3" xfId="18890" xr:uid="{7D808BB6-BF48-4B26-B6FA-90EEEA6D948B}"/>
    <cellStyle name="Comma 4 2 2 3 9 4" xfId="11269" xr:uid="{C9884B9D-94D6-47E7-93B1-E44F1EE6374A}"/>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2 2 2" xfId="23281" xr:uid="{E09E1D9C-E7AB-4669-AED4-666A70107ADE}"/>
    <cellStyle name="Comma 4 2 2 4 2 2 2 3" xfId="15660" xr:uid="{7ABD1C58-39B5-4134-A398-8FA5FEDC8422}"/>
    <cellStyle name="Comma 4 2 2 4 2 2 3" xfId="19068" xr:uid="{BD537A51-DAEF-4204-8D11-67D5843C0936}"/>
    <cellStyle name="Comma 4 2 2 4 2 2 4" xfId="11447" xr:uid="{CE41B0B8-3955-4CDF-A302-27927F28AB3A}"/>
    <cellStyle name="Comma 4 2 2 4 2 3" xfId="5020" xr:uid="{00000000-0005-0000-0000-00002E080000}"/>
    <cellStyle name="Comma 4 2 2 4 2 3 2" xfId="21136" xr:uid="{8302AC1D-2D8A-4C23-B85B-9824E0148948}"/>
    <cellStyle name="Comma 4 2 2 4 2 3 3" xfId="13515" xr:uid="{D79393E3-0D94-47A0-B7DE-31556C1B8256}"/>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2 2 2" xfId="23694" xr:uid="{625DB041-E7B1-4638-9892-DC959B9CD113}"/>
    <cellStyle name="Comma 4 2 2 4 3 2 2 3" xfId="16073" xr:uid="{8E7976D2-CBD7-494D-BC65-970CC9A00A82}"/>
    <cellStyle name="Comma 4 2 2 4 3 2 3" xfId="19481" xr:uid="{249412D5-2B9D-4C1A-A935-6061A3FE72E3}"/>
    <cellStyle name="Comma 4 2 2 4 3 2 4" xfId="11860" xr:uid="{006E5F9F-319E-454A-8702-B78EA1678321}"/>
    <cellStyle name="Comma 4 2 2 4 3 3" xfId="5433" xr:uid="{00000000-0005-0000-0000-000032080000}"/>
    <cellStyle name="Comma 4 2 2 4 3 3 2" xfId="21549" xr:uid="{B7CFF55B-71A1-4A4B-84DD-6E3E7CC1EAD3}"/>
    <cellStyle name="Comma 4 2 2 4 3 3 3" xfId="13928" xr:uid="{300A98FF-B6A4-40C9-913D-18C20B1F11B2}"/>
    <cellStyle name="Comma 4 2 2 4 3 4" xfId="17336" xr:uid="{2866C2AC-0ECE-449D-8704-59AAA2CB7A8E}"/>
    <cellStyle name="Comma 4 2 2 4 3 5" xfId="9715" xr:uid="{4337A309-9F0C-40E7-B077-2029D63151E2}"/>
    <cellStyle name="Comma 4 2 2 4 4" xfId="1539" xr:uid="{00000000-0005-0000-0000-000033080000}"/>
    <cellStyle name="Comma 4 2 2 4 4 2" xfId="3769" xr:uid="{00000000-0005-0000-0000-000034080000}"/>
    <cellStyle name="Comma 4 2 2 4 4 2 2" xfId="7991" xr:uid="{00000000-0005-0000-0000-000035080000}"/>
    <cellStyle name="Comma 4 2 2 4 4 2 2 2" xfId="24107" xr:uid="{834AF369-34EF-45C0-96AE-A442E1D15371}"/>
    <cellStyle name="Comma 4 2 2 4 4 2 2 3" xfId="16486" xr:uid="{E7E28CF9-67AD-4FFF-BB92-D6B6ABD18BC4}"/>
    <cellStyle name="Comma 4 2 2 4 4 2 3" xfId="19894" xr:uid="{793901FB-DC82-4213-AF13-48E8D87E785C}"/>
    <cellStyle name="Comma 4 2 2 4 4 2 4" xfId="12273" xr:uid="{95C19A0E-38F9-4693-96E9-A982B1BC9B2D}"/>
    <cellStyle name="Comma 4 2 2 4 4 3" xfId="5846" xr:uid="{00000000-0005-0000-0000-000036080000}"/>
    <cellStyle name="Comma 4 2 2 4 4 3 2" xfId="21962" xr:uid="{4DBD1FD8-482C-4812-8588-45DBC476CAED}"/>
    <cellStyle name="Comma 4 2 2 4 4 3 3" xfId="14341" xr:uid="{EBCDBAC2-E75E-4F79-A000-4288EEE0D334}"/>
    <cellStyle name="Comma 4 2 2 4 4 4" xfId="17749" xr:uid="{8EEC348C-21EA-4B5B-BA09-BE64B4662BEA}"/>
    <cellStyle name="Comma 4 2 2 4 4 5" xfId="10128" xr:uid="{874A90F4-EFF7-49E8-80B0-6071B80A0C35}"/>
    <cellStyle name="Comma 4 2 2 4 5" xfId="1953" xr:uid="{00000000-0005-0000-0000-000037080000}"/>
    <cellStyle name="Comma 4 2 2 4 5 2" xfId="4182" xr:uid="{00000000-0005-0000-0000-000038080000}"/>
    <cellStyle name="Comma 4 2 2 4 5 2 2" xfId="8404" xr:uid="{00000000-0005-0000-0000-000039080000}"/>
    <cellStyle name="Comma 4 2 2 4 5 2 2 2" xfId="24520" xr:uid="{1E395574-8988-48F0-8E21-BE75B00F5678}"/>
    <cellStyle name="Comma 4 2 2 4 5 2 2 3" xfId="16899" xr:uid="{714270FA-1A5A-41D2-BBBC-9E6A5E871A2C}"/>
    <cellStyle name="Comma 4 2 2 4 5 2 3" xfId="20307" xr:uid="{4D47780E-753C-424B-9626-D1DBFB4C77FF}"/>
    <cellStyle name="Comma 4 2 2 4 5 2 4" xfId="12686" xr:uid="{2B7C7E55-E8AB-417E-900E-38FF4BF2253C}"/>
    <cellStyle name="Comma 4 2 2 4 5 3" xfId="6259" xr:uid="{00000000-0005-0000-0000-00003A080000}"/>
    <cellStyle name="Comma 4 2 2 4 5 3 2" xfId="22375" xr:uid="{66AEC005-848B-4F25-A570-1EB71DC1C645}"/>
    <cellStyle name="Comma 4 2 2 4 5 3 3" xfId="14754" xr:uid="{63059D7E-A9EC-4456-9B34-EA6F8CDF3847}"/>
    <cellStyle name="Comma 4 2 2 4 5 4" xfId="18162" xr:uid="{7E18B8B6-506C-4881-9C67-5624B38F6DAE}"/>
    <cellStyle name="Comma 4 2 2 4 5 5" xfId="10541" xr:uid="{55E26EF7-D94F-46C2-B5F3-8BE3DCA7FE9C}"/>
    <cellStyle name="Comma 4 2 2 4 6" xfId="2388" xr:uid="{00000000-0005-0000-0000-00003B080000}"/>
    <cellStyle name="Comma 4 2 2 4 6 2" xfId="6672" xr:uid="{00000000-0005-0000-0000-00003C080000}"/>
    <cellStyle name="Comma 4 2 2 4 6 2 2" xfId="22788" xr:uid="{0BFD5574-5645-4562-B3BE-4277E750ABB6}"/>
    <cellStyle name="Comma 4 2 2 4 6 2 3" xfId="15167" xr:uid="{E5878616-F0C7-4D42-8380-1438FD4F22E4}"/>
    <cellStyle name="Comma 4 2 2 4 6 3" xfId="18575" xr:uid="{57D3CBBA-2545-46E5-BBEE-9EB047917F99}"/>
    <cellStyle name="Comma 4 2 2 4 6 4" xfId="10954" xr:uid="{0CF6D945-8C5A-4F52-9147-BDC11F0DAF70}"/>
    <cellStyle name="Comma 4 2 2 4 7" xfId="2375" xr:uid="{00000000-0005-0000-0000-00003D080000}"/>
    <cellStyle name="Comma 4 2 2 4 8" xfId="2766" xr:uid="{00000000-0005-0000-0000-00003E080000}"/>
    <cellStyle name="Comma 4 2 2 4 8 2" xfId="6989" xr:uid="{00000000-0005-0000-0000-00003F080000}"/>
    <cellStyle name="Comma 4 2 2 4 8 2 2" xfId="23105" xr:uid="{A28F4F9C-7ACD-47F5-8A42-99ADAABB1AD7}"/>
    <cellStyle name="Comma 4 2 2 4 8 2 3" xfId="15484" xr:uid="{F4CC6734-CE23-4A61-9F98-3504DBBEFC04}"/>
    <cellStyle name="Comma 4 2 2 4 8 3" xfId="18892" xr:uid="{ED7B7CB3-17F1-48EA-BFFA-D9EBA275E3E0}"/>
    <cellStyle name="Comma 4 2 2 4 8 4" xfId="11271" xr:uid="{1F0C6744-8505-4C7D-882C-86C48734502D}"/>
    <cellStyle name="Comma 4 2 2 4 9" xfId="4606" xr:uid="{00000000-0005-0000-0000-000040080000}"/>
    <cellStyle name="Comma 4 2 2 4 9 2" xfId="20723" xr:uid="{27F0A89E-7183-43D9-A898-D864C6988B22}"/>
    <cellStyle name="Comma 4 2 2 4 9 3" xfId="13102" xr:uid="{5CBCCFB9-C8CF-4042-945A-5A187A5F5A76}"/>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2 2 2" xfId="23282" xr:uid="{F3040661-EC73-4E2B-9CFC-6BADCF994BFF}"/>
    <cellStyle name="Comma 4 2 2 5 2 2 2 3" xfId="15661" xr:uid="{8941A1E4-341E-42C7-8646-E29C5BD91750}"/>
    <cellStyle name="Comma 4 2 2 5 2 2 3" xfId="19069" xr:uid="{2B8CA9CD-877D-4CD4-97F3-44482E9B19D6}"/>
    <cellStyle name="Comma 4 2 2 5 2 2 4" xfId="11448" xr:uid="{A0259303-DBFF-42A8-B0E8-3158B87987F6}"/>
    <cellStyle name="Comma 4 2 2 5 2 3" xfId="5021" xr:uid="{00000000-0005-0000-0000-000045080000}"/>
    <cellStyle name="Comma 4 2 2 5 2 3 2" xfId="21137" xr:uid="{AE3448AE-5E6E-4250-9268-FC52E4DD124E}"/>
    <cellStyle name="Comma 4 2 2 5 2 3 3" xfId="13516" xr:uid="{4548056E-9B87-46FA-80B0-8B11B7451D16}"/>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2 2 2" xfId="23695" xr:uid="{0B915B49-C54E-4215-B28F-F11875993BBC}"/>
    <cellStyle name="Comma 4 2 2 5 3 2 2 3" xfId="16074" xr:uid="{249ABF84-C801-4596-84DF-8701887DF641}"/>
    <cellStyle name="Comma 4 2 2 5 3 2 3" xfId="19482" xr:uid="{B0C09CFA-AE06-4FC7-BF5E-51F5EF759861}"/>
    <cellStyle name="Comma 4 2 2 5 3 2 4" xfId="11861" xr:uid="{1819D198-8630-4750-AD98-9F8BB4402A4F}"/>
    <cellStyle name="Comma 4 2 2 5 3 3" xfId="5434" xr:uid="{00000000-0005-0000-0000-000049080000}"/>
    <cellStyle name="Comma 4 2 2 5 3 3 2" xfId="21550" xr:uid="{87C74431-CD00-4106-9ACC-07DB795AD8B2}"/>
    <cellStyle name="Comma 4 2 2 5 3 3 3" xfId="13929" xr:uid="{FEBBDC49-105A-476E-9292-1C81D1D61674}"/>
    <cellStyle name="Comma 4 2 2 5 3 4" xfId="17337" xr:uid="{99387416-5ECD-4395-9DE9-B65440D8D2F4}"/>
    <cellStyle name="Comma 4 2 2 5 3 5" xfId="9716" xr:uid="{6965D3D4-C354-4F1E-B2F6-98D132DCD747}"/>
    <cellStyle name="Comma 4 2 2 5 4" xfId="1540" xr:uid="{00000000-0005-0000-0000-00004A080000}"/>
    <cellStyle name="Comma 4 2 2 5 4 2" xfId="3770" xr:uid="{00000000-0005-0000-0000-00004B080000}"/>
    <cellStyle name="Comma 4 2 2 5 4 2 2" xfId="7992" xr:uid="{00000000-0005-0000-0000-00004C080000}"/>
    <cellStyle name="Comma 4 2 2 5 4 2 2 2" xfId="24108" xr:uid="{DB673D3A-EDC8-4C04-8E02-558EBDA1DB6A}"/>
    <cellStyle name="Comma 4 2 2 5 4 2 2 3" xfId="16487" xr:uid="{C78CD105-7AFC-4153-9D47-A87EF872696A}"/>
    <cellStyle name="Comma 4 2 2 5 4 2 3" xfId="19895" xr:uid="{B68E4C60-CBDC-40D8-8242-8498651CECCB}"/>
    <cellStyle name="Comma 4 2 2 5 4 2 4" xfId="12274" xr:uid="{6E78347A-A73E-442C-A3BD-918E4AEE2247}"/>
    <cellStyle name="Comma 4 2 2 5 4 3" xfId="5847" xr:uid="{00000000-0005-0000-0000-00004D080000}"/>
    <cellStyle name="Comma 4 2 2 5 4 3 2" xfId="21963" xr:uid="{4C765065-70B6-4AB6-B5F5-ACF7D8570719}"/>
    <cellStyle name="Comma 4 2 2 5 4 3 3" xfId="14342" xr:uid="{8015639A-7C98-40BC-8296-51F45B518076}"/>
    <cellStyle name="Comma 4 2 2 5 4 4" xfId="17750" xr:uid="{A7A52D01-1201-4382-B63E-EF2BBBF52DF9}"/>
    <cellStyle name="Comma 4 2 2 5 4 5" xfId="10129" xr:uid="{AB9432F2-7BA6-4575-901F-C92906FD205D}"/>
    <cellStyle name="Comma 4 2 2 5 5" xfId="1954" xr:uid="{00000000-0005-0000-0000-00004E080000}"/>
    <cellStyle name="Comma 4 2 2 5 5 2" xfId="4183" xr:uid="{00000000-0005-0000-0000-00004F080000}"/>
    <cellStyle name="Comma 4 2 2 5 5 2 2" xfId="8405" xr:uid="{00000000-0005-0000-0000-000050080000}"/>
    <cellStyle name="Comma 4 2 2 5 5 2 2 2" xfId="24521" xr:uid="{E8177948-282C-4340-B50B-F5724FFCC906}"/>
    <cellStyle name="Comma 4 2 2 5 5 2 2 3" xfId="16900" xr:uid="{3CE6C596-4DEB-4A99-86F8-19F51699CAEF}"/>
    <cellStyle name="Comma 4 2 2 5 5 2 3" xfId="20308" xr:uid="{8E99DA62-33FD-4DE6-8169-A010407E1220}"/>
    <cellStyle name="Comma 4 2 2 5 5 2 4" xfId="12687" xr:uid="{0412C7EC-5D46-40B7-A19C-5F0DA6D01922}"/>
    <cellStyle name="Comma 4 2 2 5 5 3" xfId="6260" xr:uid="{00000000-0005-0000-0000-000051080000}"/>
    <cellStyle name="Comma 4 2 2 5 5 3 2" xfId="22376" xr:uid="{410A6271-EFCE-4A0F-9AD0-EB57689CD8F9}"/>
    <cellStyle name="Comma 4 2 2 5 5 3 3" xfId="14755" xr:uid="{B73BF1D1-3AD2-49B5-B3A4-23B407FD3D02}"/>
    <cellStyle name="Comma 4 2 2 5 5 4" xfId="18163" xr:uid="{0F2E755A-2C6B-4C2B-A514-4452D7793B70}"/>
    <cellStyle name="Comma 4 2 2 5 5 5" xfId="10542" xr:uid="{7742EF97-21FC-4C9C-88B5-6E694A47801D}"/>
    <cellStyle name="Comma 4 2 2 5 6" xfId="2389" xr:uid="{00000000-0005-0000-0000-000052080000}"/>
    <cellStyle name="Comma 4 2 2 5 6 2" xfId="6673" xr:uid="{00000000-0005-0000-0000-000053080000}"/>
    <cellStyle name="Comma 4 2 2 5 6 2 2" xfId="22789" xr:uid="{A446A3D1-8B64-4510-B6DD-E09B44CEFBB6}"/>
    <cellStyle name="Comma 4 2 2 5 6 2 3" xfId="15168" xr:uid="{B1C67E60-2B89-43CE-83AE-D5487270ABA7}"/>
    <cellStyle name="Comma 4 2 2 5 6 3" xfId="18576" xr:uid="{CDA11494-5CBA-4D65-98B7-CAF8FBE9662B}"/>
    <cellStyle name="Comma 4 2 2 5 6 4" xfId="10955" xr:uid="{61F13B76-073E-4514-BA32-6E2870D2E951}"/>
    <cellStyle name="Comma 4 2 2 5 7" xfId="2374" xr:uid="{00000000-0005-0000-0000-000054080000}"/>
    <cellStyle name="Comma 4 2 2 5 8" xfId="2767" xr:uid="{00000000-0005-0000-0000-000055080000}"/>
    <cellStyle name="Comma 4 2 2 5 8 2" xfId="6990" xr:uid="{00000000-0005-0000-0000-000056080000}"/>
    <cellStyle name="Comma 4 2 2 5 8 2 2" xfId="23106" xr:uid="{734FCE5F-DB54-429E-AD75-6506CC56BD0A}"/>
    <cellStyle name="Comma 4 2 2 5 8 2 3" xfId="15485" xr:uid="{F59B9089-4E7E-44C2-B7D2-F1D9FD7BD846}"/>
    <cellStyle name="Comma 4 2 2 5 8 3" xfId="18893" xr:uid="{2AA43281-7773-4092-BF80-11E4BC278642}"/>
    <cellStyle name="Comma 4 2 2 5 8 4" xfId="11272" xr:uid="{92BE70B1-213E-47EA-8434-35BF2102F5C5}"/>
    <cellStyle name="Comma 4 2 2 5 9" xfId="4607" xr:uid="{00000000-0005-0000-0000-000057080000}"/>
    <cellStyle name="Comma 4 2 2 5 9 2" xfId="20724" xr:uid="{20988B67-F5A4-4901-BB47-3B45410ED523}"/>
    <cellStyle name="Comma 4 2 2 5 9 3" xfId="13103" xr:uid="{1C523D48-F0B4-461D-AE0C-2B90FEAC45C4}"/>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0 2 2" xfId="23107" xr:uid="{3BDAE654-C079-4113-AE06-821B5CA4A0BC}"/>
    <cellStyle name="Comma 4 2 3 10 2 3" xfId="15486" xr:uid="{E5D2BD9F-4BE7-4334-91B7-7CFED0ED6466}"/>
    <cellStyle name="Comma 4 2 3 10 3" xfId="18894" xr:uid="{2562190E-3AC6-4A05-8DF3-83A5CCFBE762}"/>
    <cellStyle name="Comma 4 2 3 10 4" xfId="11273" xr:uid="{0BE83129-FD49-49B3-88EF-200229B28A5B}"/>
    <cellStyle name="Comma 4 2 3 11" xfId="4608" xr:uid="{00000000-0005-0000-0000-00005B080000}"/>
    <cellStyle name="Comma 4 2 3 11 2" xfId="20725" xr:uid="{57BAE9F7-B601-4157-961A-E95D333B2659}"/>
    <cellStyle name="Comma 4 2 3 11 3" xfId="13104" xr:uid="{273B1B40-22BD-44EA-A5AF-977A17E8F80B}"/>
    <cellStyle name="Comma 4 2 3 12" xfId="8805" xr:uid="{C45527F6-07B7-4887-BAF3-A6424444BA3B}"/>
    <cellStyle name="Comma 4 2 3 2" xfId="137" xr:uid="{00000000-0005-0000-0000-00005C080000}"/>
    <cellStyle name="Comma 4 2 3 2 10" xfId="4609" xr:uid="{00000000-0005-0000-0000-00005D080000}"/>
    <cellStyle name="Comma 4 2 3 2 10 2" xfId="20726" xr:uid="{2BAD182A-4010-49E9-ADA0-A86814737471}"/>
    <cellStyle name="Comma 4 2 3 2 10 3" xfId="13105" xr:uid="{624B45CF-2B3F-4F14-A487-39386BF6966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23285" xr:uid="{1BBBD3B5-0CD2-42EF-B233-C55B9EB4E7E2}"/>
    <cellStyle name="Comma 4 2 3 2 2 2 2 2 3" xfId="15664" xr:uid="{A699D929-37BC-4B6A-A6B7-785844F8B87C}"/>
    <cellStyle name="Comma 4 2 3 2 2 2 2 3" xfId="19072" xr:uid="{41612647-8ACD-4B9F-A52B-DEE18B89C4BE}"/>
    <cellStyle name="Comma 4 2 3 2 2 2 2 4" xfId="11451" xr:uid="{33A2A3B7-2531-4FD3-923A-EC400280FBB7}"/>
    <cellStyle name="Comma 4 2 3 2 2 2 3" xfId="5024" xr:uid="{00000000-0005-0000-0000-000062080000}"/>
    <cellStyle name="Comma 4 2 3 2 2 2 3 2" xfId="21140" xr:uid="{0CA919F1-7173-4E12-A41A-F1575DE12D7A}"/>
    <cellStyle name="Comma 4 2 3 2 2 2 3 3" xfId="13519" xr:uid="{3E410448-829F-4E98-8C03-3C144F3AB518}"/>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23698" xr:uid="{C42AC1C2-549D-4845-BFC9-1688CBD206AC}"/>
    <cellStyle name="Comma 4 2 3 2 2 3 2 2 3" xfId="16077" xr:uid="{6F2C59B1-B4A1-48DD-B76F-9F06844E5931}"/>
    <cellStyle name="Comma 4 2 3 2 2 3 2 3" xfId="19485" xr:uid="{05330678-036D-4AC0-9A31-DD8E58D7846C}"/>
    <cellStyle name="Comma 4 2 3 2 2 3 2 4" xfId="11864" xr:uid="{652AFF0F-B0CA-4F4F-82EF-191FD8E41C5A}"/>
    <cellStyle name="Comma 4 2 3 2 2 3 3" xfId="5437" xr:uid="{00000000-0005-0000-0000-000066080000}"/>
    <cellStyle name="Comma 4 2 3 2 2 3 3 2" xfId="21553" xr:uid="{853FA5BC-A3DB-482B-8DF9-7FF4BCC849DC}"/>
    <cellStyle name="Comma 4 2 3 2 2 3 3 3" xfId="13932" xr:uid="{BB1B72B3-0BE3-45D0-868E-82E1B7C624C6}"/>
    <cellStyle name="Comma 4 2 3 2 2 3 4" xfId="17340" xr:uid="{A494BEB7-B996-44EE-95DA-398542EC3D45}"/>
    <cellStyle name="Comma 4 2 3 2 2 3 5" xfId="9719" xr:uid="{D38C4BC2-C59E-4ED2-96E1-B754E37CC69B}"/>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24111" xr:uid="{0F0DED0A-6F95-4F5C-8225-A05A981C1B70}"/>
    <cellStyle name="Comma 4 2 3 2 2 4 2 2 3" xfId="16490" xr:uid="{8D6AF7D3-DFF2-48A5-9C45-EA347E28F4A1}"/>
    <cellStyle name="Comma 4 2 3 2 2 4 2 3" xfId="19898" xr:uid="{B8F6467B-EE5B-48AA-B72C-32641879E2B4}"/>
    <cellStyle name="Comma 4 2 3 2 2 4 2 4" xfId="12277" xr:uid="{1AD01751-0AA3-4BFA-8E83-FD38BF0DF16F}"/>
    <cellStyle name="Comma 4 2 3 2 2 4 3" xfId="5850" xr:uid="{00000000-0005-0000-0000-00006A080000}"/>
    <cellStyle name="Comma 4 2 3 2 2 4 3 2" xfId="21966" xr:uid="{EA796217-1737-407F-9B2A-EBE8FDE3BE95}"/>
    <cellStyle name="Comma 4 2 3 2 2 4 3 3" xfId="14345" xr:uid="{3DED6DF7-F16D-4453-AEE8-F5AF716D3426}"/>
    <cellStyle name="Comma 4 2 3 2 2 4 4" xfId="17753" xr:uid="{85728845-C4B7-4EF5-B61E-6B3BF8851768}"/>
    <cellStyle name="Comma 4 2 3 2 2 4 5" xfId="10132" xr:uid="{1470AE5A-6199-4DAC-B411-CEC672BFA0F0}"/>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24524" xr:uid="{A6F61855-54E8-446C-BECB-ABE33609ADBE}"/>
    <cellStyle name="Comma 4 2 3 2 2 5 2 2 3" xfId="16903" xr:uid="{5AB2DA90-1CB1-4D20-871A-A9D9C7F8995A}"/>
    <cellStyle name="Comma 4 2 3 2 2 5 2 3" xfId="20311" xr:uid="{A989D828-1A21-45A3-881A-10DED4F46E42}"/>
    <cellStyle name="Comma 4 2 3 2 2 5 2 4" xfId="12690" xr:uid="{3869E4DA-0B75-404E-9572-73636387BBFA}"/>
    <cellStyle name="Comma 4 2 3 2 2 5 3" xfId="6263" xr:uid="{00000000-0005-0000-0000-00006E080000}"/>
    <cellStyle name="Comma 4 2 3 2 2 5 3 2" xfId="22379" xr:uid="{804CC8FF-9980-48D8-8F57-64EA6C08C2AB}"/>
    <cellStyle name="Comma 4 2 3 2 2 5 3 3" xfId="14758" xr:uid="{9616B4F7-85E1-4AED-A9E3-81DE3B664FEA}"/>
    <cellStyle name="Comma 4 2 3 2 2 5 4" xfId="18166" xr:uid="{5B1BC788-EF82-41D0-ACE7-54D776831658}"/>
    <cellStyle name="Comma 4 2 3 2 2 5 5" xfId="10545" xr:uid="{7AD42617-031E-4776-BEBD-9EBA973F693D}"/>
    <cellStyle name="Comma 4 2 3 2 2 6" xfId="2392" xr:uid="{00000000-0005-0000-0000-00006F080000}"/>
    <cellStyle name="Comma 4 2 3 2 2 6 2" xfId="6676" xr:uid="{00000000-0005-0000-0000-000070080000}"/>
    <cellStyle name="Comma 4 2 3 2 2 6 2 2" xfId="22792" xr:uid="{B6C98524-28D9-49BE-B081-A3DB27330F37}"/>
    <cellStyle name="Comma 4 2 3 2 2 6 2 3" xfId="15171" xr:uid="{9EEF0C2E-D172-4C2F-B820-16122AC5D3DC}"/>
    <cellStyle name="Comma 4 2 3 2 2 6 3" xfId="18579" xr:uid="{13857079-4C7A-4CF0-8FE3-18A20D0C6CEE}"/>
    <cellStyle name="Comma 4 2 3 2 2 6 4" xfId="10958" xr:uid="{53E43F18-70BB-49CA-B3A1-4D05B5651385}"/>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23109" xr:uid="{D54FBA60-6E27-438A-BDE7-D27B40F83554}"/>
    <cellStyle name="Comma 4 2 3 2 2 8 2 3" xfId="15488" xr:uid="{29668AC1-0C11-473B-B602-6D60C9F20F8A}"/>
    <cellStyle name="Comma 4 2 3 2 2 8 3" xfId="18896" xr:uid="{B3402682-E5B6-40F5-826E-34BF8E8E2989}"/>
    <cellStyle name="Comma 4 2 3 2 2 8 4" xfId="11275" xr:uid="{D5517CA3-0039-42DD-A059-7A8DF1D5E954}"/>
    <cellStyle name="Comma 4 2 3 2 2 9" xfId="4610" xr:uid="{00000000-0005-0000-0000-000074080000}"/>
    <cellStyle name="Comma 4 2 3 2 2 9 2" xfId="20727" xr:uid="{FF9ED670-6EAD-436F-AF0F-BF3FB2884BC6}"/>
    <cellStyle name="Comma 4 2 3 2 2 9 3" xfId="13106" xr:uid="{A0AA0F2C-881F-4707-9248-06A4BADBC6CC}"/>
    <cellStyle name="Comma 4 2 3 2 3" xfId="675" xr:uid="{00000000-0005-0000-0000-000075080000}"/>
    <cellStyle name="Comma 4 2 3 2 3 2" xfId="2946" xr:uid="{00000000-0005-0000-0000-000076080000}"/>
    <cellStyle name="Comma 4 2 3 2 3 2 2" xfId="7168" xr:uid="{00000000-0005-0000-0000-000077080000}"/>
    <cellStyle name="Comma 4 2 3 2 3 2 2 2" xfId="23284" xr:uid="{957EE667-D7F0-46D2-8046-D9891195DC8A}"/>
    <cellStyle name="Comma 4 2 3 2 3 2 2 3" xfId="15663" xr:uid="{4F6A64D7-1C64-486B-9A92-F9DA58748AAA}"/>
    <cellStyle name="Comma 4 2 3 2 3 2 3" xfId="19071" xr:uid="{AB5C0BC0-9022-4940-85EE-B601BD503007}"/>
    <cellStyle name="Comma 4 2 3 2 3 2 4" xfId="11450" xr:uid="{B14137A6-9CA8-4FFA-BC1F-8278EBA234C3}"/>
    <cellStyle name="Comma 4 2 3 2 3 3" xfId="5023" xr:uid="{00000000-0005-0000-0000-000078080000}"/>
    <cellStyle name="Comma 4 2 3 2 3 3 2" xfId="21139" xr:uid="{165B30E8-FE14-488C-BF44-98A19AD509DF}"/>
    <cellStyle name="Comma 4 2 3 2 3 3 3" xfId="13518" xr:uid="{08342147-D216-49C4-8D7D-AE8E65400485}"/>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2 2 2" xfId="23697" xr:uid="{62C2BD20-E1CD-458C-BDBB-06B264535C6A}"/>
    <cellStyle name="Comma 4 2 3 2 4 2 2 3" xfId="16076" xr:uid="{F1C3E559-A04C-4404-B9FD-5E1C33282EF4}"/>
    <cellStyle name="Comma 4 2 3 2 4 2 3" xfId="19484" xr:uid="{1C9B4C91-5DDE-4F58-B4A6-0061768B41E3}"/>
    <cellStyle name="Comma 4 2 3 2 4 2 4" xfId="11863" xr:uid="{6FFADE57-ED72-4394-B19F-15D7C85E72B2}"/>
    <cellStyle name="Comma 4 2 3 2 4 3" xfId="5436" xr:uid="{00000000-0005-0000-0000-00007C080000}"/>
    <cellStyle name="Comma 4 2 3 2 4 3 2" xfId="21552" xr:uid="{CA55A77A-934A-47A5-8E1F-3CB793B87E7D}"/>
    <cellStyle name="Comma 4 2 3 2 4 3 3" xfId="13931" xr:uid="{FBFBDFE6-798E-43F3-98E1-3124E735B5D2}"/>
    <cellStyle name="Comma 4 2 3 2 4 4" xfId="17339" xr:uid="{56646D54-A462-423B-AF8E-BD4CAC5FB82C}"/>
    <cellStyle name="Comma 4 2 3 2 4 5" xfId="9718" xr:uid="{D950BE9B-06EB-4F64-B3D2-AD2F756185CA}"/>
    <cellStyle name="Comma 4 2 3 2 5" xfId="1542" xr:uid="{00000000-0005-0000-0000-00007D080000}"/>
    <cellStyle name="Comma 4 2 3 2 5 2" xfId="3772" xr:uid="{00000000-0005-0000-0000-00007E080000}"/>
    <cellStyle name="Comma 4 2 3 2 5 2 2" xfId="7994" xr:uid="{00000000-0005-0000-0000-00007F080000}"/>
    <cellStyle name="Comma 4 2 3 2 5 2 2 2" xfId="24110" xr:uid="{99CAA88A-318D-4361-AE8F-48DAC2EDA7EF}"/>
    <cellStyle name="Comma 4 2 3 2 5 2 2 3" xfId="16489" xr:uid="{D3832CED-219A-48FE-B6C9-E80815DE6D6E}"/>
    <cellStyle name="Comma 4 2 3 2 5 2 3" xfId="19897" xr:uid="{D25D5C11-3D02-4565-9664-8032019C1513}"/>
    <cellStyle name="Comma 4 2 3 2 5 2 4" xfId="12276" xr:uid="{3A863BBE-02BC-453D-8CEA-231820810BB5}"/>
    <cellStyle name="Comma 4 2 3 2 5 3" xfId="5849" xr:uid="{00000000-0005-0000-0000-000080080000}"/>
    <cellStyle name="Comma 4 2 3 2 5 3 2" xfId="21965" xr:uid="{0C221DA4-B683-4C6E-BD46-C3212932AF32}"/>
    <cellStyle name="Comma 4 2 3 2 5 3 3" xfId="14344" xr:uid="{B7136BA2-ABF2-4EBD-A2CB-D230EBDB8F4E}"/>
    <cellStyle name="Comma 4 2 3 2 5 4" xfId="17752" xr:uid="{5D2F26B7-7762-4570-9D31-1B52EA65C809}"/>
    <cellStyle name="Comma 4 2 3 2 5 5" xfId="10131" xr:uid="{E8BE7922-3861-47DF-95A1-44905E04C7BB}"/>
    <cellStyle name="Comma 4 2 3 2 6" xfId="1956" xr:uid="{00000000-0005-0000-0000-000081080000}"/>
    <cellStyle name="Comma 4 2 3 2 6 2" xfId="4185" xr:uid="{00000000-0005-0000-0000-000082080000}"/>
    <cellStyle name="Comma 4 2 3 2 6 2 2" xfId="8407" xr:uid="{00000000-0005-0000-0000-000083080000}"/>
    <cellStyle name="Comma 4 2 3 2 6 2 2 2" xfId="24523" xr:uid="{8CDB12A8-475A-4263-8757-FF2737C537F3}"/>
    <cellStyle name="Comma 4 2 3 2 6 2 2 3" xfId="16902" xr:uid="{C9DF4E93-52B4-4366-952A-559AA031D977}"/>
    <cellStyle name="Comma 4 2 3 2 6 2 3" xfId="20310" xr:uid="{34BFB4C1-D9FA-4D2A-B363-3F4EEEA1FABC}"/>
    <cellStyle name="Comma 4 2 3 2 6 2 4" xfId="12689" xr:uid="{0224D909-E5B5-4002-955F-F4502B2D2696}"/>
    <cellStyle name="Comma 4 2 3 2 6 3" xfId="6262" xr:uid="{00000000-0005-0000-0000-000084080000}"/>
    <cellStyle name="Comma 4 2 3 2 6 3 2" xfId="22378" xr:uid="{A46198F9-D33C-49C7-8579-717CE02ED4C2}"/>
    <cellStyle name="Comma 4 2 3 2 6 3 3" xfId="14757" xr:uid="{514E65D5-5E8A-4441-B65D-C0C4764D5B22}"/>
    <cellStyle name="Comma 4 2 3 2 6 4" xfId="18165" xr:uid="{4981E21D-054B-472E-854C-0953391F5D4D}"/>
    <cellStyle name="Comma 4 2 3 2 6 5" xfId="10544" xr:uid="{5F3E5B94-573C-44C7-80DB-DF5B525D5BA0}"/>
    <cellStyle name="Comma 4 2 3 2 7" xfId="2391" xr:uid="{00000000-0005-0000-0000-000085080000}"/>
    <cellStyle name="Comma 4 2 3 2 7 2" xfId="6675" xr:uid="{00000000-0005-0000-0000-000086080000}"/>
    <cellStyle name="Comma 4 2 3 2 7 2 2" xfId="22791" xr:uid="{2B0E9504-D5E5-4FE0-B1B5-925B2BDD85D5}"/>
    <cellStyle name="Comma 4 2 3 2 7 2 3" xfId="15170" xr:uid="{491391DA-9131-4E79-9AD4-65611071B3CC}"/>
    <cellStyle name="Comma 4 2 3 2 7 3" xfId="18578" xr:uid="{2C7DF9FF-4D05-4971-AA50-5C7156143F25}"/>
    <cellStyle name="Comma 4 2 3 2 7 4" xfId="10957" xr:uid="{9186A363-7519-400B-AE19-21768B0B9963}"/>
    <cellStyle name="Comma 4 2 3 2 8" xfId="2372" xr:uid="{00000000-0005-0000-0000-000087080000}"/>
    <cellStyle name="Comma 4 2 3 2 9" xfId="2769" xr:uid="{00000000-0005-0000-0000-000088080000}"/>
    <cellStyle name="Comma 4 2 3 2 9 2" xfId="6992" xr:uid="{00000000-0005-0000-0000-000089080000}"/>
    <cellStyle name="Comma 4 2 3 2 9 2 2" xfId="23108" xr:uid="{35C01641-60CE-4628-8940-87B33024DBC5}"/>
    <cellStyle name="Comma 4 2 3 2 9 2 3" xfId="15487" xr:uid="{011CE7BB-4E3C-42B2-8D0C-9D21ECCB1A59}"/>
    <cellStyle name="Comma 4 2 3 2 9 3" xfId="18895" xr:uid="{53B345AF-D818-40AC-AC21-CA9FE21ED8C1}"/>
    <cellStyle name="Comma 4 2 3 2 9 4" xfId="11274" xr:uid="{5EEB9D42-3DEB-4FB1-95A8-62D162862E62}"/>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2 2 2" xfId="23286" xr:uid="{B4E810DD-A58A-46E5-9168-3732CE5883C9}"/>
    <cellStyle name="Comma 4 2 3 3 2 2 2 3" xfId="15665" xr:uid="{56DAC053-AAD3-4E04-9C6C-AF9A1E903C58}"/>
    <cellStyle name="Comma 4 2 3 3 2 2 3" xfId="19073" xr:uid="{1B57F8A4-0796-4A40-A6D4-0A207505BA80}"/>
    <cellStyle name="Comma 4 2 3 3 2 2 4" xfId="11452" xr:uid="{DE10C6C8-5A52-4DE5-9503-1A734E630802}"/>
    <cellStyle name="Comma 4 2 3 3 2 3" xfId="5025" xr:uid="{00000000-0005-0000-0000-00008E080000}"/>
    <cellStyle name="Comma 4 2 3 3 2 3 2" xfId="21141" xr:uid="{3F51A991-32C6-44FA-9414-64BE3209E9D3}"/>
    <cellStyle name="Comma 4 2 3 3 2 3 3" xfId="13520" xr:uid="{E77B2764-44CD-4CFD-A2A6-32E426915A2B}"/>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2 2 2" xfId="23699" xr:uid="{9AA7ED7F-3197-4A52-A516-FCDFB544D96A}"/>
    <cellStyle name="Comma 4 2 3 3 3 2 2 3" xfId="16078" xr:uid="{06F187DB-10D6-4DF4-8D80-A9F3063D3573}"/>
    <cellStyle name="Comma 4 2 3 3 3 2 3" xfId="19486" xr:uid="{E3D297D4-CCFF-4512-A73B-3BBA20D90093}"/>
    <cellStyle name="Comma 4 2 3 3 3 2 4" xfId="11865" xr:uid="{492FFB9E-CEC8-4A9C-AF58-3F37CD20E6EF}"/>
    <cellStyle name="Comma 4 2 3 3 3 3" xfId="5438" xr:uid="{00000000-0005-0000-0000-000092080000}"/>
    <cellStyle name="Comma 4 2 3 3 3 3 2" xfId="21554" xr:uid="{EB9FE6F6-C4A5-4A39-B915-7015320C0637}"/>
    <cellStyle name="Comma 4 2 3 3 3 3 3" xfId="13933" xr:uid="{F9B03493-A9E8-4DC7-91FA-2390309800AC}"/>
    <cellStyle name="Comma 4 2 3 3 3 4" xfId="17341" xr:uid="{5BCFB848-B86B-416B-8C06-2228535FB9EA}"/>
    <cellStyle name="Comma 4 2 3 3 3 5" xfId="9720" xr:uid="{35C0B7C5-9165-4D25-9DEE-7B3391162DC3}"/>
    <cellStyle name="Comma 4 2 3 3 4" xfId="1544" xr:uid="{00000000-0005-0000-0000-000093080000}"/>
    <cellStyle name="Comma 4 2 3 3 4 2" xfId="3774" xr:uid="{00000000-0005-0000-0000-000094080000}"/>
    <cellStyle name="Comma 4 2 3 3 4 2 2" xfId="7996" xr:uid="{00000000-0005-0000-0000-000095080000}"/>
    <cellStyle name="Comma 4 2 3 3 4 2 2 2" xfId="24112" xr:uid="{58707D9C-274B-47B2-8987-F87D759CE68D}"/>
    <cellStyle name="Comma 4 2 3 3 4 2 2 3" xfId="16491" xr:uid="{97833885-36AD-4CAE-BA80-333960CF6010}"/>
    <cellStyle name="Comma 4 2 3 3 4 2 3" xfId="19899" xr:uid="{70D17097-D99A-4BBE-8F0E-052B17CE5910}"/>
    <cellStyle name="Comma 4 2 3 3 4 2 4" xfId="12278" xr:uid="{BCF7A131-F628-4472-AAC4-717CB2A16659}"/>
    <cellStyle name="Comma 4 2 3 3 4 3" xfId="5851" xr:uid="{00000000-0005-0000-0000-000096080000}"/>
    <cellStyle name="Comma 4 2 3 3 4 3 2" xfId="21967" xr:uid="{1FE89EC5-984C-4F51-9F15-88AFD61EBDAB}"/>
    <cellStyle name="Comma 4 2 3 3 4 3 3" xfId="14346" xr:uid="{6E7EE5DC-741D-4954-A4A7-F18627CB5C0E}"/>
    <cellStyle name="Comma 4 2 3 3 4 4" xfId="17754" xr:uid="{05364A89-6209-43F4-9869-A199E66DEAB9}"/>
    <cellStyle name="Comma 4 2 3 3 4 5" xfId="10133" xr:uid="{06AD1406-C99C-43BF-8D18-373D324C2777}"/>
    <cellStyle name="Comma 4 2 3 3 5" xfId="1958" xr:uid="{00000000-0005-0000-0000-000097080000}"/>
    <cellStyle name="Comma 4 2 3 3 5 2" xfId="4187" xr:uid="{00000000-0005-0000-0000-000098080000}"/>
    <cellStyle name="Comma 4 2 3 3 5 2 2" xfId="8409" xr:uid="{00000000-0005-0000-0000-000099080000}"/>
    <cellStyle name="Comma 4 2 3 3 5 2 2 2" xfId="24525" xr:uid="{3DCC36DB-52F2-42E7-A861-8A315C3CD50A}"/>
    <cellStyle name="Comma 4 2 3 3 5 2 2 3" xfId="16904" xr:uid="{4FC795DE-97D8-45AF-9245-AA8FA3AB902A}"/>
    <cellStyle name="Comma 4 2 3 3 5 2 3" xfId="20312" xr:uid="{6B5F0253-5785-4CAE-8C7F-1482F7E1DC0C}"/>
    <cellStyle name="Comma 4 2 3 3 5 2 4" xfId="12691" xr:uid="{04927AFE-9D21-48CC-AEA9-363D4D2107DA}"/>
    <cellStyle name="Comma 4 2 3 3 5 3" xfId="6264" xr:uid="{00000000-0005-0000-0000-00009A080000}"/>
    <cellStyle name="Comma 4 2 3 3 5 3 2" xfId="22380" xr:uid="{48AAC26C-3E4E-4211-B03A-4588819F4CFE}"/>
    <cellStyle name="Comma 4 2 3 3 5 3 3" xfId="14759" xr:uid="{0D7D8FED-7504-42E4-A7F1-21D4C0347C3C}"/>
    <cellStyle name="Comma 4 2 3 3 5 4" xfId="18167" xr:uid="{765C413D-7CDB-4A83-87E2-53C937E1E83E}"/>
    <cellStyle name="Comma 4 2 3 3 5 5" xfId="10546" xr:uid="{C326FE93-ECB5-46DD-81B7-185BB2C982E4}"/>
    <cellStyle name="Comma 4 2 3 3 6" xfId="2393" xr:uid="{00000000-0005-0000-0000-00009B080000}"/>
    <cellStyle name="Comma 4 2 3 3 6 2" xfId="6677" xr:uid="{00000000-0005-0000-0000-00009C080000}"/>
    <cellStyle name="Comma 4 2 3 3 6 2 2" xfId="22793" xr:uid="{BBF97EF8-87D3-4B30-B0A0-71895ADD4388}"/>
    <cellStyle name="Comma 4 2 3 3 6 2 3" xfId="15172" xr:uid="{C25500C9-5F3E-41E2-80C1-D97F2B0A617F}"/>
    <cellStyle name="Comma 4 2 3 3 6 3" xfId="18580" xr:uid="{D6C30910-185B-433D-9B6A-34FBA3651EC1}"/>
    <cellStyle name="Comma 4 2 3 3 6 4" xfId="10959" xr:uid="{017B915C-FE92-4D78-8172-57185F6BEBF6}"/>
    <cellStyle name="Comma 4 2 3 3 7" xfId="2370" xr:uid="{00000000-0005-0000-0000-00009D080000}"/>
    <cellStyle name="Comma 4 2 3 3 8" xfId="2771" xr:uid="{00000000-0005-0000-0000-00009E080000}"/>
    <cellStyle name="Comma 4 2 3 3 8 2" xfId="6994" xr:uid="{00000000-0005-0000-0000-00009F080000}"/>
    <cellStyle name="Comma 4 2 3 3 8 2 2" xfId="23110" xr:uid="{5D8D2ACC-2A62-49C6-A53E-34A19F5F79FB}"/>
    <cellStyle name="Comma 4 2 3 3 8 2 3" xfId="15489" xr:uid="{D5ED0545-8DE1-4D94-86A6-9640722D03F9}"/>
    <cellStyle name="Comma 4 2 3 3 8 3" xfId="18897" xr:uid="{43150A63-3723-41D7-816D-BE838C693DB7}"/>
    <cellStyle name="Comma 4 2 3 3 8 4" xfId="11276" xr:uid="{CC116E89-2CE6-4CDD-8CAF-30F1CB359A45}"/>
    <cellStyle name="Comma 4 2 3 3 9" xfId="4611" xr:uid="{00000000-0005-0000-0000-0000A0080000}"/>
    <cellStyle name="Comma 4 2 3 3 9 2" xfId="20728" xr:uid="{8AE55FD3-E48C-4437-96C8-8FB5B9C7B26C}"/>
    <cellStyle name="Comma 4 2 3 3 9 3" xfId="13107" xr:uid="{78B72040-3DF9-4716-BE9F-79E4AA6A264D}"/>
    <cellStyle name="Comma 4 2 3 4" xfId="674" xr:uid="{00000000-0005-0000-0000-0000A1080000}"/>
    <cellStyle name="Comma 4 2 3 4 2" xfId="2945" xr:uid="{00000000-0005-0000-0000-0000A2080000}"/>
    <cellStyle name="Comma 4 2 3 4 2 2" xfId="7167" xr:uid="{00000000-0005-0000-0000-0000A3080000}"/>
    <cellStyle name="Comma 4 2 3 4 2 2 2" xfId="23283" xr:uid="{C5BB3945-D2FC-41E0-A73A-A81EA738E1A2}"/>
    <cellStyle name="Comma 4 2 3 4 2 2 3" xfId="15662" xr:uid="{2267D219-0394-47C4-8C3B-90191A9256BA}"/>
    <cellStyle name="Comma 4 2 3 4 2 3" xfId="19070" xr:uid="{EAFE4FC7-7AF4-446B-91AC-61AFBA3290E3}"/>
    <cellStyle name="Comma 4 2 3 4 2 4" xfId="11449" xr:uid="{CF38A0A6-8996-4E24-BC03-D3FE09D97852}"/>
    <cellStyle name="Comma 4 2 3 4 3" xfId="5022" xr:uid="{00000000-0005-0000-0000-0000A4080000}"/>
    <cellStyle name="Comma 4 2 3 4 3 2" xfId="21138" xr:uid="{741E49B6-7CD2-4E50-A1B0-6CCF1B01BD85}"/>
    <cellStyle name="Comma 4 2 3 4 3 3" xfId="13517" xr:uid="{6119978A-8CC4-4CC7-BF76-9E3104D623C1}"/>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2 2 2" xfId="23696" xr:uid="{93CBA852-DF41-49C3-BB62-1E68C0D3534C}"/>
    <cellStyle name="Comma 4 2 3 5 2 2 3" xfId="16075" xr:uid="{4AB320DB-D9B7-4044-9ED3-29F63C550337}"/>
    <cellStyle name="Comma 4 2 3 5 2 3" xfId="19483" xr:uid="{49F243A3-0F3C-4232-8D29-6B87BC1ED0C7}"/>
    <cellStyle name="Comma 4 2 3 5 2 4" xfId="11862" xr:uid="{DAEAB0BD-DD30-49C8-BD3B-46D2C3742396}"/>
    <cellStyle name="Comma 4 2 3 5 3" xfId="5435" xr:uid="{00000000-0005-0000-0000-0000A8080000}"/>
    <cellStyle name="Comma 4 2 3 5 3 2" xfId="21551" xr:uid="{6D71F8C5-4C3E-4828-99BE-062EE8639BB0}"/>
    <cellStyle name="Comma 4 2 3 5 3 3" xfId="13930" xr:uid="{0D695E9D-C692-450B-A01B-F8F211EAC39D}"/>
    <cellStyle name="Comma 4 2 3 5 4" xfId="17338" xr:uid="{7728B68E-5252-41EB-8B8D-B3FAED902343}"/>
    <cellStyle name="Comma 4 2 3 5 5" xfId="9717" xr:uid="{6002E9D3-808C-4406-A61D-C61E5ABF6388}"/>
    <cellStyle name="Comma 4 2 3 6" xfId="1541" xr:uid="{00000000-0005-0000-0000-0000A9080000}"/>
    <cellStyle name="Comma 4 2 3 6 2" xfId="3771" xr:uid="{00000000-0005-0000-0000-0000AA080000}"/>
    <cellStyle name="Comma 4 2 3 6 2 2" xfId="7993" xr:uid="{00000000-0005-0000-0000-0000AB080000}"/>
    <cellStyle name="Comma 4 2 3 6 2 2 2" xfId="24109" xr:uid="{E8F4521D-861A-4F4B-A09C-84D365E63797}"/>
    <cellStyle name="Comma 4 2 3 6 2 2 3" xfId="16488" xr:uid="{8C8517AB-D30E-44BD-9962-BF03B88E72F5}"/>
    <cellStyle name="Comma 4 2 3 6 2 3" xfId="19896" xr:uid="{66C1B780-625C-487E-8C13-87964B0D5E15}"/>
    <cellStyle name="Comma 4 2 3 6 2 4" xfId="12275" xr:uid="{1D2F54D1-F337-4BF0-A7DB-2F42968EAC17}"/>
    <cellStyle name="Comma 4 2 3 6 3" xfId="5848" xr:uid="{00000000-0005-0000-0000-0000AC080000}"/>
    <cellStyle name="Comma 4 2 3 6 3 2" xfId="21964" xr:uid="{B14D4A5A-F6C1-46A6-8E8A-13F2881A3479}"/>
    <cellStyle name="Comma 4 2 3 6 3 3" xfId="14343" xr:uid="{E8A62933-6065-42B7-A89C-A27C9EEE3828}"/>
    <cellStyle name="Comma 4 2 3 6 4" xfId="17751" xr:uid="{BD0962BB-584F-4391-84BD-15ACAADD6231}"/>
    <cellStyle name="Comma 4 2 3 6 5" xfId="10130" xr:uid="{7FB376F0-DE3C-4A15-9A57-A628A5A3379E}"/>
    <cellStyle name="Comma 4 2 3 7" xfId="1955" xr:uid="{00000000-0005-0000-0000-0000AD080000}"/>
    <cellStyle name="Comma 4 2 3 7 2" xfId="4184" xr:uid="{00000000-0005-0000-0000-0000AE080000}"/>
    <cellStyle name="Comma 4 2 3 7 2 2" xfId="8406" xr:uid="{00000000-0005-0000-0000-0000AF080000}"/>
    <cellStyle name="Comma 4 2 3 7 2 2 2" xfId="24522" xr:uid="{C48D1CA3-686C-4F31-A511-43A8E4BCA951}"/>
    <cellStyle name="Comma 4 2 3 7 2 2 3" xfId="16901" xr:uid="{351DA064-709A-42AF-8487-433514CDCD7F}"/>
    <cellStyle name="Comma 4 2 3 7 2 3" xfId="20309" xr:uid="{3A80C63A-FEFC-44E6-B2F5-3A98EE9B2F51}"/>
    <cellStyle name="Comma 4 2 3 7 2 4" xfId="12688" xr:uid="{E84BA1BA-1D43-4128-BCE2-94D148B1C8AE}"/>
    <cellStyle name="Comma 4 2 3 7 3" xfId="6261" xr:uid="{00000000-0005-0000-0000-0000B0080000}"/>
    <cellStyle name="Comma 4 2 3 7 3 2" xfId="22377" xr:uid="{F0EACE98-2D2C-4C97-A404-04BB6FE37D76}"/>
    <cellStyle name="Comma 4 2 3 7 3 3" xfId="14756" xr:uid="{623BCAAC-89BF-4A9C-ADDA-ADB94A5129FE}"/>
    <cellStyle name="Comma 4 2 3 7 4" xfId="18164" xr:uid="{72CB0747-243C-48D8-8BE6-6391CF2D372E}"/>
    <cellStyle name="Comma 4 2 3 7 5" xfId="10543" xr:uid="{0FCD51BA-8492-4201-8EC9-25E390E50339}"/>
    <cellStyle name="Comma 4 2 3 8" xfId="2390" xr:uid="{00000000-0005-0000-0000-0000B1080000}"/>
    <cellStyle name="Comma 4 2 3 8 2" xfId="6674" xr:uid="{00000000-0005-0000-0000-0000B2080000}"/>
    <cellStyle name="Comma 4 2 3 8 2 2" xfId="22790" xr:uid="{7AA6EE32-6945-4B13-9233-3D5AA97CD914}"/>
    <cellStyle name="Comma 4 2 3 8 2 3" xfId="15169" xr:uid="{97CE9598-BA31-471A-8A6B-26F37837385E}"/>
    <cellStyle name="Comma 4 2 3 8 3" xfId="18577" xr:uid="{4A8A4172-9D0F-4889-B55F-B8DEC144D153}"/>
    <cellStyle name="Comma 4 2 3 8 4" xfId="10956" xr:uid="{0F1B9E8B-6282-4BF9-BC72-186D2413B08D}"/>
    <cellStyle name="Comma 4 2 3 9" xfId="2373" xr:uid="{00000000-0005-0000-0000-0000B3080000}"/>
    <cellStyle name="Comma 4 2 4" xfId="140" xr:uid="{00000000-0005-0000-0000-0000B4080000}"/>
    <cellStyle name="Comma 4 2 4 10" xfId="4612" xr:uid="{00000000-0005-0000-0000-0000B5080000}"/>
    <cellStyle name="Comma 4 2 4 10 2" xfId="20729" xr:uid="{86734862-3CCC-4659-AF0F-F9C2785EF8F5}"/>
    <cellStyle name="Comma 4 2 4 10 3" xfId="13108" xr:uid="{6B9B8B96-2486-41F5-93F5-A6A124F0E73B}"/>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2 2 2" xfId="23288" xr:uid="{A1BBD395-E225-43FD-8898-96658B6B3A03}"/>
    <cellStyle name="Comma 4 2 4 2 2 2 2 3" xfId="15667" xr:uid="{C96A622C-E34F-4B0C-A4CC-9336D34AA73D}"/>
    <cellStyle name="Comma 4 2 4 2 2 2 3" xfId="19075" xr:uid="{C840501E-99A7-4A13-A8AD-3053699AD94F}"/>
    <cellStyle name="Comma 4 2 4 2 2 2 4" xfId="11454" xr:uid="{D3C9A245-2B78-40F3-9706-46844FC8DBF0}"/>
    <cellStyle name="Comma 4 2 4 2 2 3" xfId="5027" xr:uid="{00000000-0005-0000-0000-0000BA080000}"/>
    <cellStyle name="Comma 4 2 4 2 2 3 2" xfId="21143" xr:uid="{0BDEB138-6918-438F-A064-7178F16A6CB0}"/>
    <cellStyle name="Comma 4 2 4 2 2 3 3" xfId="13522" xr:uid="{9137EE19-E5BF-4B87-B2F7-D75A2C4C6039}"/>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2 2 2" xfId="23701" xr:uid="{D4D1004C-9432-4A89-8345-BEE03955FDF3}"/>
    <cellStyle name="Comma 4 2 4 2 3 2 2 3" xfId="16080" xr:uid="{A24201DF-7F4C-4952-AB93-21281F6A0F5E}"/>
    <cellStyle name="Comma 4 2 4 2 3 2 3" xfId="19488" xr:uid="{0276014D-A6E6-4345-BA18-0EA868C1EB58}"/>
    <cellStyle name="Comma 4 2 4 2 3 2 4" xfId="11867" xr:uid="{B768EEDE-BA0B-4783-9EEA-850B549EC6AE}"/>
    <cellStyle name="Comma 4 2 4 2 3 3" xfId="5440" xr:uid="{00000000-0005-0000-0000-0000BE080000}"/>
    <cellStyle name="Comma 4 2 4 2 3 3 2" xfId="21556" xr:uid="{54AFE766-2C2E-4BB5-86E5-FC634B31CF61}"/>
    <cellStyle name="Comma 4 2 4 2 3 3 3" xfId="13935" xr:uid="{3F70E702-5739-4D19-AB8A-4BC7C3289F18}"/>
    <cellStyle name="Comma 4 2 4 2 3 4" xfId="17343" xr:uid="{570914EC-4A47-4860-ADF7-D72A3A040468}"/>
    <cellStyle name="Comma 4 2 4 2 3 5" xfId="9722" xr:uid="{C92BFC82-4F88-4870-A91D-155DA22009F2}"/>
    <cellStyle name="Comma 4 2 4 2 4" xfId="1546" xr:uid="{00000000-0005-0000-0000-0000BF080000}"/>
    <cellStyle name="Comma 4 2 4 2 4 2" xfId="3776" xr:uid="{00000000-0005-0000-0000-0000C0080000}"/>
    <cellStyle name="Comma 4 2 4 2 4 2 2" xfId="7998" xr:uid="{00000000-0005-0000-0000-0000C1080000}"/>
    <cellStyle name="Comma 4 2 4 2 4 2 2 2" xfId="24114" xr:uid="{6C7C9F8F-A9EE-4B17-A6BF-ABB2BB620C42}"/>
    <cellStyle name="Comma 4 2 4 2 4 2 2 3" xfId="16493" xr:uid="{6701421B-05E9-4417-91DB-BA9B238FF5AE}"/>
    <cellStyle name="Comma 4 2 4 2 4 2 3" xfId="19901" xr:uid="{331CB1F3-2835-4E4D-B836-40B6149D1819}"/>
    <cellStyle name="Comma 4 2 4 2 4 2 4" xfId="12280" xr:uid="{09614FC0-2C24-4DA3-8130-261834340E1D}"/>
    <cellStyle name="Comma 4 2 4 2 4 3" xfId="5853" xr:uid="{00000000-0005-0000-0000-0000C2080000}"/>
    <cellStyle name="Comma 4 2 4 2 4 3 2" xfId="21969" xr:uid="{F71A420D-29DA-43A5-81AA-4160DCCFB972}"/>
    <cellStyle name="Comma 4 2 4 2 4 3 3" xfId="14348" xr:uid="{4C4DAA9E-3009-419F-ACF0-AA7A3725C218}"/>
    <cellStyle name="Comma 4 2 4 2 4 4" xfId="17756" xr:uid="{54777B86-CFC3-4596-B133-4F31DE255E54}"/>
    <cellStyle name="Comma 4 2 4 2 4 5" xfId="10135" xr:uid="{720FADD2-22F0-493D-8599-01A697E98B8F}"/>
    <cellStyle name="Comma 4 2 4 2 5" xfId="1960" xr:uid="{00000000-0005-0000-0000-0000C3080000}"/>
    <cellStyle name="Comma 4 2 4 2 5 2" xfId="4189" xr:uid="{00000000-0005-0000-0000-0000C4080000}"/>
    <cellStyle name="Comma 4 2 4 2 5 2 2" xfId="8411" xr:uid="{00000000-0005-0000-0000-0000C5080000}"/>
    <cellStyle name="Comma 4 2 4 2 5 2 2 2" xfId="24527" xr:uid="{D85C2701-B4A2-4660-A26F-B84AD74F8291}"/>
    <cellStyle name="Comma 4 2 4 2 5 2 2 3" xfId="16906" xr:uid="{6C97758E-2C62-453E-9BA9-0DFEF993A647}"/>
    <cellStyle name="Comma 4 2 4 2 5 2 3" xfId="20314" xr:uid="{929CF723-24ED-4415-AE70-BAFD8749E92B}"/>
    <cellStyle name="Comma 4 2 4 2 5 2 4" xfId="12693" xr:uid="{057AF630-0232-4665-9EE8-A0256D8209DB}"/>
    <cellStyle name="Comma 4 2 4 2 5 3" xfId="6266" xr:uid="{00000000-0005-0000-0000-0000C6080000}"/>
    <cellStyle name="Comma 4 2 4 2 5 3 2" xfId="22382" xr:uid="{67C464DB-7C21-4E21-B509-E080C9ECBC29}"/>
    <cellStyle name="Comma 4 2 4 2 5 3 3" xfId="14761" xr:uid="{DF9C5E05-D194-4EE7-B39A-0E58E7FFB501}"/>
    <cellStyle name="Comma 4 2 4 2 5 4" xfId="18169" xr:uid="{1B38A5A2-5FEE-4C16-9D99-DE1D24A812D0}"/>
    <cellStyle name="Comma 4 2 4 2 5 5" xfId="10548" xr:uid="{AE57AA1D-1D7E-422F-9ACA-CEF4DB2530E2}"/>
    <cellStyle name="Comma 4 2 4 2 6" xfId="2395" xr:uid="{00000000-0005-0000-0000-0000C7080000}"/>
    <cellStyle name="Comma 4 2 4 2 6 2" xfId="6679" xr:uid="{00000000-0005-0000-0000-0000C8080000}"/>
    <cellStyle name="Comma 4 2 4 2 6 2 2" xfId="22795" xr:uid="{69C04235-B7E2-4CDC-A3E8-CEA48308410A}"/>
    <cellStyle name="Comma 4 2 4 2 6 2 3" xfId="15174" xr:uid="{C217042C-1408-41D8-8FDB-90CB63441C06}"/>
    <cellStyle name="Comma 4 2 4 2 6 3" xfId="18582" xr:uid="{24EB5251-1DE0-430E-B20B-A8764D8B240E}"/>
    <cellStyle name="Comma 4 2 4 2 6 4" xfId="10961" xr:uid="{3FE07168-1131-42EE-AA02-64A74AA4B445}"/>
    <cellStyle name="Comma 4 2 4 2 7" xfId="2368" xr:uid="{00000000-0005-0000-0000-0000C9080000}"/>
    <cellStyle name="Comma 4 2 4 2 8" xfId="2773" xr:uid="{00000000-0005-0000-0000-0000CA080000}"/>
    <cellStyle name="Comma 4 2 4 2 8 2" xfId="6996" xr:uid="{00000000-0005-0000-0000-0000CB080000}"/>
    <cellStyle name="Comma 4 2 4 2 8 2 2" xfId="23112" xr:uid="{D51CE2BD-F587-47B1-8F5D-90EE30078A9E}"/>
    <cellStyle name="Comma 4 2 4 2 8 2 3" xfId="15491" xr:uid="{2EC93CC6-5890-4F84-BF69-4B4DA7141713}"/>
    <cellStyle name="Comma 4 2 4 2 8 3" xfId="18899" xr:uid="{0318290D-C9D6-4864-9A75-AF83669A4ECA}"/>
    <cellStyle name="Comma 4 2 4 2 8 4" xfId="11278" xr:uid="{6C8E5F3D-12D6-4CBB-A727-D95CE00579E8}"/>
    <cellStyle name="Comma 4 2 4 2 9" xfId="4613" xr:uid="{00000000-0005-0000-0000-0000CC080000}"/>
    <cellStyle name="Comma 4 2 4 2 9 2" xfId="20730" xr:uid="{D4715AB0-A2CD-4066-BAF9-30DD632C432B}"/>
    <cellStyle name="Comma 4 2 4 2 9 3" xfId="13109" xr:uid="{118848B9-0433-4E64-9365-003B8D215E31}"/>
    <cellStyle name="Comma 4 2 4 3" xfId="678" xr:uid="{00000000-0005-0000-0000-0000CD080000}"/>
    <cellStyle name="Comma 4 2 4 3 2" xfId="2949" xr:uid="{00000000-0005-0000-0000-0000CE080000}"/>
    <cellStyle name="Comma 4 2 4 3 2 2" xfId="7171" xr:uid="{00000000-0005-0000-0000-0000CF080000}"/>
    <cellStyle name="Comma 4 2 4 3 2 2 2" xfId="23287" xr:uid="{FEC0C785-BC17-488F-AAC5-66B55E2B8FC2}"/>
    <cellStyle name="Comma 4 2 4 3 2 2 3" xfId="15666" xr:uid="{BE235105-0348-4A48-BC56-FF5DB0023FB3}"/>
    <cellStyle name="Comma 4 2 4 3 2 3" xfId="19074" xr:uid="{8F3443AC-04DE-4453-8AA8-9904DD4AEF53}"/>
    <cellStyle name="Comma 4 2 4 3 2 4" xfId="11453" xr:uid="{BC99B95A-7D45-41EB-8848-D1EBB0DE69E8}"/>
    <cellStyle name="Comma 4 2 4 3 3" xfId="5026" xr:uid="{00000000-0005-0000-0000-0000D0080000}"/>
    <cellStyle name="Comma 4 2 4 3 3 2" xfId="21142" xr:uid="{4E452321-A7DB-4CED-815D-DEF0047FA2C1}"/>
    <cellStyle name="Comma 4 2 4 3 3 3" xfId="13521" xr:uid="{FBD63C49-6297-49DC-99BE-ABFF8F213E38}"/>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2 2 2" xfId="23700" xr:uid="{68CA6424-5E5B-40DE-97DD-8A877D226D4C}"/>
    <cellStyle name="Comma 4 2 4 4 2 2 3" xfId="16079" xr:uid="{AF4ED0EF-C310-481A-95F4-82A77917D934}"/>
    <cellStyle name="Comma 4 2 4 4 2 3" xfId="19487" xr:uid="{2135EA65-E0E5-406C-B6D1-EDCACC1CB708}"/>
    <cellStyle name="Comma 4 2 4 4 2 4" xfId="11866" xr:uid="{F52D0C73-F962-4EF9-B25A-14212252FA4E}"/>
    <cellStyle name="Comma 4 2 4 4 3" xfId="5439" xr:uid="{00000000-0005-0000-0000-0000D4080000}"/>
    <cellStyle name="Comma 4 2 4 4 3 2" xfId="21555" xr:uid="{697C86B8-FA0B-4783-8DA3-A34CA23C6DFE}"/>
    <cellStyle name="Comma 4 2 4 4 3 3" xfId="13934" xr:uid="{20F4A389-DCD9-4C74-9624-4585BB6CC946}"/>
    <cellStyle name="Comma 4 2 4 4 4" xfId="17342" xr:uid="{55A68B82-4124-408E-972D-B641A9D121A9}"/>
    <cellStyle name="Comma 4 2 4 4 5" xfId="9721" xr:uid="{4757E56F-E92B-4F4D-B773-7B1EB7D0A4A4}"/>
    <cellStyle name="Comma 4 2 4 5" xfId="1545" xr:uid="{00000000-0005-0000-0000-0000D5080000}"/>
    <cellStyle name="Comma 4 2 4 5 2" xfId="3775" xr:uid="{00000000-0005-0000-0000-0000D6080000}"/>
    <cellStyle name="Comma 4 2 4 5 2 2" xfId="7997" xr:uid="{00000000-0005-0000-0000-0000D7080000}"/>
    <cellStyle name="Comma 4 2 4 5 2 2 2" xfId="24113" xr:uid="{84567D53-89FA-41C0-A69E-295FEAA18E9C}"/>
    <cellStyle name="Comma 4 2 4 5 2 2 3" xfId="16492" xr:uid="{DE831DD1-BDAA-4252-9A9A-35900692AC4B}"/>
    <cellStyle name="Comma 4 2 4 5 2 3" xfId="19900" xr:uid="{66707306-9AD0-4349-8C7D-C14E73DEE727}"/>
    <cellStyle name="Comma 4 2 4 5 2 4" xfId="12279" xr:uid="{C5AD7ED4-4435-4BF9-B204-FC1446964C89}"/>
    <cellStyle name="Comma 4 2 4 5 3" xfId="5852" xr:uid="{00000000-0005-0000-0000-0000D8080000}"/>
    <cellStyle name="Comma 4 2 4 5 3 2" xfId="21968" xr:uid="{E46E4ABB-F9C0-442F-910C-AEBD92CE8EB2}"/>
    <cellStyle name="Comma 4 2 4 5 3 3" xfId="14347" xr:uid="{B6544FDD-A646-4643-949E-AC7595DB2D31}"/>
    <cellStyle name="Comma 4 2 4 5 4" xfId="17755" xr:uid="{6F128ED5-90FF-4905-865A-44D07222F78F}"/>
    <cellStyle name="Comma 4 2 4 5 5" xfId="10134" xr:uid="{9638C603-CCE8-4A18-BDD1-F0A008ED8BEF}"/>
    <cellStyle name="Comma 4 2 4 6" xfId="1959" xr:uid="{00000000-0005-0000-0000-0000D9080000}"/>
    <cellStyle name="Comma 4 2 4 6 2" xfId="4188" xr:uid="{00000000-0005-0000-0000-0000DA080000}"/>
    <cellStyle name="Comma 4 2 4 6 2 2" xfId="8410" xr:uid="{00000000-0005-0000-0000-0000DB080000}"/>
    <cellStyle name="Comma 4 2 4 6 2 2 2" xfId="24526" xr:uid="{DEF4B422-6DDD-4080-A536-FD769B3D1D0A}"/>
    <cellStyle name="Comma 4 2 4 6 2 2 3" xfId="16905" xr:uid="{A580E50E-CF0C-4907-901E-38C47340987A}"/>
    <cellStyle name="Comma 4 2 4 6 2 3" xfId="20313" xr:uid="{E7DA1D50-83BB-4C70-9649-67622CCEA0B4}"/>
    <cellStyle name="Comma 4 2 4 6 2 4" xfId="12692" xr:uid="{8A361248-351D-4A4A-874A-7D18B694C5E9}"/>
    <cellStyle name="Comma 4 2 4 6 3" xfId="6265" xr:uid="{00000000-0005-0000-0000-0000DC080000}"/>
    <cellStyle name="Comma 4 2 4 6 3 2" xfId="22381" xr:uid="{9D5EEB2F-28F6-4CD5-A133-CCA94E349C46}"/>
    <cellStyle name="Comma 4 2 4 6 3 3" xfId="14760" xr:uid="{973A9FD0-767C-47C2-9F90-95A6DF49175A}"/>
    <cellStyle name="Comma 4 2 4 6 4" xfId="18168" xr:uid="{D73F9D09-0623-4E89-86FA-60CE5E04D038}"/>
    <cellStyle name="Comma 4 2 4 6 5" xfId="10547" xr:uid="{A9313FDF-91A7-4BBC-BAB2-F044E25E1D92}"/>
    <cellStyle name="Comma 4 2 4 7" xfId="2394" xr:uid="{00000000-0005-0000-0000-0000DD080000}"/>
    <cellStyle name="Comma 4 2 4 7 2" xfId="6678" xr:uid="{00000000-0005-0000-0000-0000DE080000}"/>
    <cellStyle name="Comma 4 2 4 7 2 2" xfId="22794" xr:uid="{495560BD-0ABE-40D0-9C94-46259966064B}"/>
    <cellStyle name="Comma 4 2 4 7 2 3" xfId="15173" xr:uid="{2A103508-ECF3-454B-A374-4109ED40B605}"/>
    <cellStyle name="Comma 4 2 4 7 3" xfId="18581" xr:uid="{07BD9321-B36C-4000-9981-328DAD3D760D}"/>
    <cellStyle name="Comma 4 2 4 7 4" xfId="10960" xr:uid="{82572779-E371-454E-AE64-EBE087A7A4DF}"/>
    <cellStyle name="Comma 4 2 4 8" xfId="2369" xr:uid="{00000000-0005-0000-0000-0000DF080000}"/>
    <cellStyle name="Comma 4 2 4 9" xfId="2772" xr:uid="{00000000-0005-0000-0000-0000E0080000}"/>
    <cellStyle name="Comma 4 2 4 9 2" xfId="6995" xr:uid="{00000000-0005-0000-0000-0000E1080000}"/>
    <cellStyle name="Comma 4 2 4 9 2 2" xfId="23111" xr:uid="{AFB387B5-7571-4B00-937A-FBD1C377843A}"/>
    <cellStyle name="Comma 4 2 4 9 2 3" xfId="15490" xr:uid="{7F92D446-F1B2-4112-AE0A-B88ABE93E463}"/>
    <cellStyle name="Comma 4 2 4 9 3" xfId="18898" xr:uid="{1384A994-828E-48EE-A17F-BF61B10597B7}"/>
    <cellStyle name="Comma 4 2 4 9 4" xfId="11277" xr:uid="{157DD79E-041B-4274-8588-89C8CFE53878}"/>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2 2 2" xfId="23289" xr:uid="{A5BFCDAF-B6DF-4476-95B9-57BEC872BBF2}"/>
    <cellStyle name="Comma 4 2 5 2 2 2 3" xfId="15668" xr:uid="{E2FC885D-CA44-4899-832F-58C6645C9BE6}"/>
    <cellStyle name="Comma 4 2 5 2 2 3" xfId="19076" xr:uid="{CF4CE730-F94E-48D8-A50E-AF109DAA23EB}"/>
    <cellStyle name="Comma 4 2 5 2 2 4" xfId="11455" xr:uid="{0FE5BB08-AB90-4E85-BC4A-B4185CFAC2FB}"/>
    <cellStyle name="Comma 4 2 5 2 3" xfId="5028" xr:uid="{00000000-0005-0000-0000-0000E6080000}"/>
    <cellStyle name="Comma 4 2 5 2 3 2" xfId="21144" xr:uid="{FB01B666-6066-457D-B8AB-1F68F14FF5F2}"/>
    <cellStyle name="Comma 4 2 5 2 3 3" xfId="13523" xr:uid="{1D09B309-33B2-4BDD-BB10-67CDF7FA271F}"/>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2 2 2" xfId="23702" xr:uid="{EA46A425-9D32-4D15-93B7-4F657BBE79FB}"/>
    <cellStyle name="Comma 4 2 5 3 2 2 3" xfId="16081" xr:uid="{B227AA45-2C15-4B84-80CF-5A75235BE6EF}"/>
    <cellStyle name="Comma 4 2 5 3 2 3" xfId="19489" xr:uid="{F1164513-99EA-4EDD-BDDA-F295C199B8B2}"/>
    <cellStyle name="Comma 4 2 5 3 2 4" xfId="11868" xr:uid="{96D4BE8C-E3F2-469D-A0D0-9F516C3C20CF}"/>
    <cellStyle name="Comma 4 2 5 3 3" xfId="5441" xr:uid="{00000000-0005-0000-0000-0000EA080000}"/>
    <cellStyle name="Comma 4 2 5 3 3 2" xfId="21557" xr:uid="{F0E6F1F6-0439-4B41-90BC-315D3B0E730E}"/>
    <cellStyle name="Comma 4 2 5 3 3 3" xfId="13936" xr:uid="{6D113421-50D5-464F-B3C8-A31597A292E0}"/>
    <cellStyle name="Comma 4 2 5 3 4" xfId="17344" xr:uid="{2509C671-75B1-4332-BA7B-BD61E3FE95FD}"/>
    <cellStyle name="Comma 4 2 5 3 5" xfId="9723" xr:uid="{0210E8B9-1594-46EA-9336-89D58354A677}"/>
    <cellStyle name="Comma 4 2 5 4" xfId="1547" xr:uid="{00000000-0005-0000-0000-0000EB080000}"/>
    <cellStyle name="Comma 4 2 5 4 2" xfId="3777" xr:uid="{00000000-0005-0000-0000-0000EC080000}"/>
    <cellStyle name="Comma 4 2 5 4 2 2" xfId="7999" xr:uid="{00000000-0005-0000-0000-0000ED080000}"/>
    <cellStyle name="Comma 4 2 5 4 2 2 2" xfId="24115" xr:uid="{DDE1A9BE-DD4E-4DC2-A901-CD21CAA09BB4}"/>
    <cellStyle name="Comma 4 2 5 4 2 2 3" xfId="16494" xr:uid="{7947DC03-F990-46BF-977F-B711889AF597}"/>
    <cellStyle name="Comma 4 2 5 4 2 3" xfId="19902" xr:uid="{D949B4B5-DF01-49B6-87E8-201C1F2D009A}"/>
    <cellStyle name="Comma 4 2 5 4 2 4" xfId="12281" xr:uid="{ED66189C-DE77-4F95-B4A8-8CAEF9526465}"/>
    <cellStyle name="Comma 4 2 5 4 3" xfId="5854" xr:uid="{00000000-0005-0000-0000-0000EE080000}"/>
    <cellStyle name="Comma 4 2 5 4 3 2" xfId="21970" xr:uid="{2493A875-FB64-4B13-8C12-DA5FB6D5F3E4}"/>
    <cellStyle name="Comma 4 2 5 4 3 3" xfId="14349" xr:uid="{E8235E9B-8942-46F7-8B65-7C98655ED8AB}"/>
    <cellStyle name="Comma 4 2 5 4 4" xfId="17757" xr:uid="{7EC46C71-730B-4177-96AC-B0FFBD13F389}"/>
    <cellStyle name="Comma 4 2 5 4 5" xfId="10136" xr:uid="{A1F03FB3-CB40-4081-B6D2-CFBB477D96CD}"/>
    <cellStyle name="Comma 4 2 5 5" xfId="1961" xr:uid="{00000000-0005-0000-0000-0000EF080000}"/>
    <cellStyle name="Comma 4 2 5 5 2" xfId="4190" xr:uid="{00000000-0005-0000-0000-0000F0080000}"/>
    <cellStyle name="Comma 4 2 5 5 2 2" xfId="8412" xr:uid="{00000000-0005-0000-0000-0000F1080000}"/>
    <cellStyle name="Comma 4 2 5 5 2 2 2" xfId="24528" xr:uid="{F203626C-25C4-447A-9F55-288C127ABC73}"/>
    <cellStyle name="Comma 4 2 5 5 2 2 3" xfId="16907" xr:uid="{3A050D58-83A3-49AA-A062-491CF620B5B9}"/>
    <cellStyle name="Comma 4 2 5 5 2 3" xfId="20315" xr:uid="{BA885B89-A1BF-4760-9134-4AD08C499619}"/>
    <cellStyle name="Comma 4 2 5 5 2 4" xfId="12694" xr:uid="{ADD58B2C-549D-47B4-8DFC-D11B21EBB627}"/>
    <cellStyle name="Comma 4 2 5 5 3" xfId="6267" xr:uid="{00000000-0005-0000-0000-0000F2080000}"/>
    <cellStyle name="Comma 4 2 5 5 3 2" xfId="22383" xr:uid="{824ED484-63B7-4ABE-9A78-2F90475ADC2B}"/>
    <cellStyle name="Comma 4 2 5 5 3 3" xfId="14762" xr:uid="{845E6607-84C5-492A-9701-9FE009052621}"/>
    <cellStyle name="Comma 4 2 5 5 4" xfId="18170" xr:uid="{0E2B6CFA-E74F-4259-AB7F-306B2AB46F16}"/>
    <cellStyle name="Comma 4 2 5 5 5" xfId="10549" xr:uid="{15237614-A028-4DA9-95DE-395407017A1D}"/>
    <cellStyle name="Comma 4 2 5 6" xfId="2396" xr:uid="{00000000-0005-0000-0000-0000F3080000}"/>
    <cellStyle name="Comma 4 2 5 6 2" xfId="6680" xr:uid="{00000000-0005-0000-0000-0000F4080000}"/>
    <cellStyle name="Comma 4 2 5 6 2 2" xfId="22796" xr:uid="{D6BB7628-76A8-4203-B165-3719BEE52DCB}"/>
    <cellStyle name="Comma 4 2 5 6 2 3" xfId="15175" xr:uid="{CE679729-C330-4CDB-9A0F-F5F6D58F0FE5}"/>
    <cellStyle name="Comma 4 2 5 6 3" xfId="18583" xr:uid="{8037D814-B8D2-4E28-826E-D6EFD45D770D}"/>
    <cellStyle name="Comma 4 2 5 6 4" xfId="10962" xr:uid="{9D868C9E-DA1F-4565-9E8F-C14B09CB5907}"/>
    <cellStyle name="Comma 4 2 5 7" xfId="2367" xr:uid="{00000000-0005-0000-0000-0000F5080000}"/>
    <cellStyle name="Comma 4 2 5 8" xfId="2774" xr:uid="{00000000-0005-0000-0000-0000F6080000}"/>
    <cellStyle name="Comma 4 2 5 8 2" xfId="6997" xr:uid="{00000000-0005-0000-0000-0000F7080000}"/>
    <cellStyle name="Comma 4 2 5 8 2 2" xfId="23113" xr:uid="{C2785F03-C881-4786-9596-0E3578FA4ABC}"/>
    <cellStyle name="Comma 4 2 5 8 2 3" xfId="15492" xr:uid="{35F474A1-8818-4C68-BB66-064637402C07}"/>
    <cellStyle name="Comma 4 2 5 8 3" xfId="18900" xr:uid="{6CD8416D-9539-4190-84D2-927BB9E83BB0}"/>
    <cellStyle name="Comma 4 2 5 8 4" xfId="11279" xr:uid="{B2D707C1-5215-489F-A2B2-EA74AD97D077}"/>
    <cellStyle name="Comma 4 2 5 9" xfId="4614" xr:uid="{00000000-0005-0000-0000-0000F8080000}"/>
    <cellStyle name="Comma 4 2 5 9 2" xfId="20731" xr:uid="{652441B6-31AC-4AED-843A-6714EB41ADAE}"/>
    <cellStyle name="Comma 4 2 5 9 3" xfId="13110" xr:uid="{D37DD128-AF2C-41A0-B2F2-27D5A8A1BC56}"/>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2 2 2" xfId="23290" xr:uid="{E1D34366-4BFB-409B-AFAB-3A040462976E}"/>
    <cellStyle name="Comma 4 2 6 2 2 2 3" xfId="15669" xr:uid="{695BAEB3-C06C-469D-B8BF-13F46AB49D12}"/>
    <cellStyle name="Comma 4 2 6 2 2 3" xfId="19077" xr:uid="{79C0998C-8468-4BCB-BAC7-59EC04B363E8}"/>
    <cellStyle name="Comma 4 2 6 2 2 4" xfId="11456" xr:uid="{615B2207-F747-44A7-B723-D900BA5E5E67}"/>
    <cellStyle name="Comma 4 2 6 2 3" xfId="5029" xr:uid="{00000000-0005-0000-0000-0000FD080000}"/>
    <cellStyle name="Comma 4 2 6 2 3 2" xfId="21145" xr:uid="{A3751BEF-6959-4039-BE52-FA1850F04202}"/>
    <cellStyle name="Comma 4 2 6 2 3 3" xfId="13524" xr:uid="{2517782B-8FB2-4935-957D-D74379DF99F2}"/>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2 2 2" xfId="23703" xr:uid="{0CA7E2BE-4844-4251-A614-64965C1C7287}"/>
    <cellStyle name="Comma 4 2 6 3 2 2 3" xfId="16082" xr:uid="{AFC9D0BA-CE8A-423B-87A8-CFFEB8B078A4}"/>
    <cellStyle name="Comma 4 2 6 3 2 3" xfId="19490" xr:uid="{91C83CE3-54C3-4182-B06A-6773C7119F12}"/>
    <cellStyle name="Comma 4 2 6 3 2 4" xfId="11869" xr:uid="{62D04301-90D9-4736-8055-C2C7AD85C999}"/>
    <cellStyle name="Comma 4 2 6 3 3" xfId="5442" xr:uid="{00000000-0005-0000-0000-000001090000}"/>
    <cellStyle name="Comma 4 2 6 3 3 2" xfId="21558" xr:uid="{FF252A03-351C-4C69-A727-AADEB16FC029}"/>
    <cellStyle name="Comma 4 2 6 3 3 3" xfId="13937" xr:uid="{C35F6C70-1885-4639-84F9-0F416705C7A2}"/>
    <cellStyle name="Comma 4 2 6 3 4" xfId="17345" xr:uid="{42FE8061-7FB9-47EE-87DD-C64365B220C0}"/>
    <cellStyle name="Comma 4 2 6 3 5" xfId="9724" xr:uid="{64E61E10-476F-4ACF-AACC-A1354A00E93D}"/>
    <cellStyle name="Comma 4 2 6 4" xfId="1548" xr:uid="{00000000-0005-0000-0000-000002090000}"/>
    <cellStyle name="Comma 4 2 6 4 2" xfId="3778" xr:uid="{00000000-0005-0000-0000-000003090000}"/>
    <cellStyle name="Comma 4 2 6 4 2 2" xfId="8000" xr:uid="{00000000-0005-0000-0000-000004090000}"/>
    <cellStyle name="Comma 4 2 6 4 2 2 2" xfId="24116" xr:uid="{31F35BD1-018B-4275-9A99-7399E21743C9}"/>
    <cellStyle name="Comma 4 2 6 4 2 2 3" xfId="16495" xr:uid="{BEAA1B72-481C-40BA-9089-25AC35D8DE36}"/>
    <cellStyle name="Comma 4 2 6 4 2 3" xfId="19903" xr:uid="{28646A07-B6A1-43DF-B76D-E7841D306567}"/>
    <cellStyle name="Comma 4 2 6 4 2 4" xfId="12282" xr:uid="{3A55EAD4-7216-4F6B-953D-29D073C3FEEF}"/>
    <cellStyle name="Comma 4 2 6 4 3" xfId="5855" xr:uid="{00000000-0005-0000-0000-000005090000}"/>
    <cellStyle name="Comma 4 2 6 4 3 2" xfId="21971" xr:uid="{FF5B4978-38F8-4674-A44A-A7529F5E88B5}"/>
    <cellStyle name="Comma 4 2 6 4 3 3" xfId="14350" xr:uid="{15A9EAD1-B094-4841-B5B3-E52B3FD68536}"/>
    <cellStyle name="Comma 4 2 6 4 4" xfId="17758" xr:uid="{CA72FA08-4555-45F5-B650-E6CD083043BC}"/>
    <cellStyle name="Comma 4 2 6 4 5" xfId="10137" xr:uid="{12977D0C-1528-4D3F-AE44-92EF38189B71}"/>
    <cellStyle name="Comma 4 2 6 5" xfId="1962" xr:uid="{00000000-0005-0000-0000-000006090000}"/>
    <cellStyle name="Comma 4 2 6 5 2" xfId="4191" xr:uid="{00000000-0005-0000-0000-000007090000}"/>
    <cellStyle name="Comma 4 2 6 5 2 2" xfId="8413" xr:uid="{00000000-0005-0000-0000-000008090000}"/>
    <cellStyle name="Comma 4 2 6 5 2 2 2" xfId="24529" xr:uid="{8F00DF1E-92D1-4390-A9EA-EBF6B4619E4C}"/>
    <cellStyle name="Comma 4 2 6 5 2 2 3" xfId="16908" xr:uid="{AD69EEA0-8B33-488E-8385-C0CE7D390555}"/>
    <cellStyle name="Comma 4 2 6 5 2 3" xfId="20316" xr:uid="{0CB56CC5-4D0F-4A9E-AE1A-583720E3D4F6}"/>
    <cellStyle name="Comma 4 2 6 5 2 4" xfId="12695" xr:uid="{4B8D920C-8D47-4D80-9BDD-2EBEA3FF5BF6}"/>
    <cellStyle name="Comma 4 2 6 5 3" xfId="6268" xr:uid="{00000000-0005-0000-0000-000009090000}"/>
    <cellStyle name="Comma 4 2 6 5 3 2" xfId="22384" xr:uid="{646E08C4-6FFC-4043-81FA-ECDAA72CE9BB}"/>
    <cellStyle name="Comma 4 2 6 5 3 3" xfId="14763" xr:uid="{3F50870B-5976-4960-B6A4-95F4F03F176E}"/>
    <cellStyle name="Comma 4 2 6 5 4" xfId="18171" xr:uid="{D96431A9-1590-49AF-948F-EE4784720408}"/>
    <cellStyle name="Comma 4 2 6 5 5" xfId="10550" xr:uid="{0C7CD72B-4C22-4E2A-8927-10373314C23D}"/>
    <cellStyle name="Comma 4 2 6 6" xfId="2397" xr:uid="{00000000-0005-0000-0000-00000A090000}"/>
    <cellStyle name="Comma 4 2 6 6 2" xfId="6681" xr:uid="{00000000-0005-0000-0000-00000B090000}"/>
    <cellStyle name="Comma 4 2 6 6 2 2" xfId="22797" xr:uid="{30FFA37F-A6EB-4DE7-A37F-F7944D037F86}"/>
    <cellStyle name="Comma 4 2 6 6 2 3" xfId="15176" xr:uid="{AB457A14-A594-4B5D-8F6A-C14100393ACD}"/>
    <cellStyle name="Comma 4 2 6 6 3" xfId="18584" xr:uid="{0235B83B-5BE5-4FAD-99C7-A21E4FB4991B}"/>
    <cellStyle name="Comma 4 2 6 6 4" xfId="10963" xr:uid="{B085F504-20A9-4A69-BE99-161E299EF5BD}"/>
    <cellStyle name="Comma 4 2 6 7" xfId="2366" xr:uid="{00000000-0005-0000-0000-00000C090000}"/>
    <cellStyle name="Comma 4 2 6 8" xfId="2775" xr:uid="{00000000-0005-0000-0000-00000D090000}"/>
    <cellStyle name="Comma 4 2 6 8 2" xfId="6998" xr:uid="{00000000-0005-0000-0000-00000E090000}"/>
    <cellStyle name="Comma 4 2 6 8 2 2" xfId="23114" xr:uid="{AA22AACE-57FE-4602-A7BE-0489A7379FB4}"/>
    <cellStyle name="Comma 4 2 6 8 2 3" xfId="15493" xr:uid="{C1086303-BE40-4949-A7A9-01AA9C8143F4}"/>
    <cellStyle name="Comma 4 2 6 8 3" xfId="18901" xr:uid="{43181F22-5D23-4D24-B20E-4D7E1F8F3D94}"/>
    <cellStyle name="Comma 4 2 6 8 4" xfId="11280" xr:uid="{7FC144ED-EE58-468F-9B25-5EBEE1BAD33C}"/>
    <cellStyle name="Comma 4 2 6 9" xfId="4615" xr:uid="{00000000-0005-0000-0000-00000F090000}"/>
    <cellStyle name="Comma 4 2 6 9 2" xfId="20732" xr:uid="{38CB4D91-FAF1-4787-936C-BAFC91BC616A}"/>
    <cellStyle name="Comma 4 2 6 9 3" xfId="13111" xr:uid="{E2FA14FA-992E-4C60-9042-5AA0002AC0FF}"/>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23115" xr:uid="{0285538E-B88F-4F6E-ADBF-E8CBB5BE40A5}"/>
    <cellStyle name="Comma 4 3 2 10 2 3" xfId="15494" xr:uid="{A575B631-2883-4EE2-BF4A-17C58C41CCD4}"/>
    <cellStyle name="Comma 4 3 2 10 3" xfId="18902" xr:uid="{5CB98ABD-42BC-4A88-987D-D8EDC2FE2977}"/>
    <cellStyle name="Comma 4 3 2 10 4" xfId="11281" xr:uid="{1507091C-E5FB-4867-83C5-DB132A8C7004}"/>
    <cellStyle name="Comma 4 3 2 11" xfId="4616" xr:uid="{00000000-0005-0000-0000-000014090000}"/>
    <cellStyle name="Comma 4 3 2 11 2" xfId="20733" xr:uid="{EEE5EB80-6EAD-408A-9502-DE1D53CEA391}"/>
    <cellStyle name="Comma 4 3 2 11 3" xfId="13112" xr:uid="{BE2F6654-623F-439E-9F35-4308C4CE99F0}"/>
    <cellStyle name="Comma 4 3 2 12" xfId="8807" xr:uid="{5C5EF314-D0DB-425B-AE7D-D52FEEE90EC1}"/>
    <cellStyle name="Comma 4 3 2 2" xfId="146" xr:uid="{00000000-0005-0000-0000-000015090000}"/>
    <cellStyle name="Comma 4 3 2 2 10" xfId="4617" xr:uid="{00000000-0005-0000-0000-000016090000}"/>
    <cellStyle name="Comma 4 3 2 2 10 2" xfId="20734" xr:uid="{A11F1189-1250-4992-89F8-9598B38EFEC4}"/>
    <cellStyle name="Comma 4 3 2 2 10 3" xfId="13113" xr:uid="{3E2777B3-1EF4-4F64-ABC9-199302C5C4EE}"/>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23293" xr:uid="{E570525B-AD69-4D90-836B-DF168CA26CEA}"/>
    <cellStyle name="Comma 4 3 2 2 2 2 2 2 3" xfId="15672" xr:uid="{07896938-5292-4A0D-B3DD-0388C255C3D3}"/>
    <cellStyle name="Comma 4 3 2 2 2 2 2 3" xfId="19080" xr:uid="{7F35DCBA-F875-4769-BE61-7C84FBA9925D}"/>
    <cellStyle name="Comma 4 3 2 2 2 2 2 4" xfId="11459" xr:uid="{A5E69FCF-6347-4D3F-876F-B84C8617D12C}"/>
    <cellStyle name="Comma 4 3 2 2 2 2 3" xfId="5032" xr:uid="{00000000-0005-0000-0000-00001B090000}"/>
    <cellStyle name="Comma 4 3 2 2 2 2 3 2" xfId="21148" xr:uid="{245916FA-51EF-4C5C-B9DA-A6141ADE54F8}"/>
    <cellStyle name="Comma 4 3 2 2 2 2 3 3" xfId="13527" xr:uid="{DC496996-948C-4AC4-A034-9250CE34CC8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23706" xr:uid="{A1B411F3-35A1-43A0-A97E-465DE32BEF40}"/>
    <cellStyle name="Comma 4 3 2 2 2 3 2 2 3" xfId="16085" xr:uid="{1E9A8647-253E-44CB-A0B8-F9672B720477}"/>
    <cellStyle name="Comma 4 3 2 2 2 3 2 3" xfId="19493" xr:uid="{65EA9534-6512-4ABB-88C0-FDC8C4D4FDFC}"/>
    <cellStyle name="Comma 4 3 2 2 2 3 2 4" xfId="11872" xr:uid="{B272AFA1-D39F-41B9-89C0-314A90D85E2D}"/>
    <cellStyle name="Comma 4 3 2 2 2 3 3" xfId="5445" xr:uid="{00000000-0005-0000-0000-00001F090000}"/>
    <cellStyle name="Comma 4 3 2 2 2 3 3 2" xfId="21561" xr:uid="{6B62A05D-4FE6-4752-9871-29849605B17F}"/>
    <cellStyle name="Comma 4 3 2 2 2 3 3 3" xfId="13940" xr:uid="{71ED13F6-F892-41CF-99CE-0C0CEDEB1D99}"/>
    <cellStyle name="Comma 4 3 2 2 2 3 4" xfId="17348" xr:uid="{09BFEDFD-AE48-49D8-846A-8CDB65333546}"/>
    <cellStyle name="Comma 4 3 2 2 2 3 5" xfId="9727" xr:uid="{16F5DFDB-EAFA-481F-B0FE-17C827898C74}"/>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24119" xr:uid="{46FBF353-1086-4D68-AF89-AAA278BDB2CD}"/>
    <cellStyle name="Comma 4 3 2 2 2 4 2 2 3" xfId="16498" xr:uid="{E1FCA888-D187-4A36-8512-8F917B11CDD9}"/>
    <cellStyle name="Comma 4 3 2 2 2 4 2 3" xfId="19906" xr:uid="{C3432F37-2289-4143-9212-93D1B3EDC092}"/>
    <cellStyle name="Comma 4 3 2 2 2 4 2 4" xfId="12285" xr:uid="{A1D1A7EE-3F3C-4BEF-9CD1-AF76035BCED8}"/>
    <cellStyle name="Comma 4 3 2 2 2 4 3" xfId="5858" xr:uid="{00000000-0005-0000-0000-000023090000}"/>
    <cellStyle name="Comma 4 3 2 2 2 4 3 2" xfId="21974" xr:uid="{51583E9E-AF0B-48D6-9E62-2FB95B4630A3}"/>
    <cellStyle name="Comma 4 3 2 2 2 4 3 3" xfId="14353" xr:uid="{3458AA11-30FE-4E42-88E7-53D85ABB6DFD}"/>
    <cellStyle name="Comma 4 3 2 2 2 4 4" xfId="17761" xr:uid="{2EB2A7AB-3B27-4C8F-A6C0-CCA4063AD732}"/>
    <cellStyle name="Comma 4 3 2 2 2 4 5" xfId="10140" xr:uid="{459E1196-53D8-44C2-9912-651BC714393B}"/>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24532" xr:uid="{C700AFA4-2B4C-4D4D-ACB4-50E71120A8F8}"/>
    <cellStyle name="Comma 4 3 2 2 2 5 2 2 3" xfId="16911" xr:uid="{7E313B91-82D0-4DD9-B336-ADD98BA57A35}"/>
    <cellStyle name="Comma 4 3 2 2 2 5 2 3" xfId="20319" xr:uid="{BD43039B-124D-4473-94FA-F9E035FE2B34}"/>
    <cellStyle name="Comma 4 3 2 2 2 5 2 4" xfId="12698" xr:uid="{3283BE3E-4F47-4C9A-AD70-029E36B85366}"/>
    <cellStyle name="Comma 4 3 2 2 2 5 3" xfId="6271" xr:uid="{00000000-0005-0000-0000-000027090000}"/>
    <cellStyle name="Comma 4 3 2 2 2 5 3 2" xfId="22387" xr:uid="{1E732990-3851-4937-9EA9-A6E5A7725474}"/>
    <cellStyle name="Comma 4 3 2 2 2 5 3 3" xfId="14766" xr:uid="{47025D99-C8CB-4004-BCAF-8A0B275F6ECC}"/>
    <cellStyle name="Comma 4 3 2 2 2 5 4" xfId="18174" xr:uid="{B0243D92-C791-4FB6-BAF0-D27DE3AACB9F}"/>
    <cellStyle name="Comma 4 3 2 2 2 5 5" xfId="10553" xr:uid="{B04816ED-9F84-4A7D-868E-ADAD881AE8ED}"/>
    <cellStyle name="Comma 4 3 2 2 2 6" xfId="2400" xr:uid="{00000000-0005-0000-0000-000028090000}"/>
    <cellStyle name="Comma 4 3 2 2 2 6 2" xfId="6684" xr:uid="{00000000-0005-0000-0000-000029090000}"/>
    <cellStyle name="Comma 4 3 2 2 2 6 2 2" xfId="22800" xr:uid="{BCC88216-7971-4A07-B880-288D417022EF}"/>
    <cellStyle name="Comma 4 3 2 2 2 6 2 3" xfId="15179" xr:uid="{8735BA88-753F-4B83-AFC6-7B10F20E47CD}"/>
    <cellStyle name="Comma 4 3 2 2 2 6 3" xfId="18587" xr:uid="{37B123DE-8518-4CFA-94EF-D7047DBC4200}"/>
    <cellStyle name="Comma 4 3 2 2 2 6 4" xfId="10966" xr:uid="{60833A87-B1D5-4132-9DA9-927CC68583D0}"/>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23117" xr:uid="{A4B1967C-EDF2-4570-AF49-6661FA63CA6E}"/>
    <cellStyle name="Comma 4 3 2 2 2 8 2 3" xfId="15496" xr:uid="{9483C278-AD70-4E67-B539-27ABF0905019}"/>
    <cellStyle name="Comma 4 3 2 2 2 8 3" xfId="18904" xr:uid="{3023A297-2BD8-4AA1-9719-5AE64F148AB1}"/>
    <cellStyle name="Comma 4 3 2 2 2 8 4" xfId="11283" xr:uid="{B2F2DA31-884E-4C23-B2FD-39187EAD926F}"/>
    <cellStyle name="Comma 4 3 2 2 2 9" xfId="4618" xr:uid="{00000000-0005-0000-0000-00002D090000}"/>
    <cellStyle name="Comma 4 3 2 2 2 9 2" xfId="20735" xr:uid="{F6A9744E-984B-4A59-A3C2-2338521AFA78}"/>
    <cellStyle name="Comma 4 3 2 2 2 9 3" xfId="13114" xr:uid="{FE083C85-AA12-49BA-B15A-C577D95559AD}"/>
    <cellStyle name="Comma 4 3 2 2 3" xfId="683" xr:uid="{00000000-0005-0000-0000-00002E090000}"/>
    <cellStyle name="Comma 4 3 2 2 3 2" xfId="2954" xr:uid="{00000000-0005-0000-0000-00002F090000}"/>
    <cellStyle name="Comma 4 3 2 2 3 2 2" xfId="7176" xr:uid="{00000000-0005-0000-0000-000030090000}"/>
    <cellStyle name="Comma 4 3 2 2 3 2 2 2" xfId="23292" xr:uid="{190F5C27-E746-4DFD-A58C-F5195C730AE6}"/>
    <cellStyle name="Comma 4 3 2 2 3 2 2 3" xfId="15671" xr:uid="{A2AE7BEC-1FC6-48E6-A3D0-256160D2F13B}"/>
    <cellStyle name="Comma 4 3 2 2 3 2 3" xfId="19079" xr:uid="{639DA2D7-7DC2-494D-B563-7970953D4799}"/>
    <cellStyle name="Comma 4 3 2 2 3 2 4" xfId="11458" xr:uid="{AADD0353-F857-4E7B-8C24-802C3BDF24C3}"/>
    <cellStyle name="Comma 4 3 2 2 3 3" xfId="5031" xr:uid="{00000000-0005-0000-0000-000031090000}"/>
    <cellStyle name="Comma 4 3 2 2 3 3 2" xfId="21147" xr:uid="{8EE3AD7C-BCAC-426F-9937-87D52E8BAC37}"/>
    <cellStyle name="Comma 4 3 2 2 3 3 3" xfId="13526" xr:uid="{66A02C67-F58F-4D22-BE25-1C908EEE8019}"/>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2 2 2" xfId="23705" xr:uid="{47632906-CB72-4E80-9043-E2550179F825}"/>
    <cellStyle name="Comma 4 3 2 2 4 2 2 3" xfId="16084" xr:uid="{66626A4C-37AE-4310-8CC9-2A7DD9A17EE4}"/>
    <cellStyle name="Comma 4 3 2 2 4 2 3" xfId="19492" xr:uid="{7F62F5F0-A47E-4993-AACA-520B7522AB86}"/>
    <cellStyle name="Comma 4 3 2 2 4 2 4" xfId="11871" xr:uid="{6DC89650-5216-4E36-987C-E7A4D8CB968F}"/>
    <cellStyle name="Comma 4 3 2 2 4 3" xfId="5444" xr:uid="{00000000-0005-0000-0000-000035090000}"/>
    <cellStyle name="Comma 4 3 2 2 4 3 2" xfId="21560" xr:uid="{F9EB9E71-6D79-4E47-8901-16C0FF495A67}"/>
    <cellStyle name="Comma 4 3 2 2 4 3 3" xfId="13939" xr:uid="{D958BF05-B20A-41DC-AC63-59B25B7FC22E}"/>
    <cellStyle name="Comma 4 3 2 2 4 4" xfId="17347" xr:uid="{0CD837F7-D9A7-4D95-BADE-C5A02842EEDC}"/>
    <cellStyle name="Comma 4 3 2 2 4 5" xfId="9726" xr:uid="{6AE353C8-B67B-466E-84E3-AFAE09A809D2}"/>
    <cellStyle name="Comma 4 3 2 2 5" xfId="1550" xr:uid="{00000000-0005-0000-0000-000036090000}"/>
    <cellStyle name="Comma 4 3 2 2 5 2" xfId="3780" xr:uid="{00000000-0005-0000-0000-000037090000}"/>
    <cellStyle name="Comma 4 3 2 2 5 2 2" xfId="8002" xr:uid="{00000000-0005-0000-0000-000038090000}"/>
    <cellStyle name="Comma 4 3 2 2 5 2 2 2" xfId="24118" xr:uid="{3956E731-CB75-4641-93AE-3B0455A7CE99}"/>
    <cellStyle name="Comma 4 3 2 2 5 2 2 3" xfId="16497" xr:uid="{7F204C87-CD74-4166-AA65-569EF3E456EB}"/>
    <cellStyle name="Comma 4 3 2 2 5 2 3" xfId="19905" xr:uid="{BCA6880C-1982-46D9-87D6-E11A6AE73CD8}"/>
    <cellStyle name="Comma 4 3 2 2 5 2 4" xfId="12284" xr:uid="{0A9A555C-A63A-419B-B65E-21F65AC4241A}"/>
    <cellStyle name="Comma 4 3 2 2 5 3" xfId="5857" xr:uid="{00000000-0005-0000-0000-000039090000}"/>
    <cellStyle name="Comma 4 3 2 2 5 3 2" xfId="21973" xr:uid="{46934332-ADB1-4D78-BECC-B34662F653FF}"/>
    <cellStyle name="Comma 4 3 2 2 5 3 3" xfId="14352" xr:uid="{C32A62FB-6CAA-41F8-9A3F-066F283DF068}"/>
    <cellStyle name="Comma 4 3 2 2 5 4" xfId="17760" xr:uid="{ED6F728E-FD69-4A64-AF12-A9B8A1EA9C3D}"/>
    <cellStyle name="Comma 4 3 2 2 5 5" xfId="10139" xr:uid="{6AFD10AB-35EA-49B8-A8FC-814ECD1E6C33}"/>
    <cellStyle name="Comma 4 3 2 2 6" xfId="1964" xr:uid="{00000000-0005-0000-0000-00003A090000}"/>
    <cellStyle name="Comma 4 3 2 2 6 2" xfId="4193" xr:uid="{00000000-0005-0000-0000-00003B090000}"/>
    <cellStyle name="Comma 4 3 2 2 6 2 2" xfId="8415" xr:uid="{00000000-0005-0000-0000-00003C090000}"/>
    <cellStyle name="Comma 4 3 2 2 6 2 2 2" xfId="24531" xr:uid="{E569C202-D723-4A1A-AA18-A928278A975F}"/>
    <cellStyle name="Comma 4 3 2 2 6 2 2 3" xfId="16910" xr:uid="{916731AC-A178-45C0-A44B-19DA3A144C07}"/>
    <cellStyle name="Comma 4 3 2 2 6 2 3" xfId="20318" xr:uid="{CD250AB0-4802-4929-AE1F-2EEBA2295008}"/>
    <cellStyle name="Comma 4 3 2 2 6 2 4" xfId="12697" xr:uid="{433590A8-8FB2-4406-8704-B44A5645D6CE}"/>
    <cellStyle name="Comma 4 3 2 2 6 3" xfId="6270" xr:uid="{00000000-0005-0000-0000-00003D090000}"/>
    <cellStyle name="Comma 4 3 2 2 6 3 2" xfId="22386" xr:uid="{AD2CB2ED-FCC6-43F4-A218-A648608536D8}"/>
    <cellStyle name="Comma 4 3 2 2 6 3 3" xfId="14765" xr:uid="{1545D299-5E3D-4A72-A685-6E907C56CE43}"/>
    <cellStyle name="Comma 4 3 2 2 6 4" xfId="18173" xr:uid="{EFC0BB81-D860-41E3-92F2-A2D14F3E04C3}"/>
    <cellStyle name="Comma 4 3 2 2 6 5" xfId="10552" xr:uid="{93590E03-D4F9-4874-882C-89A7087B9166}"/>
    <cellStyle name="Comma 4 3 2 2 7" xfId="2399" xr:uid="{00000000-0005-0000-0000-00003E090000}"/>
    <cellStyle name="Comma 4 3 2 2 7 2" xfId="6683" xr:uid="{00000000-0005-0000-0000-00003F090000}"/>
    <cellStyle name="Comma 4 3 2 2 7 2 2" xfId="22799" xr:uid="{75C6278C-899F-4FBB-8C92-69CFFAEAA2DE}"/>
    <cellStyle name="Comma 4 3 2 2 7 2 3" xfId="15178" xr:uid="{B822521E-62B9-409A-BBAC-AED6498C1625}"/>
    <cellStyle name="Comma 4 3 2 2 7 3" xfId="18586" xr:uid="{54767E07-9943-4A36-A783-D1BB5B540070}"/>
    <cellStyle name="Comma 4 3 2 2 7 4" xfId="10965" xr:uid="{AA4A5FC0-FBD3-48FD-98A5-E3B000D05503}"/>
    <cellStyle name="Comma 4 3 2 2 8" xfId="2364" xr:uid="{00000000-0005-0000-0000-000040090000}"/>
    <cellStyle name="Comma 4 3 2 2 9" xfId="2777" xr:uid="{00000000-0005-0000-0000-000041090000}"/>
    <cellStyle name="Comma 4 3 2 2 9 2" xfId="7000" xr:uid="{00000000-0005-0000-0000-000042090000}"/>
    <cellStyle name="Comma 4 3 2 2 9 2 2" xfId="23116" xr:uid="{06AEDFA9-19C0-45C1-96E5-6F4E71190E15}"/>
    <cellStyle name="Comma 4 3 2 2 9 2 3" xfId="15495" xr:uid="{421FDA07-052F-40B0-A801-9219687499A7}"/>
    <cellStyle name="Comma 4 3 2 2 9 3" xfId="18903" xr:uid="{03797A5D-3914-4371-BF04-5BA87F5DBE20}"/>
    <cellStyle name="Comma 4 3 2 2 9 4" xfId="11282" xr:uid="{C5A5C0D7-A1C4-4F0B-AE78-2DB990F8F6C9}"/>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2 2 2" xfId="23294" xr:uid="{DB2D2142-512E-430C-B781-11A369127FEA}"/>
    <cellStyle name="Comma 4 3 2 3 2 2 2 3" xfId="15673" xr:uid="{66BF0161-C6A3-4892-A0B0-417A93770DAA}"/>
    <cellStyle name="Comma 4 3 2 3 2 2 3" xfId="19081" xr:uid="{5BF33394-B0BF-4882-BA9A-40A83A502926}"/>
    <cellStyle name="Comma 4 3 2 3 2 2 4" xfId="11460" xr:uid="{81689C99-122F-44B9-A2C1-CB0CEDA06E45}"/>
    <cellStyle name="Comma 4 3 2 3 2 3" xfId="5033" xr:uid="{00000000-0005-0000-0000-000047090000}"/>
    <cellStyle name="Comma 4 3 2 3 2 3 2" xfId="21149" xr:uid="{D77A383E-D037-4102-B904-CC633E2FCD2B}"/>
    <cellStyle name="Comma 4 3 2 3 2 3 3" xfId="13528" xr:uid="{B372424A-C452-4263-A365-E83079F135A4}"/>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2 2 2" xfId="23707" xr:uid="{43489195-DA6F-4498-86F2-C30A57C40498}"/>
    <cellStyle name="Comma 4 3 2 3 3 2 2 3" xfId="16086" xr:uid="{3796EE7E-29BA-40E9-AED8-CBE74EBDD737}"/>
    <cellStyle name="Comma 4 3 2 3 3 2 3" xfId="19494" xr:uid="{679C059F-D938-488E-BE5C-17462B2ADD4B}"/>
    <cellStyle name="Comma 4 3 2 3 3 2 4" xfId="11873" xr:uid="{5ADC271A-1B29-4589-BE51-089D10CE64FD}"/>
    <cellStyle name="Comma 4 3 2 3 3 3" xfId="5446" xr:uid="{00000000-0005-0000-0000-00004B090000}"/>
    <cellStyle name="Comma 4 3 2 3 3 3 2" xfId="21562" xr:uid="{372706E3-D143-438E-88D6-C374DDCBACCA}"/>
    <cellStyle name="Comma 4 3 2 3 3 3 3" xfId="13941" xr:uid="{A72EAF0F-2AB5-4E45-9A7E-D99449579DA5}"/>
    <cellStyle name="Comma 4 3 2 3 3 4" xfId="17349" xr:uid="{1C7D1A9C-B7D7-4738-873E-A656F6C6420A}"/>
    <cellStyle name="Comma 4 3 2 3 3 5" xfId="9728" xr:uid="{0B5975BA-FD66-430E-BEF8-B24E34DDC9E5}"/>
    <cellStyle name="Comma 4 3 2 3 4" xfId="1552" xr:uid="{00000000-0005-0000-0000-00004C090000}"/>
    <cellStyle name="Comma 4 3 2 3 4 2" xfId="3782" xr:uid="{00000000-0005-0000-0000-00004D090000}"/>
    <cellStyle name="Comma 4 3 2 3 4 2 2" xfId="8004" xr:uid="{00000000-0005-0000-0000-00004E090000}"/>
    <cellStyle name="Comma 4 3 2 3 4 2 2 2" xfId="24120" xr:uid="{8573BFBC-4710-4885-8CB3-FD9181BEAAE4}"/>
    <cellStyle name="Comma 4 3 2 3 4 2 2 3" xfId="16499" xr:uid="{6E6E2506-55A7-40FC-86AB-A67BB83539C1}"/>
    <cellStyle name="Comma 4 3 2 3 4 2 3" xfId="19907" xr:uid="{C35AD817-E547-480F-8A71-750DB917354D}"/>
    <cellStyle name="Comma 4 3 2 3 4 2 4" xfId="12286" xr:uid="{49C30F7B-467E-49BD-A1A7-721F3580CD68}"/>
    <cellStyle name="Comma 4 3 2 3 4 3" xfId="5859" xr:uid="{00000000-0005-0000-0000-00004F090000}"/>
    <cellStyle name="Comma 4 3 2 3 4 3 2" xfId="21975" xr:uid="{FE664BFB-E0AD-4F22-A0BB-1EF1FB4A4B5C}"/>
    <cellStyle name="Comma 4 3 2 3 4 3 3" xfId="14354" xr:uid="{3CD4752E-1A5F-458F-B117-B8F5A229E8CB}"/>
    <cellStyle name="Comma 4 3 2 3 4 4" xfId="17762" xr:uid="{09508ED9-F0E7-4863-800C-3D07C3849A15}"/>
    <cellStyle name="Comma 4 3 2 3 4 5" xfId="10141" xr:uid="{5C9C7BBF-DE65-44D8-9178-468685F0BF18}"/>
    <cellStyle name="Comma 4 3 2 3 5" xfId="1966" xr:uid="{00000000-0005-0000-0000-000050090000}"/>
    <cellStyle name="Comma 4 3 2 3 5 2" xfId="4195" xr:uid="{00000000-0005-0000-0000-000051090000}"/>
    <cellStyle name="Comma 4 3 2 3 5 2 2" xfId="8417" xr:uid="{00000000-0005-0000-0000-000052090000}"/>
    <cellStyle name="Comma 4 3 2 3 5 2 2 2" xfId="24533" xr:uid="{5EA3DF7C-242B-449A-8E86-CE725D88502C}"/>
    <cellStyle name="Comma 4 3 2 3 5 2 2 3" xfId="16912" xr:uid="{77D73AC9-5A60-4D14-BBAC-5FDE16BE20C5}"/>
    <cellStyle name="Comma 4 3 2 3 5 2 3" xfId="20320" xr:uid="{B46E2BE7-BCDE-4E99-82AD-5CA637B78693}"/>
    <cellStyle name="Comma 4 3 2 3 5 2 4" xfId="12699" xr:uid="{7A65985C-A904-44CE-81CB-D7E1577733ED}"/>
    <cellStyle name="Comma 4 3 2 3 5 3" xfId="6272" xr:uid="{00000000-0005-0000-0000-000053090000}"/>
    <cellStyle name="Comma 4 3 2 3 5 3 2" xfId="22388" xr:uid="{C109AFE5-EF6C-4E85-BB63-37D0761E6AF2}"/>
    <cellStyle name="Comma 4 3 2 3 5 3 3" xfId="14767" xr:uid="{A1C95937-4CFB-4110-B4D4-04452DE05935}"/>
    <cellStyle name="Comma 4 3 2 3 5 4" xfId="18175" xr:uid="{F3BA6320-25EE-4062-A105-069122A152DB}"/>
    <cellStyle name="Comma 4 3 2 3 5 5" xfId="10554" xr:uid="{50709D99-A3DA-4C06-9B98-9F6DD4EBE82F}"/>
    <cellStyle name="Comma 4 3 2 3 6" xfId="2401" xr:uid="{00000000-0005-0000-0000-000054090000}"/>
    <cellStyle name="Comma 4 3 2 3 6 2" xfId="6685" xr:uid="{00000000-0005-0000-0000-000055090000}"/>
    <cellStyle name="Comma 4 3 2 3 6 2 2" xfId="22801" xr:uid="{DB2BD040-3C13-4022-88BB-84889A85ED39}"/>
    <cellStyle name="Comma 4 3 2 3 6 2 3" xfId="15180" xr:uid="{58DDE82D-3BAF-403D-9AB7-129E66FCF8F2}"/>
    <cellStyle name="Comma 4 3 2 3 6 3" xfId="18588" xr:uid="{56D5469B-5DC4-429F-B636-9F7D918BA0AE}"/>
    <cellStyle name="Comma 4 3 2 3 6 4" xfId="10967" xr:uid="{4ED4D7F8-FE33-4910-8D19-6E5BE7668EAC}"/>
    <cellStyle name="Comma 4 3 2 3 7" xfId="2362" xr:uid="{00000000-0005-0000-0000-000056090000}"/>
    <cellStyle name="Comma 4 3 2 3 8" xfId="2779" xr:uid="{00000000-0005-0000-0000-000057090000}"/>
    <cellStyle name="Comma 4 3 2 3 8 2" xfId="7002" xr:uid="{00000000-0005-0000-0000-000058090000}"/>
    <cellStyle name="Comma 4 3 2 3 8 2 2" xfId="23118" xr:uid="{F3378CA0-7ACC-47B1-9991-9B2817188002}"/>
    <cellStyle name="Comma 4 3 2 3 8 2 3" xfId="15497" xr:uid="{175576B4-F85C-4118-9740-F060AD837025}"/>
    <cellStyle name="Comma 4 3 2 3 8 3" xfId="18905" xr:uid="{B9B503E8-AEC7-49C8-A1CF-8CA166CADCDD}"/>
    <cellStyle name="Comma 4 3 2 3 8 4" xfId="11284" xr:uid="{9BF740B6-06FE-4C9D-B1B6-4FC5D93C3A71}"/>
    <cellStyle name="Comma 4 3 2 3 9" xfId="4619" xr:uid="{00000000-0005-0000-0000-000059090000}"/>
    <cellStyle name="Comma 4 3 2 3 9 2" xfId="20736" xr:uid="{76D998C1-345C-4737-B56E-D389045F1742}"/>
    <cellStyle name="Comma 4 3 2 3 9 3" xfId="13115" xr:uid="{9EEDD37E-5B3A-426E-AD29-00D173CB32EC}"/>
    <cellStyle name="Comma 4 3 2 4" xfId="682" xr:uid="{00000000-0005-0000-0000-00005A090000}"/>
    <cellStyle name="Comma 4 3 2 4 2" xfId="2953" xr:uid="{00000000-0005-0000-0000-00005B090000}"/>
    <cellStyle name="Comma 4 3 2 4 2 2" xfId="7175" xr:uid="{00000000-0005-0000-0000-00005C090000}"/>
    <cellStyle name="Comma 4 3 2 4 2 2 2" xfId="23291" xr:uid="{0338549F-D79B-45E0-B4C9-9A1730B4F222}"/>
    <cellStyle name="Comma 4 3 2 4 2 2 3" xfId="15670" xr:uid="{A73769D0-6CF4-417A-94F6-A653DFC61437}"/>
    <cellStyle name="Comma 4 3 2 4 2 3" xfId="19078" xr:uid="{41F71F2E-ED41-4BD5-B6DF-22E4EDCBC498}"/>
    <cellStyle name="Comma 4 3 2 4 2 4" xfId="11457" xr:uid="{C4924031-0C12-463B-BF66-9F5B46939898}"/>
    <cellStyle name="Comma 4 3 2 4 3" xfId="5030" xr:uid="{00000000-0005-0000-0000-00005D090000}"/>
    <cellStyle name="Comma 4 3 2 4 3 2" xfId="21146" xr:uid="{3EF8CC56-B355-4F12-A3A6-5298CDA33AC2}"/>
    <cellStyle name="Comma 4 3 2 4 3 3" xfId="13525" xr:uid="{FA29AAEB-BB47-47A4-93CB-39F0240199E7}"/>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2 2 2" xfId="23704" xr:uid="{63F0C062-0A16-4064-BA61-78B42F8B2DFA}"/>
    <cellStyle name="Comma 4 3 2 5 2 2 3" xfId="16083" xr:uid="{00BA8E97-6DD3-4C96-A0C8-8C23708C103A}"/>
    <cellStyle name="Comma 4 3 2 5 2 3" xfId="19491" xr:uid="{46C38F4C-D784-4254-9989-6889B1A882AC}"/>
    <cellStyle name="Comma 4 3 2 5 2 4" xfId="11870" xr:uid="{6CDBB605-48E9-4A91-B3CC-7A19E8AD39F0}"/>
    <cellStyle name="Comma 4 3 2 5 3" xfId="5443" xr:uid="{00000000-0005-0000-0000-000061090000}"/>
    <cellStyle name="Comma 4 3 2 5 3 2" xfId="21559" xr:uid="{5129FE15-A6D1-4E3D-AAF1-4A4458A0FB9D}"/>
    <cellStyle name="Comma 4 3 2 5 3 3" xfId="13938" xr:uid="{19538C23-5604-4176-875D-49B8A9960CF0}"/>
    <cellStyle name="Comma 4 3 2 5 4" xfId="17346" xr:uid="{380E3C33-33F9-4BA8-9F0B-02F2922FC357}"/>
    <cellStyle name="Comma 4 3 2 5 5" xfId="9725" xr:uid="{3CD9C1F4-1B71-464D-B270-DCB7CD59C147}"/>
    <cellStyle name="Comma 4 3 2 6" xfId="1549" xr:uid="{00000000-0005-0000-0000-000062090000}"/>
    <cellStyle name="Comma 4 3 2 6 2" xfId="3779" xr:uid="{00000000-0005-0000-0000-000063090000}"/>
    <cellStyle name="Comma 4 3 2 6 2 2" xfId="8001" xr:uid="{00000000-0005-0000-0000-000064090000}"/>
    <cellStyle name="Comma 4 3 2 6 2 2 2" xfId="24117" xr:uid="{BECF33E4-8897-45E4-8A10-6C5830DE5C41}"/>
    <cellStyle name="Comma 4 3 2 6 2 2 3" xfId="16496" xr:uid="{AEB079A6-BFA9-493E-9FF8-C3CDE3947C38}"/>
    <cellStyle name="Comma 4 3 2 6 2 3" xfId="19904" xr:uid="{75CB5204-6622-40ED-9E53-6285B4C8E710}"/>
    <cellStyle name="Comma 4 3 2 6 2 4" xfId="12283" xr:uid="{C776D77D-F26C-4FCC-888F-C40609CF3D4D}"/>
    <cellStyle name="Comma 4 3 2 6 3" xfId="5856" xr:uid="{00000000-0005-0000-0000-000065090000}"/>
    <cellStyle name="Comma 4 3 2 6 3 2" xfId="21972" xr:uid="{E29F9C68-28A8-4169-BD08-7C257694C9C0}"/>
    <cellStyle name="Comma 4 3 2 6 3 3" xfId="14351" xr:uid="{38CDC463-BC22-4DDC-AD99-F468ED18D3AA}"/>
    <cellStyle name="Comma 4 3 2 6 4" xfId="17759" xr:uid="{640BDE76-F42F-4A3B-9CA4-EA97CDD09E24}"/>
    <cellStyle name="Comma 4 3 2 6 5" xfId="10138" xr:uid="{67A8D70F-7B6C-40D1-B257-BE9B88EAF2FD}"/>
    <cellStyle name="Comma 4 3 2 7" xfId="1963" xr:uid="{00000000-0005-0000-0000-000066090000}"/>
    <cellStyle name="Comma 4 3 2 7 2" xfId="4192" xr:uid="{00000000-0005-0000-0000-000067090000}"/>
    <cellStyle name="Comma 4 3 2 7 2 2" xfId="8414" xr:uid="{00000000-0005-0000-0000-000068090000}"/>
    <cellStyle name="Comma 4 3 2 7 2 2 2" xfId="24530" xr:uid="{F26A12D7-FA3C-4E72-859C-C1C5A2BD6D8B}"/>
    <cellStyle name="Comma 4 3 2 7 2 2 3" xfId="16909" xr:uid="{43E12F94-3745-42A0-9B6D-54183745C13B}"/>
    <cellStyle name="Comma 4 3 2 7 2 3" xfId="20317" xr:uid="{95BC826B-4F0A-4DD9-82C9-0DB09B5F3842}"/>
    <cellStyle name="Comma 4 3 2 7 2 4" xfId="12696" xr:uid="{8C57D423-ABFC-44A4-99A2-3EDC09BC3916}"/>
    <cellStyle name="Comma 4 3 2 7 3" xfId="6269" xr:uid="{00000000-0005-0000-0000-000069090000}"/>
    <cellStyle name="Comma 4 3 2 7 3 2" xfId="22385" xr:uid="{FB2CAAEB-4D02-4ECC-92F6-574DF8CA3682}"/>
    <cellStyle name="Comma 4 3 2 7 3 3" xfId="14764" xr:uid="{4555A7E4-43F3-4841-A6B4-24F3901B4884}"/>
    <cellStyle name="Comma 4 3 2 7 4" xfId="18172" xr:uid="{FDA49075-76C5-48D8-ACFD-60CBA643D52D}"/>
    <cellStyle name="Comma 4 3 2 7 5" xfId="10551" xr:uid="{D74756D0-F77B-4778-8DA2-D8D08DBB2F7C}"/>
    <cellStyle name="Comma 4 3 2 8" xfId="2398" xr:uid="{00000000-0005-0000-0000-00006A090000}"/>
    <cellStyle name="Comma 4 3 2 8 2" xfId="6682" xr:uid="{00000000-0005-0000-0000-00006B090000}"/>
    <cellStyle name="Comma 4 3 2 8 2 2" xfId="22798" xr:uid="{5B0163FB-8934-49A6-AEEE-E3A2FF697636}"/>
    <cellStyle name="Comma 4 3 2 8 2 3" xfId="15177" xr:uid="{72292B3D-10A2-4A40-871D-AC8B3964A2E9}"/>
    <cellStyle name="Comma 4 3 2 8 3" xfId="18585" xr:uid="{5B6CD821-7B06-4D71-9950-F1B1E461AF2E}"/>
    <cellStyle name="Comma 4 3 2 8 4" xfId="10964" xr:uid="{FF02A309-1D58-4035-8FB1-8672535EC4EB}"/>
    <cellStyle name="Comma 4 3 2 9" xfId="2365" xr:uid="{00000000-0005-0000-0000-00006C090000}"/>
    <cellStyle name="Comma 4 3 3" xfId="149" xr:uid="{00000000-0005-0000-0000-00006D090000}"/>
    <cellStyle name="Comma 4 3 3 10" xfId="4620" xr:uid="{00000000-0005-0000-0000-00006E090000}"/>
    <cellStyle name="Comma 4 3 3 10 2" xfId="20737" xr:uid="{0D0B4779-23F2-4A0C-8650-775EF4CFD9A0}"/>
    <cellStyle name="Comma 4 3 3 10 3" xfId="13116" xr:uid="{CC6EB308-86F4-4CE6-B81F-6D0F9EEE67E8}"/>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2 2 2" xfId="23296" xr:uid="{AA759F13-39F7-41A1-80F2-DF484DD2710C}"/>
    <cellStyle name="Comma 4 3 3 2 2 2 2 3" xfId="15675" xr:uid="{198C2BF1-0001-4B47-8AA7-AF4654A73025}"/>
    <cellStyle name="Comma 4 3 3 2 2 2 3" xfId="19083" xr:uid="{F649520A-0E06-4C1F-9518-234E67EDB2FE}"/>
    <cellStyle name="Comma 4 3 3 2 2 2 4" xfId="11462" xr:uid="{2278E1C6-D6CB-4BAA-A543-3990202D8D86}"/>
    <cellStyle name="Comma 4 3 3 2 2 3" xfId="5035" xr:uid="{00000000-0005-0000-0000-000073090000}"/>
    <cellStyle name="Comma 4 3 3 2 2 3 2" xfId="21151" xr:uid="{D0E6449B-2B70-469C-B16B-808023D1ADA5}"/>
    <cellStyle name="Comma 4 3 3 2 2 3 3" xfId="13530" xr:uid="{7C0245F7-A9CA-4CAE-829D-93D53A553E6C}"/>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2 2 2" xfId="23709" xr:uid="{484FDD2A-CD13-45C1-A501-A34F4BC82A55}"/>
    <cellStyle name="Comma 4 3 3 2 3 2 2 3" xfId="16088" xr:uid="{576CDC78-B928-4B9F-B8C6-A2BD03D1F1CB}"/>
    <cellStyle name="Comma 4 3 3 2 3 2 3" xfId="19496" xr:uid="{EB912BB2-2CF2-4B10-9278-89DD214250BD}"/>
    <cellStyle name="Comma 4 3 3 2 3 2 4" xfId="11875" xr:uid="{4BFD47D1-E9A8-477A-8E03-83171ED7FD81}"/>
    <cellStyle name="Comma 4 3 3 2 3 3" xfId="5448" xr:uid="{00000000-0005-0000-0000-000077090000}"/>
    <cellStyle name="Comma 4 3 3 2 3 3 2" xfId="21564" xr:uid="{F63FA438-1219-4617-A5B3-B99F9224A737}"/>
    <cellStyle name="Comma 4 3 3 2 3 3 3" xfId="13943" xr:uid="{689D250F-2458-480B-8CAF-940ADE17C1E2}"/>
    <cellStyle name="Comma 4 3 3 2 3 4" xfId="17351" xr:uid="{7D7A3326-68A8-49CB-B6B0-3B90E5A2CC44}"/>
    <cellStyle name="Comma 4 3 3 2 3 5" xfId="9730" xr:uid="{53DA74AC-78B9-4F30-AB3A-DF3C18641D73}"/>
    <cellStyle name="Comma 4 3 3 2 4" xfId="1554" xr:uid="{00000000-0005-0000-0000-000078090000}"/>
    <cellStyle name="Comma 4 3 3 2 4 2" xfId="3784" xr:uid="{00000000-0005-0000-0000-000079090000}"/>
    <cellStyle name="Comma 4 3 3 2 4 2 2" xfId="8006" xr:uid="{00000000-0005-0000-0000-00007A090000}"/>
    <cellStyle name="Comma 4 3 3 2 4 2 2 2" xfId="24122" xr:uid="{D7FDF343-76CD-4FE8-969F-6F4CB0D0E0D7}"/>
    <cellStyle name="Comma 4 3 3 2 4 2 2 3" xfId="16501" xr:uid="{946527CB-7D85-4845-ADDD-F60F320E3F88}"/>
    <cellStyle name="Comma 4 3 3 2 4 2 3" xfId="19909" xr:uid="{D8CCFB6D-70E4-4B37-A836-A2162DAB1C32}"/>
    <cellStyle name="Comma 4 3 3 2 4 2 4" xfId="12288" xr:uid="{F9E8AC8E-6CD7-4C02-B86A-5B9B2F187041}"/>
    <cellStyle name="Comma 4 3 3 2 4 3" xfId="5861" xr:uid="{00000000-0005-0000-0000-00007B090000}"/>
    <cellStyle name="Comma 4 3 3 2 4 3 2" xfId="21977" xr:uid="{045379FC-ABBD-4089-962C-B0FF6F74880E}"/>
    <cellStyle name="Comma 4 3 3 2 4 3 3" xfId="14356" xr:uid="{E493C57F-51E3-4596-AAF5-0932A0F915D8}"/>
    <cellStyle name="Comma 4 3 3 2 4 4" xfId="17764" xr:uid="{7B213577-DBC8-41F9-AFCE-41326F1DEFDC}"/>
    <cellStyle name="Comma 4 3 3 2 4 5" xfId="10143" xr:uid="{7344EB09-BF82-4E32-8691-0D03577AFFD9}"/>
    <cellStyle name="Comma 4 3 3 2 5" xfId="1968" xr:uid="{00000000-0005-0000-0000-00007C090000}"/>
    <cellStyle name="Comma 4 3 3 2 5 2" xfId="4197" xr:uid="{00000000-0005-0000-0000-00007D090000}"/>
    <cellStyle name="Comma 4 3 3 2 5 2 2" xfId="8419" xr:uid="{00000000-0005-0000-0000-00007E090000}"/>
    <cellStyle name="Comma 4 3 3 2 5 2 2 2" xfId="24535" xr:uid="{0227C624-AE6F-4FBE-96EC-F8B155607725}"/>
    <cellStyle name="Comma 4 3 3 2 5 2 2 3" xfId="16914" xr:uid="{49299994-A088-4758-9FD5-1CF6373A41F2}"/>
    <cellStyle name="Comma 4 3 3 2 5 2 3" xfId="20322" xr:uid="{65BA9ACA-D01F-4B07-9625-9C221BC13A93}"/>
    <cellStyle name="Comma 4 3 3 2 5 2 4" xfId="12701" xr:uid="{9A43B7E6-2EA9-4269-BA70-31F797608EE8}"/>
    <cellStyle name="Comma 4 3 3 2 5 3" xfId="6274" xr:uid="{00000000-0005-0000-0000-00007F090000}"/>
    <cellStyle name="Comma 4 3 3 2 5 3 2" xfId="22390" xr:uid="{0F1D4B8B-393C-4663-9B59-E19ABC0CBE67}"/>
    <cellStyle name="Comma 4 3 3 2 5 3 3" xfId="14769" xr:uid="{950C9A80-75B1-4AC8-A767-55E8C19F293F}"/>
    <cellStyle name="Comma 4 3 3 2 5 4" xfId="18177" xr:uid="{31758812-A896-41A6-9BA9-070E033713E7}"/>
    <cellStyle name="Comma 4 3 3 2 5 5" xfId="10556" xr:uid="{162DEDBE-AC7F-4E29-AA18-C68588D4A0ED}"/>
    <cellStyle name="Comma 4 3 3 2 6" xfId="2403" xr:uid="{00000000-0005-0000-0000-000080090000}"/>
    <cellStyle name="Comma 4 3 3 2 6 2" xfId="6687" xr:uid="{00000000-0005-0000-0000-000081090000}"/>
    <cellStyle name="Comma 4 3 3 2 6 2 2" xfId="22803" xr:uid="{4291AE89-9998-4390-ADBA-972FB7629358}"/>
    <cellStyle name="Comma 4 3 3 2 6 2 3" xfId="15182" xr:uid="{117C364A-3580-4BBD-8FA5-DBB7DD7A9BBD}"/>
    <cellStyle name="Comma 4 3 3 2 6 3" xfId="18590" xr:uid="{D68D6A0D-F98E-4988-A7A1-F1FA34DBEFB4}"/>
    <cellStyle name="Comma 4 3 3 2 6 4" xfId="10969" xr:uid="{E1CE46A6-6470-49BD-8D03-B63F60DB7B12}"/>
    <cellStyle name="Comma 4 3 3 2 7" xfId="2360" xr:uid="{00000000-0005-0000-0000-000082090000}"/>
    <cellStyle name="Comma 4 3 3 2 8" xfId="2781" xr:uid="{00000000-0005-0000-0000-000083090000}"/>
    <cellStyle name="Comma 4 3 3 2 8 2" xfId="7004" xr:uid="{00000000-0005-0000-0000-000084090000}"/>
    <cellStyle name="Comma 4 3 3 2 8 2 2" xfId="23120" xr:uid="{9BE35E50-F53E-436C-B592-E1D5C55F0963}"/>
    <cellStyle name="Comma 4 3 3 2 8 2 3" xfId="15499" xr:uid="{CCB19AF6-DC04-426D-806D-CD38340DBE11}"/>
    <cellStyle name="Comma 4 3 3 2 8 3" xfId="18907" xr:uid="{ECAECF80-2F9A-4807-96E3-9C47946D5A3D}"/>
    <cellStyle name="Comma 4 3 3 2 8 4" xfId="11286" xr:uid="{D29829A1-B9B3-4A61-9855-B1F2A9E2F42B}"/>
    <cellStyle name="Comma 4 3 3 2 9" xfId="4621" xr:uid="{00000000-0005-0000-0000-000085090000}"/>
    <cellStyle name="Comma 4 3 3 2 9 2" xfId="20738" xr:uid="{F14F9748-C408-4BE1-906E-A96F73E73681}"/>
    <cellStyle name="Comma 4 3 3 2 9 3" xfId="13117" xr:uid="{C5A3441B-B9CC-4A16-891B-898DE81CBB5D}"/>
    <cellStyle name="Comma 4 3 3 3" xfId="686" xr:uid="{00000000-0005-0000-0000-000086090000}"/>
    <cellStyle name="Comma 4 3 3 3 2" xfId="2957" xr:uid="{00000000-0005-0000-0000-000087090000}"/>
    <cellStyle name="Comma 4 3 3 3 2 2" xfId="7179" xr:uid="{00000000-0005-0000-0000-000088090000}"/>
    <cellStyle name="Comma 4 3 3 3 2 2 2" xfId="23295" xr:uid="{5B5DABF0-01B5-45AB-8ED2-9141055A4A0B}"/>
    <cellStyle name="Comma 4 3 3 3 2 2 3" xfId="15674" xr:uid="{AA95871D-9BC0-48A6-91F2-6FC6CDE60D98}"/>
    <cellStyle name="Comma 4 3 3 3 2 3" xfId="19082" xr:uid="{E6C381F9-EF15-4A77-BED8-E5FE570C397D}"/>
    <cellStyle name="Comma 4 3 3 3 2 4" xfId="11461" xr:uid="{C4B65B80-89B3-4176-83EC-C6C9696E6B6C}"/>
    <cellStyle name="Comma 4 3 3 3 3" xfId="5034" xr:uid="{00000000-0005-0000-0000-000089090000}"/>
    <cellStyle name="Comma 4 3 3 3 3 2" xfId="21150" xr:uid="{E406EACC-F675-4AF2-9C8B-77BB48FBFFDD}"/>
    <cellStyle name="Comma 4 3 3 3 3 3" xfId="13529" xr:uid="{195D4BDC-DCA6-44FF-88EB-0B289CF79D97}"/>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2 2 2" xfId="23708" xr:uid="{320D74F8-5327-4AE9-BE7A-ACF2B5920046}"/>
    <cellStyle name="Comma 4 3 3 4 2 2 3" xfId="16087" xr:uid="{94AC3B17-84BE-467F-A08D-1B6943EA346C}"/>
    <cellStyle name="Comma 4 3 3 4 2 3" xfId="19495" xr:uid="{5375EF21-6BD1-4574-9856-D5ADCF5E1017}"/>
    <cellStyle name="Comma 4 3 3 4 2 4" xfId="11874" xr:uid="{C81EDAF9-ED17-4242-92BE-8315873B32C5}"/>
    <cellStyle name="Comma 4 3 3 4 3" xfId="5447" xr:uid="{00000000-0005-0000-0000-00008D090000}"/>
    <cellStyle name="Comma 4 3 3 4 3 2" xfId="21563" xr:uid="{3A5CE2D9-D265-4E58-B2A8-020B2795152C}"/>
    <cellStyle name="Comma 4 3 3 4 3 3" xfId="13942" xr:uid="{6DBE6956-0C62-4B79-8528-434387AA3C8E}"/>
    <cellStyle name="Comma 4 3 3 4 4" xfId="17350" xr:uid="{6E3A02A1-D482-4980-B780-BFD6BECAB226}"/>
    <cellStyle name="Comma 4 3 3 4 5" xfId="9729" xr:uid="{6EAFBFAF-F641-4222-97F4-53684B879BF0}"/>
    <cellStyle name="Comma 4 3 3 5" xfId="1553" xr:uid="{00000000-0005-0000-0000-00008E090000}"/>
    <cellStyle name="Comma 4 3 3 5 2" xfId="3783" xr:uid="{00000000-0005-0000-0000-00008F090000}"/>
    <cellStyle name="Comma 4 3 3 5 2 2" xfId="8005" xr:uid="{00000000-0005-0000-0000-000090090000}"/>
    <cellStyle name="Comma 4 3 3 5 2 2 2" xfId="24121" xr:uid="{C7267B64-9697-4A67-A597-4891C04DF773}"/>
    <cellStyle name="Comma 4 3 3 5 2 2 3" xfId="16500" xr:uid="{28540CDC-95B1-4F99-B94E-BBD26162746F}"/>
    <cellStyle name="Comma 4 3 3 5 2 3" xfId="19908" xr:uid="{675B331B-2520-4FB3-9B85-9F72FD5BBB30}"/>
    <cellStyle name="Comma 4 3 3 5 2 4" xfId="12287" xr:uid="{B1AA5B32-3EC2-4FAB-989B-08FE44E73F2B}"/>
    <cellStyle name="Comma 4 3 3 5 3" xfId="5860" xr:uid="{00000000-0005-0000-0000-000091090000}"/>
    <cellStyle name="Comma 4 3 3 5 3 2" xfId="21976" xr:uid="{10347FAF-EC4E-404A-A576-BEA95A1A3C63}"/>
    <cellStyle name="Comma 4 3 3 5 3 3" xfId="14355" xr:uid="{B99F667E-0970-46A3-BF5B-7764EB197D54}"/>
    <cellStyle name="Comma 4 3 3 5 4" xfId="17763" xr:uid="{67DEDA5B-EAAD-4D75-8377-139DAE64220E}"/>
    <cellStyle name="Comma 4 3 3 5 5" xfId="10142" xr:uid="{7BEFB553-AB43-4E2E-A89C-30EAB67EF457}"/>
    <cellStyle name="Comma 4 3 3 6" xfId="1967" xr:uid="{00000000-0005-0000-0000-000092090000}"/>
    <cellStyle name="Comma 4 3 3 6 2" xfId="4196" xr:uid="{00000000-0005-0000-0000-000093090000}"/>
    <cellStyle name="Comma 4 3 3 6 2 2" xfId="8418" xr:uid="{00000000-0005-0000-0000-000094090000}"/>
    <cellStyle name="Comma 4 3 3 6 2 2 2" xfId="24534" xr:uid="{A98EC138-6E33-4BEF-BA70-A53B25D1E9C6}"/>
    <cellStyle name="Comma 4 3 3 6 2 2 3" xfId="16913" xr:uid="{43EC6AC2-167F-4C01-980E-BEF46EE1FAF2}"/>
    <cellStyle name="Comma 4 3 3 6 2 3" xfId="20321" xr:uid="{DF47AE65-6FBC-4F29-B11E-3F1570F94C74}"/>
    <cellStyle name="Comma 4 3 3 6 2 4" xfId="12700" xr:uid="{4D70FF8D-25E8-49A6-A16F-D0EA54A6B297}"/>
    <cellStyle name="Comma 4 3 3 6 3" xfId="6273" xr:uid="{00000000-0005-0000-0000-000095090000}"/>
    <cellStyle name="Comma 4 3 3 6 3 2" xfId="22389" xr:uid="{54C621A3-7571-4EE9-9C8D-B8A447E5A556}"/>
    <cellStyle name="Comma 4 3 3 6 3 3" xfId="14768" xr:uid="{B7FD6F8F-23CC-4CD4-A44F-790C6C127A36}"/>
    <cellStyle name="Comma 4 3 3 6 4" xfId="18176" xr:uid="{2B8B33CA-9357-4FBB-ACD9-CD22A9992EE6}"/>
    <cellStyle name="Comma 4 3 3 6 5" xfId="10555" xr:uid="{79915536-2944-4F6B-94B6-84B79876142E}"/>
    <cellStyle name="Comma 4 3 3 7" xfId="2402" xr:uid="{00000000-0005-0000-0000-000096090000}"/>
    <cellStyle name="Comma 4 3 3 7 2" xfId="6686" xr:uid="{00000000-0005-0000-0000-000097090000}"/>
    <cellStyle name="Comma 4 3 3 7 2 2" xfId="22802" xr:uid="{A6426F4F-B308-41E6-9AA4-79F07BDA1533}"/>
    <cellStyle name="Comma 4 3 3 7 2 3" xfId="15181" xr:uid="{9C2A9D14-A896-4CE5-99C2-3FB7CCC5C1DA}"/>
    <cellStyle name="Comma 4 3 3 7 3" xfId="18589" xr:uid="{1D8A5C7B-0E9C-49C4-8A20-5A2EAD59586C}"/>
    <cellStyle name="Comma 4 3 3 7 4" xfId="10968" xr:uid="{E23732C0-8BAD-4D2B-BB22-D7815D208660}"/>
    <cellStyle name="Comma 4 3 3 8" xfId="2361" xr:uid="{00000000-0005-0000-0000-000098090000}"/>
    <cellStyle name="Comma 4 3 3 9" xfId="2780" xr:uid="{00000000-0005-0000-0000-000099090000}"/>
    <cellStyle name="Comma 4 3 3 9 2" xfId="7003" xr:uid="{00000000-0005-0000-0000-00009A090000}"/>
    <cellStyle name="Comma 4 3 3 9 2 2" xfId="23119" xr:uid="{4AD63900-2238-4DD9-B539-09F5F1DB1533}"/>
    <cellStyle name="Comma 4 3 3 9 2 3" xfId="15498" xr:uid="{61187A8A-2575-434E-9A57-44C92159574C}"/>
    <cellStyle name="Comma 4 3 3 9 3" xfId="18906" xr:uid="{1359CC4C-65FD-4AC0-9B5C-72B3481659C9}"/>
    <cellStyle name="Comma 4 3 3 9 4" xfId="11285" xr:uid="{5445CD58-1048-4961-B38A-D88B0EFEFE3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2 2 2" xfId="23297" xr:uid="{11727B54-790C-465A-AA62-B07779512D94}"/>
    <cellStyle name="Comma 4 3 4 2 2 2 3" xfId="15676" xr:uid="{AEAA57A5-C86A-4CA1-9608-655A1FA15225}"/>
    <cellStyle name="Comma 4 3 4 2 2 3" xfId="19084" xr:uid="{CCDFF14A-A427-4477-AFE8-4CC90693048E}"/>
    <cellStyle name="Comma 4 3 4 2 2 4" xfId="11463" xr:uid="{8C4ED27B-56C8-487E-92FE-10F495822842}"/>
    <cellStyle name="Comma 4 3 4 2 3" xfId="5036" xr:uid="{00000000-0005-0000-0000-00009F090000}"/>
    <cellStyle name="Comma 4 3 4 2 3 2" xfId="21152" xr:uid="{A7959EB6-A1A1-4B10-9E85-511458AA3D71}"/>
    <cellStyle name="Comma 4 3 4 2 3 3" xfId="13531" xr:uid="{F579E7B3-79EB-4883-A371-C7A38FF3D0E9}"/>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2 2 2" xfId="23710" xr:uid="{99C4E602-69A8-4D4E-A4AE-4439282C8A0D}"/>
    <cellStyle name="Comma 4 3 4 3 2 2 3" xfId="16089" xr:uid="{A5C75E09-CCA0-4800-BB66-1E8768699609}"/>
    <cellStyle name="Comma 4 3 4 3 2 3" xfId="19497" xr:uid="{174FA15B-E787-451F-9568-91B7CDD5357D}"/>
    <cellStyle name="Comma 4 3 4 3 2 4" xfId="11876" xr:uid="{924AEB68-E6DD-4CA8-8297-4317237BD957}"/>
    <cellStyle name="Comma 4 3 4 3 3" xfId="5449" xr:uid="{00000000-0005-0000-0000-0000A3090000}"/>
    <cellStyle name="Comma 4 3 4 3 3 2" xfId="21565" xr:uid="{2E115389-8228-4BA3-84F9-024F3B822614}"/>
    <cellStyle name="Comma 4 3 4 3 3 3" xfId="13944" xr:uid="{FAB36658-806C-499A-8FC1-C74A90D38F94}"/>
    <cellStyle name="Comma 4 3 4 3 4" xfId="17352" xr:uid="{73E36AC6-C0CC-4992-AB6C-DD22F2DB6CF5}"/>
    <cellStyle name="Comma 4 3 4 3 5" xfId="9731" xr:uid="{F0681065-ADAF-44A6-9B8A-AE9F8492855A}"/>
    <cellStyle name="Comma 4 3 4 4" xfId="1555" xr:uid="{00000000-0005-0000-0000-0000A4090000}"/>
    <cellStyle name="Comma 4 3 4 4 2" xfId="3785" xr:uid="{00000000-0005-0000-0000-0000A5090000}"/>
    <cellStyle name="Comma 4 3 4 4 2 2" xfId="8007" xr:uid="{00000000-0005-0000-0000-0000A6090000}"/>
    <cellStyle name="Comma 4 3 4 4 2 2 2" xfId="24123" xr:uid="{DA50CC3C-1680-4CD7-B22C-96499E48E6FA}"/>
    <cellStyle name="Comma 4 3 4 4 2 2 3" xfId="16502" xr:uid="{DD8EBDBF-0169-4FBB-B582-88B810FD57D3}"/>
    <cellStyle name="Comma 4 3 4 4 2 3" xfId="19910" xr:uid="{2CEEB62D-34E8-4C34-AEE2-673B6822A6D6}"/>
    <cellStyle name="Comma 4 3 4 4 2 4" xfId="12289" xr:uid="{E00F1A85-8C56-4A43-B057-0733AE906E28}"/>
    <cellStyle name="Comma 4 3 4 4 3" xfId="5862" xr:uid="{00000000-0005-0000-0000-0000A7090000}"/>
    <cellStyle name="Comma 4 3 4 4 3 2" xfId="21978" xr:uid="{5BE8FE44-3F94-4324-9776-5410B2CDAD79}"/>
    <cellStyle name="Comma 4 3 4 4 3 3" xfId="14357" xr:uid="{CE2287BA-7488-4D06-A3D4-6EDBCE6FECF4}"/>
    <cellStyle name="Comma 4 3 4 4 4" xfId="17765" xr:uid="{19D81056-43EB-427A-BA89-E67A33D5EB13}"/>
    <cellStyle name="Comma 4 3 4 4 5" xfId="10144" xr:uid="{42263BD7-558E-47D2-9707-A68F56EC3739}"/>
    <cellStyle name="Comma 4 3 4 5" xfId="1969" xr:uid="{00000000-0005-0000-0000-0000A8090000}"/>
    <cellStyle name="Comma 4 3 4 5 2" xfId="4198" xr:uid="{00000000-0005-0000-0000-0000A9090000}"/>
    <cellStyle name="Comma 4 3 4 5 2 2" xfId="8420" xr:uid="{00000000-0005-0000-0000-0000AA090000}"/>
    <cellStyle name="Comma 4 3 4 5 2 2 2" xfId="24536" xr:uid="{16BD06DA-D9DF-4521-8B4D-F6EC341A7C73}"/>
    <cellStyle name="Comma 4 3 4 5 2 2 3" xfId="16915" xr:uid="{A2588C18-7A36-4517-9047-6797BD4B125A}"/>
    <cellStyle name="Comma 4 3 4 5 2 3" xfId="20323" xr:uid="{0F476A95-AEB0-4FEE-ABFF-16A6D8FEBDEE}"/>
    <cellStyle name="Comma 4 3 4 5 2 4" xfId="12702" xr:uid="{6EFEDC91-56BB-4B5E-9425-5D324B084568}"/>
    <cellStyle name="Comma 4 3 4 5 3" xfId="6275" xr:uid="{00000000-0005-0000-0000-0000AB090000}"/>
    <cellStyle name="Comma 4 3 4 5 3 2" xfId="22391" xr:uid="{875D0220-C738-480F-A61D-86C29F511268}"/>
    <cellStyle name="Comma 4 3 4 5 3 3" xfId="14770" xr:uid="{7B56C306-B742-4267-AACA-0834538B41DC}"/>
    <cellStyle name="Comma 4 3 4 5 4" xfId="18178" xr:uid="{FFB9BD2C-55DF-496A-8C77-AB4E91A7A088}"/>
    <cellStyle name="Comma 4 3 4 5 5" xfId="10557" xr:uid="{F473D280-C87F-48D2-85D6-7BB9F2120D8B}"/>
    <cellStyle name="Comma 4 3 4 6" xfId="2404" xr:uid="{00000000-0005-0000-0000-0000AC090000}"/>
    <cellStyle name="Comma 4 3 4 6 2" xfId="6688" xr:uid="{00000000-0005-0000-0000-0000AD090000}"/>
    <cellStyle name="Comma 4 3 4 6 2 2" xfId="22804" xr:uid="{8F40C40D-F272-493D-8C8F-D9301939CED7}"/>
    <cellStyle name="Comma 4 3 4 6 2 3" xfId="15183" xr:uid="{F65729D3-B11E-4A82-A2EA-442CE9F4ED4B}"/>
    <cellStyle name="Comma 4 3 4 6 3" xfId="18591" xr:uid="{D2D6D963-97D8-4810-9BE0-8DEE23E1BA21}"/>
    <cellStyle name="Comma 4 3 4 6 4" xfId="10970" xr:uid="{E8D61DF0-9726-4039-A922-C162047F1112}"/>
    <cellStyle name="Comma 4 3 4 7" xfId="2700" xr:uid="{00000000-0005-0000-0000-0000AE090000}"/>
    <cellStyle name="Comma 4 3 4 8" xfId="2782" xr:uid="{00000000-0005-0000-0000-0000AF090000}"/>
    <cellStyle name="Comma 4 3 4 8 2" xfId="7005" xr:uid="{00000000-0005-0000-0000-0000B0090000}"/>
    <cellStyle name="Comma 4 3 4 8 2 2" xfId="23121" xr:uid="{FFD48CF1-FE50-4EFE-BF7A-7FAC3F5BD2AB}"/>
    <cellStyle name="Comma 4 3 4 8 2 3" xfId="15500" xr:uid="{90D6B345-361D-4096-84C9-87BDF49DEE00}"/>
    <cellStyle name="Comma 4 3 4 8 3" xfId="18908" xr:uid="{68FF3675-6AB3-483F-92A3-4302F8CEF963}"/>
    <cellStyle name="Comma 4 3 4 8 4" xfId="11287" xr:uid="{9FCD3859-104D-4C73-9C5F-BF772D380EE5}"/>
    <cellStyle name="Comma 4 3 4 9" xfId="4622" xr:uid="{00000000-0005-0000-0000-0000B1090000}"/>
    <cellStyle name="Comma 4 3 4 9 2" xfId="20739" xr:uid="{ED56AAEB-448E-4F94-A2BB-07677144BDA4}"/>
    <cellStyle name="Comma 4 3 4 9 3" xfId="13118" xr:uid="{FACADA0C-8363-4F8E-A670-2CEBC98C3779}"/>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2 2 2" xfId="23298" xr:uid="{72098836-F4BD-4C0B-8AD6-A371F7EF39AA}"/>
    <cellStyle name="Comma 4 3 5 2 2 2 3" xfId="15677" xr:uid="{4B0F0937-ECAF-4D8B-A98B-F89F43A089CF}"/>
    <cellStyle name="Comma 4 3 5 2 2 3" xfId="19085" xr:uid="{B8468BB4-E3D9-4BFC-ADB5-FA40EF699E0F}"/>
    <cellStyle name="Comma 4 3 5 2 2 4" xfId="11464" xr:uid="{C00AEBC6-473E-4FDD-9BE4-8FB6DBF609E9}"/>
    <cellStyle name="Comma 4 3 5 2 3" xfId="5037" xr:uid="{00000000-0005-0000-0000-0000B6090000}"/>
    <cellStyle name="Comma 4 3 5 2 3 2" xfId="21153" xr:uid="{AA047239-C119-450C-AAE6-9B2F5C65D97A}"/>
    <cellStyle name="Comma 4 3 5 2 3 3" xfId="13532" xr:uid="{96070484-59F1-4891-90AC-59CF751E747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2 2 2" xfId="23711" xr:uid="{488319DF-D222-4E5E-B95A-C490759C2B08}"/>
    <cellStyle name="Comma 4 3 5 3 2 2 3" xfId="16090" xr:uid="{C6C63033-ED6D-4ED4-82FA-055B9A4FA533}"/>
    <cellStyle name="Comma 4 3 5 3 2 3" xfId="19498" xr:uid="{02661D45-B1BA-482F-8A0F-138459CC6739}"/>
    <cellStyle name="Comma 4 3 5 3 2 4" xfId="11877" xr:uid="{6C41301F-D798-4167-BB22-2D540FFD541D}"/>
    <cellStyle name="Comma 4 3 5 3 3" xfId="5450" xr:uid="{00000000-0005-0000-0000-0000BA090000}"/>
    <cellStyle name="Comma 4 3 5 3 3 2" xfId="21566" xr:uid="{EEDBEB0E-02BD-4934-A9E2-D4437F86A3FE}"/>
    <cellStyle name="Comma 4 3 5 3 3 3" xfId="13945" xr:uid="{955182E7-1028-48F1-85A0-E77AE0647A14}"/>
    <cellStyle name="Comma 4 3 5 3 4" xfId="17353" xr:uid="{C7A5A70F-C47E-4762-8D1E-606D07958435}"/>
    <cellStyle name="Comma 4 3 5 3 5" xfId="9732" xr:uid="{E945BE7B-1B12-45DB-BD9C-34D9064E5B53}"/>
    <cellStyle name="Comma 4 3 5 4" xfId="1556" xr:uid="{00000000-0005-0000-0000-0000BB090000}"/>
    <cellStyle name="Comma 4 3 5 4 2" xfId="3786" xr:uid="{00000000-0005-0000-0000-0000BC090000}"/>
    <cellStyle name="Comma 4 3 5 4 2 2" xfId="8008" xr:uid="{00000000-0005-0000-0000-0000BD090000}"/>
    <cellStyle name="Comma 4 3 5 4 2 2 2" xfId="24124" xr:uid="{56F5AB47-0597-4DF9-8D9A-3593993F00FA}"/>
    <cellStyle name="Comma 4 3 5 4 2 2 3" xfId="16503" xr:uid="{D76EEE35-9A90-4A12-B3F8-63699398725C}"/>
    <cellStyle name="Comma 4 3 5 4 2 3" xfId="19911" xr:uid="{FCE12407-4E04-44F7-AF37-E5CE5B41B4D1}"/>
    <cellStyle name="Comma 4 3 5 4 2 4" xfId="12290" xr:uid="{829B6DCD-AB34-4E15-B8F2-C175F47EBBB9}"/>
    <cellStyle name="Comma 4 3 5 4 3" xfId="5863" xr:uid="{00000000-0005-0000-0000-0000BE090000}"/>
    <cellStyle name="Comma 4 3 5 4 3 2" xfId="21979" xr:uid="{3FE774AD-6DC4-4873-BE89-CAA92FA07F46}"/>
    <cellStyle name="Comma 4 3 5 4 3 3" xfId="14358" xr:uid="{9441A0E9-4650-4561-9BB5-13A1152EA934}"/>
    <cellStyle name="Comma 4 3 5 4 4" xfId="17766" xr:uid="{6F138AF8-1606-4CD7-9A6F-CCFCA34F4F31}"/>
    <cellStyle name="Comma 4 3 5 4 5" xfId="10145" xr:uid="{B8F649D3-57C0-41E5-8047-75282DEFB0FE}"/>
    <cellStyle name="Comma 4 3 5 5" xfId="1970" xr:uid="{00000000-0005-0000-0000-0000BF090000}"/>
    <cellStyle name="Comma 4 3 5 5 2" xfId="4199" xr:uid="{00000000-0005-0000-0000-0000C0090000}"/>
    <cellStyle name="Comma 4 3 5 5 2 2" xfId="8421" xr:uid="{00000000-0005-0000-0000-0000C1090000}"/>
    <cellStyle name="Comma 4 3 5 5 2 2 2" xfId="24537" xr:uid="{FA11E033-4FF9-4449-A75A-89773EBE7602}"/>
    <cellStyle name="Comma 4 3 5 5 2 2 3" xfId="16916" xr:uid="{250578EE-16A3-46C1-831F-44E0676E4A89}"/>
    <cellStyle name="Comma 4 3 5 5 2 3" xfId="20324" xr:uid="{0778D750-B3F7-477C-BE5A-B06AA975D971}"/>
    <cellStyle name="Comma 4 3 5 5 2 4" xfId="12703" xr:uid="{99A88633-7A3F-46F8-8B50-897147B19F5A}"/>
    <cellStyle name="Comma 4 3 5 5 3" xfId="6276" xr:uid="{00000000-0005-0000-0000-0000C2090000}"/>
    <cellStyle name="Comma 4 3 5 5 3 2" xfId="22392" xr:uid="{6C4129B3-6DE4-4BEE-B7BA-7580250B606E}"/>
    <cellStyle name="Comma 4 3 5 5 3 3" xfId="14771" xr:uid="{2DAFD7C5-FE05-4E6B-9517-DE1F76A8FE27}"/>
    <cellStyle name="Comma 4 3 5 5 4" xfId="18179" xr:uid="{11CEC2B1-8C85-4E1E-B00C-BB2552297585}"/>
    <cellStyle name="Comma 4 3 5 5 5" xfId="10558" xr:uid="{26B9E804-C40F-4629-A1BE-496BDCBE18D3}"/>
    <cellStyle name="Comma 4 3 5 6" xfId="2405" xr:uid="{00000000-0005-0000-0000-0000C3090000}"/>
    <cellStyle name="Comma 4 3 5 6 2" xfId="6689" xr:uid="{00000000-0005-0000-0000-0000C4090000}"/>
    <cellStyle name="Comma 4 3 5 6 2 2" xfId="22805" xr:uid="{5F8B7A22-DAED-4340-9277-A118D4E9C00D}"/>
    <cellStyle name="Comma 4 3 5 6 2 3" xfId="15184" xr:uid="{99461AB8-711D-408B-AF6D-62CD3C8F57B9}"/>
    <cellStyle name="Comma 4 3 5 6 3" xfId="18592" xr:uid="{CC0E2A91-42BB-480F-9DDA-460DBD92BE11}"/>
    <cellStyle name="Comma 4 3 5 6 4" xfId="10971" xr:uid="{A4F0848D-193B-4991-94AE-3FA4DD4B3CE9}"/>
    <cellStyle name="Comma 4 3 5 7" xfId="2701" xr:uid="{00000000-0005-0000-0000-0000C5090000}"/>
    <cellStyle name="Comma 4 3 5 8" xfId="2783" xr:uid="{00000000-0005-0000-0000-0000C6090000}"/>
    <cellStyle name="Comma 4 3 5 8 2" xfId="7006" xr:uid="{00000000-0005-0000-0000-0000C7090000}"/>
    <cellStyle name="Comma 4 3 5 8 2 2" xfId="23122" xr:uid="{D6FBEC04-14F1-4519-BE4E-5728F128B3C3}"/>
    <cellStyle name="Comma 4 3 5 8 2 3" xfId="15501" xr:uid="{D4CB52BA-877D-4280-AD32-AC017B5719E7}"/>
    <cellStyle name="Comma 4 3 5 8 3" xfId="18909" xr:uid="{F14F7F77-CB36-479C-8F57-23749B6C6760}"/>
    <cellStyle name="Comma 4 3 5 8 4" xfId="11288" xr:uid="{C609D086-55DF-462C-8A5B-7F2DEE731A9F}"/>
    <cellStyle name="Comma 4 3 5 9" xfId="4623" xr:uid="{00000000-0005-0000-0000-0000C8090000}"/>
    <cellStyle name="Comma 4 3 5 9 2" xfId="20740" xr:uid="{C7521DEA-515C-4064-9E66-FA46160647D0}"/>
    <cellStyle name="Comma 4 3 5 9 3" xfId="13119" xr:uid="{9BE4EA89-29F0-46DB-9C7C-38CB4DB55A3C}"/>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0 2 2" xfId="23123" xr:uid="{22C8C431-9527-428B-89E0-8D5CECA7D356}"/>
    <cellStyle name="Comma 4 4 10 2 3" xfId="15502" xr:uid="{99457C82-83F8-4CCF-BD74-F31E33BBB518}"/>
    <cellStyle name="Comma 4 4 10 3" xfId="18910" xr:uid="{1D87D8D1-E8C6-4ABF-8B85-E944A3617451}"/>
    <cellStyle name="Comma 4 4 10 4" xfId="11289" xr:uid="{32391E8E-D1CB-4612-8726-542629C68FBA}"/>
    <cellStyle name="Comma 4 4 11" xfId="4624" xr:uid="{00000000-0005-0000-0000-0000CC090000}"/>
    <cellStyle name="Comma 4 4 11 2" xfId="20741" xr:uid="{DEF54B85-7621-4645-ACD5-12D5406A0EE8}"/>
    <cellStyle name="Comma 4 4 11 3" xfId="13120" xr:uid="{DE2E310F-9BF6-4BC5-B0E9-25D5C09AE1BB}"/>
    <cellStyle name="Comma 4 4 12" xfId="8804" xr:uid="{A2BB6322-7771-45CD-845C-77E2FE03AC7A}"/>
    <cellStyle name="Comma 4 4 2" xfId="154" xr:uid="{00000000-0005-0000-0000-0000CD090000}"/>
    <cellStyle name="Comma 4 4 2 10" xfId="4625" xr:uid="{00000000-0005-0000-0000-0000CE090000}"/>
    <cellStyle name="Comma 4 4 2 10 2" xfId="20742" xr:uid="{C148D8B8-42F4-4DA4-8145-4C33D0B9C2E1}"/>
    <cellStyle name="Comma 4 4 2 10 3" xfId="13121" xr:uid="{C66CE7A5-E34E-4EF8-AC07-5B30AC76B26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2 2 2" xfId="23301" xr:uid="{9D00C583-35BD-4265-8D91-1B122B8AFFF5}"/>
    <cellStyle name="Comma 4 4 2 2 2 2 2 3" xfId="15680" xr:uid="{B34F34F6-9A81-4F8F-A91F-596B2CAEFB0C}"/>
    <cellStyle name="Comma 4 4 2 2 2 2 3" xfId="19088" xr:uid="{AEF1CB7E-6DD9-4A4A-876A-60CAC8A01510}"/>
    <cellStyle name="Comma 4 4 2 2 2 2 4" xfId="11467" xr:uid="{6665669E-7857-4CCE-BA7C-371FE225B2F6}"/>
    <cellStyle name="Comma 4 4 2 2 2 3" xfId="5040" xr:uid="{00000000-0005-0000-0000-0000D3090000}"/>
    <cellStyle name="Comma 4 4 2 2 2 3 2" xfId="21156" xr:uid="{EF5DB0E1-026E-4F60-B2BF-E263840F0DDE}"/>
    <cellStyle name="Comma 4 4 2 2 2 3 3" xfId="13535" xr:uid="{E7A4D5E4-5258-41EC-9E65-8C25D53B49B4}"/>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2 2 2" xfId="23714" xr:uid="{79008F02-306E-4A9E-AD4F-CED2750544E3}"/>
    <cellStyle name="Comma 4 4 2 2 3 2 2 3" xfId="16093" xr:uid="{1CD09673-7610-46F1-A87C-668DC997E571}"/>
    <cellStyle name="Comma 4 4 2 2 3 2 3" xfId="19501" xr:uid="{76B0EABF-137C-423C-9F4E-88E91E8E1EE2}"/>
    <cellStyle name="Comma 4 4 2 2 3 2 4" xfId="11880" xr:uid="{8E1BB107-9B3E-4BA8-8D44-876B2C9315BC}"/>
    <cellStyle name="Comma 4 4 2 2 3 3" xfId="5453" xr:uid="{00000000-0005-0000-0000-0000D7090000}"/>
    <cellStyle name="Comma 4 4 2 2 3 3 2" xfId="21569" xr:uid="{1AF2EE12-5405-45C4-BDB4-74D841CE49C4}"/>
    <cellStyle name="Comma 4 4 2 2 3 3 3" xfId="13948" xr:uid="{F60EA1EC-4CBE-4714-8ACB-AE5CCE99A821}"/>
    <cellStyle name="Comma 4 4 2 2 3 4" xfId="17356" xr:uid="{E56B5FD8-D60F-43B5-B99A-37BC519597C4}"/>
    <cellStyle name="Comma 4 4 2 2 3 5" xfId="9735" xr:uid="{4011C5C1-CA72-4271-B1E6-DB70ACBF71FB}"/>
    <cellStyle name="Comma 4 4 2 2 4" xfId="1559" xr:uid="{00000000-0005-0000-0000-0000D8090000}"/>
    <cellStyle name="Comma 4 4 2 2 4 2" xfId="3789" xr:uid="{00000000-0005-0000-0000-0000D9090000}"/>
    <cellStyle name="Comma 4 4 2 2 4 2 2" xfId="8011" xr:uid="{00000000-0005-0000-0000-0000DA090000}"/>
    <cellStyle name="Comma 4 4 2 2 4 2 2 2" xfId="24127" xr:uid="{D1001AB9-F824-4F30-A631-E259CDD6E31F}"/>
    <cellStyle name="Comma 4 4 2 2 4 2 2 3" xfId="16506" xr:uid="{AFE6F35F-6946-4428-91F2-EAD0B4EF96CC}"/>
    <cellStyle name="Comma 4 4 2 2 4 2 3" xfId="19914" xr:uid="{12901C8E-0B66-46EE-BF43-F8AE8F0F52FC}"/>
    <cellStyle name="Comma 4 4 2 2 4 2 4" xfId="12293" xr:uid="{AA41C45D-FA91-411A-9DBF-BEDCF7007A7C}"/>
    <cellStyle name="Comma 4 4 2 2 4 3" xfId="5866" xr:uid="{00000000-0005-0000-0000-0000DB090000}"/>
    <cellStyle name="Comma 4 4 2 2 4 3 2" xfId="21982" xr:uid="{B2DEC542-40DD-4F51-A962-0D6AA10C3B9D}"/>
    <cellStyle name="Comma 4 4 2 2 4 3 3" xfId="14361" xr:uid="{DA9FB7B7-AA96-4E84-85AB-652C7E068813}"/>
    <cellStyle name="Comma 4 4 2 2 4 4" xfId="17769" xr:uid="{EC915C61-E0D5-4D5B-97B8-B39F6188B575}"/>
    <cellStyle name="Comma 4 4 2 2 4 5" xfId="10148" xr:uid="{7D553382-2042-44AF-9E47-94AEE09111D5}"/>
    <cellStyle name="Comma 4 4 2 2 5" xfId="1973" xr:uid="{00000000-0005-0000-0000-0000DC090000}"/>
    <cellStyle name="Comma 4 4 2 2 5 2" xfId="4202" xr:uid="{00000000-0005-0000-0000-0000DD090000}"/>
    <cellStyle name="Comma 4 4 2 2 5 2 2" xfId="8424" xr:uid="{00000000-0005-0000-0000-0000DE090000}"/>
    <cellStyle name="Comma 4 4 2 2 5 2 2 2" xfId="24540" xr:uid="{9918DB0F-2944-4733-AEF4-A9128F54F104}"/>
    <cellStyle name="Comma 4 4 2 2 5 2 2 3" xfId="16919" xr:uid="{9DEED93F-4700-4546-A49A-9671E2F6FACB}"/>
    <cellStyle name="Comma 4 4 2 2 5 2 3" xfId="20327" xr:uid="{4B738DB5-2A4A-4879-8DB8-295E826E0736}"/>
    <cellStyle name="Comma 4 4 2 2 5 2 4" xfId="12706" xr:uid="{74C3DDDF-9B4B-4DFB-A365-119E2994A3B1}"/>
    <cellStyle name="Comma 4 4 2 2 5 3" xfId="6279" xr:uid="{00000000-0005-0000-0000-0000DF090000}"/>
    <cellStyle name="Comma 4 4 2 2 5 3 2" xfId="22395" xr:uid="{37D63212-85A0-4F93-B833-DA8C2FD4A448}"/>
    <cellStyle name="Comma 4 4 2 2 5 3 3" xfId="14774" xr:uid="{7A294F25-2EE2-477F-AA42-1329489158DD}"/>
    <cellStyle name="Comma 4 4 2 2 5 4" xfId="18182" xr:uid="{9DEE0CAC-6412-48A5-A2C9-83C74F30E8A6}"/>
    <cellStyle name="Comma 4 4 2 2 5 5" xfId="10561" xr:uid="{1A84F6C9-7E22-4B3E-B066-4886B81B86B2}"/>
    <cellStyle name="Comma 4 4 2 2 6" xfId="2408" xr:uid="{00000000-0005-0000-0000-0000E0090000}"/>
    <cellStyle name="Comma 4 4 2 2 6 2" xfId="6692" xr:uid="{00000000-0005-0000-0000-0000E1090000}"/>
    <cellStyle name="Comma 4 4 2 2 6 2 2" xfId="22808" xr:uid="{4084576F-9D40-435D-B67C-5DF5B6F795AF}"/>
    <cellStyle name="Comma 4 4 2 2 6 2 3" xfId="15187" xr:uid="{359EF466-CEBE-4430-8883-7D2F2AC5CF19}"/>
    <cellStyle name="Comma 4 4 2 2 6 3" xfId="18595" xr:uid="{80441D7C-C620-4ED7-ABEF-A2E8AFB53ABA}"/>
    <cellStyle name="Comma 4 4 2 2 6 4" xfId="10974" xr:uid="{1F59D1AD-1397-4163-8254-C69FFA3040AC}"/>
    <cellStyle name="Comma 4 4 2 2 7" xfId="2704" xr:uid="{00000000-0005-0000-0000-0000E2090000}"/>
    <cellStyle name="Comma 4 4 2 2 8" xfId="2786" xr:uid="{00000000-0005-0000-0000-0000E3090000}"/>
    <cellStyle name="Comma 4 4 2 2 8 2" xfId="7009" xr:uid="{00000000-0005-0000-0000-0000E4090000}"/>
    <cellStyle name="Comma 4 4 2 2 8 2 2" xfId="23125" xr:uid="{1B548744-0001-4FE2-BEFF-ABF119341EB6}"/>
    <cellStyle name="Comma 4 4 2 2 8 2 3" xfId="15504" xr:uid="{74B545AB-65C4-4C10-91D1-29D50F76FB09}"/>
    <cellStyle name="Comma 4 4 2 2 8 3" xfId="18912" xr:uid="{8515D66A-0CA0-469B-8AB9-ADB3EE4A0C42}"/>
    <cellStyle name="Comma 4 4 2 2 8 4" xfId="11291" xr:uid="{89339A79-751F-4587-AEC7-AB78057C14C8}"/>
    <cellStyle name="Comma 4 4 2 2 9" xfId="4626" xr:uid="{00000000-0005-0000-0000-0000E5090000}"/>
    <cellStyle name="Comma 4 4 2 2 9 2" xfId="20743" xr:uid="{8FF391DE-90AE-4E2D-9A7D-D704C5BDF473}"/>
    <cellStyle name="Comma 4 4 2 2 9 3" xfId="13122" xr:uid="{FC80C928-B3A1-44C4-925B-FEAA855988BC}"/>
    <cellStyle name="Comma 4 4 2 3" xfId="691" xr:uid="{00000000-0005-0000-0000-0000E6090000}"/>
    <cellStyle name="Comma 4 4 2 3 2" xfId="2962" xr:uid="{00000000-0005-0000-0000-0000E7090000}"/>
    <cellStyle name="Comma 4 4 2 3 2 2" xfId="7184" xr:uid="{00000000-0005-0000-0000-0000E8090000}"/>
    <cellStyle name="Comma 4 4 2 3 2 2 2" xfId="23300" xr:uid="{1F6045C3-D124-40EA-B457-55DE90B86AEA}"/>
    <cellStyle name="Comma 4 4 2 3 2 2 3" xfId="15679" xr:uid="{0A0C252B-DDD6-4CC6-9B84-94D83AFA29F0}"/>
    <cellStyle name="Comma 4 4 2 3 2 3" xfId="19087" xr:uid="{D27A0075-A1B5-497C-B183-F6D40DE8805F}"/>
    <cellStyle name="Comma 4 4 2 3 2 4" xfId="11466" xr:uid="{13CCBEF0-73C9-4DC9-AA62-0636DC3259A3}"/>
    <cellStyle name="Comma 4 4 2 3 3" xfId="5039" xr:uid="{00000000-0005-0000-0000-0000E9090000}"/>
    <cellStyle name="Comma 4 4 2 3 3 2" xfId="21155" xr:uid="{4B5CCFC2-755A-4CAC-8D4B-81108513D6D0}"/>
    <cellStyle name="Comma 4 4 2 3 3 3" xfId="13534" xr:uid="{6B39D6F2-469E-44E2-8E3A-C9EEE0AD530C}"/>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2 2 2" xfId="23713" xr:uid="{FCB37378-EE4F-4712-8731-69A1D52D2F5B}"/>
    <cellStyle name="Comma 4 4 2 4 2 2 3" xfId="16092" xr:uid="{86497329-3310-4C10-BC82-A01495C77208}"/>
    <cellStyle name="Comma 4 4 2 4 2 3" xfId="19500" xr:uid="{F0CE8EFA-D33B-408B-9547-F6962606C247}"/>
    <cellStyle name="Comma 4 4 2 4 2 4" xfId="11879" xr:uid="{3143BFBD-3EF1-4702-AF97-23B17FAC13F2}"/>
    <cellStyle name="Comma 4 4 2 4 3" xfId="5452" xr:uid="{00000000-0005-0000-0000-0000ED090000}"/>
    <cellStyle name="Comma 4 4 2 4 3 2" xfId="21568" xr:uid="{6D8A872E-3F74-4B67-9FF2-DD88E51FF301}"/>
    <cellStyle name="Comma 4 4 2 4 3 3" xfId="13947" xr:uid="{A030C8E5-9C2B-40B0-B794-C21584E2FF69}"/>
    <cellStyle name="Comma 4 4 2 4 4" xfId="17355" xr:uid="{14DBB317-4A56-4FF3-ABDA-B12781D84AB3}"/>
    <cellStyle name="Comma 4 4 2 4 5" xfId="9734" xr:uid="{B5F9EDCA-0A52-4885-B521-A6C3DF1654C4}"/>
    <cellStyle name="Comma 4 4 2 5" xfId="1558" xr:uid="{00000000-0005-0000-0000-0000EE090000}"/>
    <cellStyle name="Comma 4 4 2 5 2" xfId="3788" xr:uid="{00000000-0005-0000-0000-0000EF090000}"/>
    <cellStyle name="Comma 4 4 2 5 2 2" xfId="8010" xr:uid="{00000000-0005-0000-0000-0000F0090000}"/>
    <cellStyle name="Comma 4 4 2 5 2 2 2" xfId="24126" xr:uid="{A9457A1A-2868-44E5-A7F5-6D277F881ABD}"/>
    <cellStyle name="Comma 4 4 2 5 2 2 3" xfId="16505" xr:uid="{E2229516-141B-432E-A5C3-DA097FB5A7C6}"/>
    <cellStyle name="Comma 4 4 2 5 2 3" xfId="19913" xr:uid="{03872C69-1F38-49B6-9D1E-7FD11746CCBC}"/>
    <cellStyle name="Comma 4 4 2 5 2 4" xfId="12292" xr:uid="{3DBBFB73-199F-48D6-B2A7-BC92F63B76CC}"/>
    <cellStyle name="Comma 4 4 2 5 3" xfId="5865" xr:uid="{00000000-0005-0000-0000-0000F1090000}"/>
    <cellStyle name="Comma 4 4 2 5 3 2" xfId="21981" xr:uid="{1D0CB38F-9241-4FEF-9C8D-7780C1930F48}"/>
    <cellStyle name="Comma 4 4 2 5 3 3" xfId="14360" xr:uid="{D74100DC-3711-4478-8BA7-C7DC10ADD95E}"/>
    <cellStyle name="Comma 4 4 2 5 4" xfId="17768" xr:uid="{4A649437-1995-419F-ABC4-991761A17F24}"/>
    <cellStyle name="Comma 4 4 2 5 5" xfId="10147" xr:uid="{25A93EA1-AD7A-46CD-A6E4-C0214E355000}"/>
    <cellStyle name="Comma 4 4 2 6" xfId="1972" xr:uid="{00000000-0005-0000-0000-0000F2090000}"/>
    <cellStyle name="Comma 4 4 2 6 2" xfId="4201" xr:uid="{00000000-0005-0000-0000-0000F3090000}"/>
    <cellStyle name="Comma 4 4 2 6 2 2" xfId="8423" xr:uid="{00000000-0005-0000-0000-0000F4090000}"/>
    <cellStyle name="Comma 4 4 2 6 2 2 2" xfId="24539" xr:uid="{EA9EAF43-C428-405F-BC3A-093CE23928D5}"/>
    <cellStyle name="Comma 4 4 2 6 2 2 3" xfId="16918" xr:uid="{D0F113CE-F828-4E73-BCA7-1D75EFA84B04}"/>
    <cellStyle name="Comma 4 4 2 6 2 3" xfId="20326" xr:uid="{B1A8F7C8-A4D7-4354-9B41-FF8076A367BB}"/>
    <cellStyle name="Comma 4 4 2 6 2 4" xfId="12705" xr:uid="{2D2EF915-2F95-48AB-AB38-A1FD8D50D2B9}"/>
    <cellStyle name="Comma 4 4 2 6 3" xfId="6278" xr:uid="{00000000-0005-0000-0000-0000F5090000}"/>
    <cellStyle name="Comma 4 4 2 6 3 2" xfId="22394" xr:uid="{B30EF45F-74D2-460F-8C2E-4A5CD0F99524}"/>
    <cellStyle name="Comma 4 4 2 6 3 3" xfId="14773" xr:uid="{28DBCAB1-3295-4D96-BE9E-C9C26D893B6B}"/>
    <cellStyle name="Comma 4 4 2 6 4" xfId="18181" xr:uid="{DDE7341C-746C-4F49-93F9-54A494D2C084}"/>
    <cellStyle name="Comma 4 4 2 6 5" xfId="10560" xr:uid="{FA8790DB-F260-47C3-B8DF-A23E26CB01A0}"/>
    <cellStyle name="Comma 4 4 2 7" xfId="2407" xr:uid="{00000000-0005-0000-0000-0000F6090000}"/>
    <cellStyle name="Comma 4 4 2 7 2" xfId="6691" xr:uid="{00000000-0005-0000-0000-0000F7090000}"/>
    <cellStyle name="Comma 4 4 2 7 2 2" xfId="22807" xr:uid="{CAD80A6C-15CC-40BC-AD64-66631966E5FD}"/>
    <cellStyle name="Comma 4 4 2 7 2 3" xfId="15186" xr:uid="{7A0ABDFC-028E-4324-9213-20CB6CA01D48}"/>
    <cellStyle name="Comma 4 4 2 7 3" xfId="18594" xr:uid="{3BFD0958-A50C-4E39-8CA6-7CD3CF3A7618}"/>
    <cellStyle name="Comma 4 4 2 7 4" xfId="10973" xr:uid="{E553B804-5647-440D-9E8D-AB1B233047D7}"/>
    <cellStyle name="Comma 4 4 2 8" xfId="2703" xr:uid="{00000000-0005-0000-0000-0000F8090000}"/>
    <cellStyle name="Comma 4 4 2 9" xfId="2785" xr:uid="{00000000-0005-0000-0000-0000F9090000}"/>
    <cellStyle name="Comma 4 4 2 9 2" xfId="7008" xr:uid="{00000000-0005-0000-0000-0000FA090000}"/>
    <cellStyle name="Comma 4 4 2 9 2 2" xfId="23124" xr:uid="{6D062C6E-4F4B-44A5-9E15-D5D8677A7065}"/>
    <cellStyle name="Comma 4 4 2 9 2 3" xfId="15503" xr:uid="{BB0F01D3-8708-4EAA-AEE6-F2987A5487AB}"/>
    <cellStyle name="Comma 4 4 2 9 3" xfId="18911" xr:uid="{51CE9A23-0DFE-4A89-8823-907424228FAF}"/>
    <cellStyle name="Comma 4 4 2 9 4" xfId="11290" xr:uid="{B53D857F-4EA2-4C32-9B7D-14923D2AA25F}"/>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2 2 2" xfId="23302" xr:uid="{33DEA089-5260-4399-82AE-4B3EC93F7E32}"/>
    <cellStyle name="Comma 4 4 3 2 2 2 3" xfId="15681" xr:uid="{352711A4-1542-4DCC-BB9B-52C8E3829F9A}"/>
    <cellStyle name="Comma 4 4 3 2 2 3" xfId="19089" xr:uid="{92C8FB16-FAEF-4B9A-A300-19634A7C5905}"/>
    <cellStyle name="Comma 4 4 3 2 2 4" xfId="11468" xr:uid="{B428AD0E-2E72-4C32-ADFB-7EB4A0A22241}"/>
    <cellStyle name="Comma 4 4 3 2 3" xfId="5041" xr:uid="{00000000-0005-0000-0000-0000FF090000}"/>
    <cellStyle name="Comma 4 4 3 2 3 2" xfId="21157" xr:uid="{7C66FDBC-2FC6-466C-B603-66EFB7DDD3BF}"/>
    <cellStyle name="Comma 4 4 3 2 3 3" xfId="13536" xr:uid="{9914A03D-29C5-4C90-AE5C-C452694A3158}"/>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2 2 2" xfId="23715" xr:uid="{91C2F2D6-2EFA-4068-9E09-EE59119075C7}"/>
    <cellStyle name="Comma 4 4 3 3 2 2 3" xfId="16094" xr:uid="{D7E6D422-D992-45AC-A8E7-9D97C9E4E337}"/>
    <cellStyle name="Comma 4 4 3 3 2 3" xfId="19502" xr:uid="{A08E16D4-CCAA-437A-981E-E07DDA4520F3}"/>
    <cellStyle name="Comma 4 4 3 3 2 4" xfId="11881" xr:uid="{553DB8AF-781E-492E-94B0-F2151B72E839}"/>
    <cellStyle name="Comma 4 4 3 3 3" xfId="5454" xr:uid="{00000000-0005-0000-0000-0000030A0000}"/>
    <cellStyle name="Comma 4 4 3 3 3 2" xfId="21570" xr:uid="{10717055-7D5F-4F8D-A82A-51CD3B57F81A}"/>
    <cellStyle name="Comma 4 4 3 3 3 3" xfId="13949" xr:uid="{CFCB107B-F1BF-4F56-862F-1744DFD2ABCC}"/>
    <cellStyle name="Comma 4 4 3 3 4" xfId="17357" xr:uid="{651CC895-C69E-4A1A-AD12-55083C841F3F}"/>
    <cellStyle name="Comma 4 4 3 3 5" xfId="9736" xr:uid="{08A878D2-A289-42E1-BE78-016811D1EE63}"/>
    <cellStyle name="Comma 4 4 3 4" xfId="1560" xr:uid="{00000000-0005-0000-0000-0000040A0000}"/>
    <cellStyle name="Comma 4 4 3 4 2" xfId="3790" xr:uid="{00000000-0005-0000-0000-0000050A0000}"/>
    <cellStyle name="Comma 4 4 3 4 2 2" xfId="8012" xr:uid="{00000000-0005-0000-0000-0000060A0000}"/>
    <cellStyle name="Comma 4 4 3 4 2 2 2" xfId="24128" xr:uid="{910FE1AC-E9C5-498F-B531-B2652B6B5022}"/>
    <cellStyle name="Comma 4 4 3 4 2 2 3" xfId="16507" xr:uid="{C36F8684-8435-48D9-99AE-5CADF93861CB}"/>
    <cellStyle name="Comma 4 4 3 4 2 3" xfId="19915" xr:uid="{161D3B41-BEC5-480E-B597-4DA0CFD666CA}"/>
    <cellStyle name="Comma 4 4 3 4 2 4" xfId="12294" xr:uid="{DBF2D4F8-AFCF-4C61-8B7D-38B60A979BFB}"/>
    <cellStyle name="Comma 4 4 3 4 3" xfId="5867" xr:uid="{00000000-0005-0000-0000-0000070A0000}"/>
    <cellStyle name="Comma 4 4 3 4 3 2" xfId="21983" xr:uid="{4F6FBBD1-4737-4483-8233-80AF8468791C}"/>
    <cellStyle name="Comma 4 4 3 4 3 3" xfId="14362" xr:uid="{602BB0B0-6772-4745-8907-018A318A3542}"/>
    <cellStyle name="Comma 4 4 3 4 4" xfId="17770" xr:uid="{B6972681-DF3C-4594-98A2-B5E91C752097}"/>
    <cellStyle name="Comma 4 4 3 4 5" xfId="10149" xr:uid="{FE76DE6C-01DD-47E8-B3B4-2689B173C0DB}"/>
    <cellStyle name="Comma 4 4 3 5" xfId="1974" xr:uid="{00000000-0005-0000-0000-0000080A0000}"/>
    <cellStyle name="Comma 4 4 3 5 2" xfId="4203" xr:uid="{00000000-0005-0000-0000-0000090A0000}"/>
    <cellStyle name="Comma 4 4 3 5 2 2" xfId="8425" xr:uid="{00000000-0005-0000-0000-00000A0A0000}"/>
    <cellStyle name="Comma 4 4 3 5 2 2 2" xfId="24541" xr:uid="{7E8090EF-DD53-4865-B455-5E9F35CE87C2}"/>
    <cellStyle name="Comma 4 4 3 5 2 2 3" xfId="16920" xr:uid="{E095E35F-1ED5-403F-9D9B-0DC8BFF1701B}"/>
    <cellStyle name="Comma 4 4 3 5 2 3" xfId="20328" xr:uid="{DAA7D566-3F79-41DB-B328-F26CA521A702}"/>
    <cellStyle name="Comma 4 4 3 5 2 4" xfId="12707" xr:uid="{47C8635A-3C6E-4455-8D3D-9C91975A3634}"/>
    <cellStyle name="Comma 4 4 3 5 3" xfId="6280" xr:uid="{00000000-0005-0000-0000-00000B0A0000}"/>
    <cellStyle name="Comma 4 4 3 5 3 2" xfId="22396" xr:uid="{8E9DB70F-9D51-496C-8F98-A12D46FC7182}"/>
    <cellStyle name="Comma 4 4 3 5 3 3" xfId="14775" xr:uid="{2733157D-678C-4FE3-A510-843084C81C9A}"/>
    <cellStyle name="Comma 4 4 3 5 4" xfId="18183" xr:uid="{3150A201-5EDE-4D95-AA87-60F3E7295B10}"/>
    <cellStyle name="Comma 4 4 3 5 5" xfId="10562" xr:uid="{C3C97640-65A0-4E99-8128-1450AA5F4809}"/>
    <cellStyle name="Comma 4 4 3 6" xfId="2409" xr:uid="{00000000-0005-0000-0000-00000C0A0000}"/>
    <cellStyle name="Comma 4 4 3 6 2" xfId="6693" xr:uid="{00000000-0005-0000-0000-00000D0A0000}"/>
    <cellStyle name="Comma 4 4 3 6 2 2" xfId="22809" xr:uid="{AD8C5C85-52A2-4BBF-92EF-C9285D989E0C}"/>
    <cellStyle name="Comma 4 4 3 6 2 3" xfId="15188" xr:uid="{CC12BE7A-C138-4473-82CB-4BB7BF72ACE0}"/>
    <cellStyle name="Comma 4 4 3 6 3" xfId="18596" xr:uid="{8403B884-9F6E-4F86-8350-7ABD8820BD5F}"/>
    <cellStyle name="Comma 4 4 3 6 4" xfId="10975" xr:uid="{8F330EB0-DB52-4105-ACEB-FCC10A1A65BA}"/>
    <cellStyle name="Comma 4 4 3 7" xfId="2705" xr:uid="{00000000-0005-0000-0000-00000E0A0000}"/>
    <cellStyle name="Comma 4 4 3 8" xfId="2787" xr:uid="{00000000-0005-0000-0000-00000F0A0000}"/>
    <cellStyle name="Comma 4 4 3 8 2" xfId="7010" xr:uid="{00000000-0005-0000-0000-0000100A0000}"/>
    <cellStyle name="Comma 4 4 3 8 2 2" xfId="23126" xr:uid="{F1A3B522-5776-4E48-B249-E99905E3A2A5}"/>
    <cellStyle name="Comma 4 4 3 8 2 3" xfId="15505" xr:uid="{4CE4884B-7FFC-42CB-9D65-418D1D813EA1}"/>
    <cellStyle name="Comma 4 4 3 8 3" xfId="18913" xr:uid="{30B709BF-68BA-4A49-B432-43A4B835A6D1}"/>
    <cellStyle name="Comma 4 4 3 8 4" xfId="11292" xr:uid="{78F7DAC2-DFAC-443C-AD04-107AE08C571C}"/>
    <cellStyle name="Comma 4 4 3 9" xfId="4627" xr:uid="{00000000-0005-0000-0000-0000110A0000}"/>
    <cellStyle name="Comma 4 4 3 9 2" xfId="20744" xr:uid="{28778614-7A4E-4F58-8B19-94CB4BE19013}"/>
    <cellStyle name="Comma 4 4 3 9 3" xfId="13123" xr:uid="{3F736643-5235-4DF3-AC65-D4CB7F4CA578}"/>
    <cellStyle name="Comma 4 4 4" xfId="690" xr:uid="{00000000-0005-0000-0000-0000120A0000}"/>
    <cellStyle name="Comma 4 4 4 2" xfId="2961" xr:uid="{00000000-0005-0000-0000-0000130A0000}"/>
    <cellStyle name="Comma 4 4 4 2 2" xfId="7183" xr:uid="{00000000-0005-0000-0000-0000140A0000}"/>
    <cellStyle name="Comma 4 4 4 2 2 2" xfId="23299" xr:uid="{26F8C097-78E2-4790-A80B-D769F7F64D40}"/>
    <cellStyle name="Comma 4 4 4 2 2 3" xfId="15678" xr:uid="{A3FB74B2-8F3D-4B97-98F8-6F263363353F}"/>
    <cellStyle name="Comma 4 4 4 2 3" xfId="19086" xr:uid="{97222AA3-D65B-4FE6-8DC3-B8C7EF3B3749}"/>
    <cellStyle name="Comma 4 4 4 2 4" xfId="11465" xr:uid="{F4ADD986-389F-4B4A-88ED-D743B9B303D8}"/>
    <cellStyle name="Comma 4 4 4 3" xfId="5038" xr:uid="{00000000-0005-0000-0000-0000150A0000}"/>
    <cellStyle name="Comma 4 4 4 3 2" xfId="21154" xr:uid="{5DE976B0-B09B-4BF2-89EA-90591C4DF195}"/>
    <cellStyle name="Comma 4 4 4 3 3" xfId="13533" xr:uid="{80C1849D-0BD0-471F-9381-50CBAF5F894F}"/>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2 2 2" xfId="23712" xr:uid="{F904624D-7A80-4B7E-AF8C-1D2057C94EF1}"/>
    <cellStyle name="Comma 4 4 5 2 2 3" xfId="16091" xr:uid="{011D7239-36E2-45B6-8B4A-9453350FB4A3}"/>
    <cellStyle name="Comma 4 4 5 2 3" xfId="19499" xr:uid="{7856FC87-8350-490B-B027-8365A3F2C57F}"/>
    <cellStyle name="Comma 4 4 5 2 4" xfId="11878" xr:uid="{F603B82C-F512-4EAC-830D-E90B1D8F6AD8}"/>
    <cellStyle name="Comma 4 4 5 3" xfId="5451" xr:uid="{00000000-0005-0000-0000-0000190A0000}"/>
    <cellStyle name="Comma 4 4 5 3 2" xfId="21567" xr:uid="{48FD7585-6E2F-42A3-AF93-8DCA965B7A42}"/>
    <cellStyle name="Comma 4 4 5 3 3" xfId="13946" xr:uid="{8BB0C4D7-1A66-4D7C-8752-5F3A46D9ECF6}"/>
    <cellStyle name="Comma 4 4 5 4" xfId="17354" xr:uid="{971F7D9B-0D46-456C-A8B8-F79FE084E3C9}"/>
    <cellStyle name="Comma 4 4 5 5" xfId="9733" xr:uid="{ADDFD245-E9A7-46CE-8099-2718663DDE0F}"/>
    <cellStyle name="Comma 4 4 6" xfId="1557" xr:uid="{00000000-0005-0000-0000-00001A0A0000}"/>
    <cellStyle name="Comma 4 4 6 2" xfId="3787" xr:uid="{00000000-0005-0000-0000-00001B0A0000}"/>
    <cellStyle name="Comma 4 4 6 2 2" xfId="8009" xr:uid="{00000000-0005-0000-0000-00001C0A0000}"/>
    <cellStyle name="Comma 4 4 6 2 2 2" xfId="24125" xr:uid="{A26648BF-002D-4A7B-BE36-0E245779F1B8}"/>
    <cellStyle name="Comma 4 4 6 2 2 3" xfId="16504" xr:uid="{4027A964-EE86-4D22-B18A-0F8F74F87665}"/>
    <cellStyle name="Comma 4 4 6 2 3" xfId="19912" xr:uid="{851397F0-1FF9-4C88-83D3-D46697FBF34F}"/>
    <cellStyle name="Comma 4 4 6 2 4" xfId="12291" xr:uid="{61128ED3-E189-4D69-AFFA-75800DB18951}"/>
    <cellStyle name="Comma 4 4 6 3" xfId="5864" xr:uid="{00000000-0005-0000-0000-00001D0A0000}"/>
    <cellStyle name="Comma 4 4 6 3 2" xfId="21980" xr:uid="{3243C1E4-C1FA-42E4-A256-6178523F6F25}"/>
    <cellStyle name="Comma 4 4 6 3 3" xfId="14359" xr:uid="{DE20155B-59AD-4D41-A31C-4E75192C68C5}"/>
    <cellStyle name="Comma 4 4 6 4" xfId="17767" xr:uid="{CA6EA08B-8599-43CB-9374-612871FF5FD8}"/>
    <cellStyle name="Comma 4 4 6 5" xfId="10146" xr:uid="{8446847C-B028-471B-9AD4-7D684C2643A3}"/>
    <cellStyle name="Comma 4 4 7" xfId="1971" xr:uid="{00000000-0005-0000-0000-00001E0A0000}"/>
    <cellStyle name="Comma 4 4 7 2" xfId="4200" xr:uid="{00000000-0005-0000-0000-00001F0A0000}"/>
    <cellStyle name="Comma 4 4 7 2 2" xfId="8422" xr:uid="{00000000-0005-0000-0000-0000200A0000}"/>
    <cellStyle name="Comma 4 4 7 2 2 2" xfId="24538" xr:uid="{4165B86B-40E0-44A7-B8D9-773B1AB1C6B6}"/>
    <cellStyle name="Comma 4 4 7 2 2 3" xfId="16917" xr:uid="{23AB0CFE-7A9A-4BBC-899C-F9B2EA82C258}"/>
    <cellStyle name="Comma 4 4 7 2 3" xfId="20325" xr:uid="{450B1805-676F-4A54-A065-96F5858E1E57}"/>
    <cellStyle name="Comma 4 4 7 2 4" xfId="12704" xr:uid="{D606B583-6DA7-44A7-950F-DB950914B165}"/>
    <cellStyle name="Comma 4 4 7 3" xfId="6277" xr:uid="{00000000-0005-0000-0000-0000210A0000}"/>
    <cellStyle name="Comma 4 4 7 3 2" xfId="22393" xr:uid="{FA2C9264-CAEC-4F86-A6C1-D33E59A0F105}"/>
    <cellStyle name="Comma 4 4 7 3 3" xfId="14772" xr:uid="{B3734DB7-9FF1-4346-A78B-3E4EA6BE6C3E}"/>
    <cellStyle name="Comma 4 4 7 4" xfId="18180" xr:uid="{3491EFB3-83B0-488D-85E3-4BBECF1C328E}"/>
    <cellStyle name="Comma 4 4 7 5" xfId="10559" xr:uid="{85A92322-713F-47B5-B84C-13B6890E96FE}"/>
    <cellStyle name="Comma 4 4 8" xfId="2406" xr:uid="{00000000-0005-0000-0000-0000220A0000}"/>
    <cellStyle name="Comma 4 4 8 2" xfId="6690" xr:uid="{00000000-0005-0000-0000-0000230A0000}"/>
    <cellStyle name="Comma 4 4 8 2 2" xfId="22806" xr:uid="{A836BEB9-93F7-4414-AA26-3E95A3DE360B}"/>
    <cellStyle name="Comma 4 4 8 2 3" xfId="15185" xr:uid="{B49CB90F-E8AA-472D-A7C8-CF4A6F791006}"/>
    <cellStyle name="Comma 4 4 8 3" xfId="18593" xr:uid="{53F89218-DB37-40FC-BE50-8072C26F1EEE}"/>
    <cellStyle name="Comma 4 4 8 4" xfId="10972" xr:uid="{6ACF8968-4DA3-453C-8195-0DD6C1257272}"/>
    <cellStyle name="Comma 4 4 9" xfId="2702" xr:uid="{00000000-0005-0000-0000-0000240A0000}"/>
    <cellStyle name="Comma 4 5" xfId="157" xr:uid="{00000000-0005-0000-0000-0000250A0000}"/>
    <cellStyle name="Comma 4 5 10" xfId="4628" xr:uid="{00000000-0005-0000-0000-0000260A0000}"/>
    <cellStyle name="Comma 4 5 10 2" xfId="20745" xr:uid="{D86371C6-B65E-4C27-8BCA-318B13EF28F0}"/>
    <cellStyle name="Comma 4 5 10 3" xfId="13124" xr:uid="{0B2A0890-D1BD-4AD1-B231-4CC353BDAF14}"/>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2 2 2" xfId="23304" xr:uid="{F75EC89F-BBBB-4B12-925E-E203F170EABD}"/>
    <cellStyle name="Comma 4 5 2 2 2 2 3" xfId="15683" xr:uid="{7620C7BF-F4F2-42CA-BCB6-74E965CEC17E}"/>
    <cellStyle name="Comma 4 5 2 2 2 3" xfId="19091" xr:uid="{0ED1CD22-9AE3-4820-A3B9-EA7008277226}"/>
    <cellStyle name="Comma 4 5 2 2 2 4" xfId="11470" xr:uid="{01B3B5C5-91F7-4A55-B089-92283A0FE69F}"/>
    <cellStyle name="Comma 4 5 2 2 3" xfId="5043" xr:uid="{00000000-0005-0000-0000-00002B0A0000}"/>
    <cellStyle name="Comma 4 5 2 2 3 2" xfId="21159" xr:uid="{4495914A-C187-415E-9869-808448CADD56}"/>
    <cellStyle name="Comma 4 5 2 2 3 3" xfId="13538" xr:uid="{93AFEF1D-578A-4738-BDBE-46EA64B205E7}"/>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2 2 2" xfId="23717" xr:uid="{3D9C0A30-96D4-4B38-9A29-5F9778CF307F}"/>
    <cellStyle name="Comma 4 5 2 3 2 2 3" xfId="16096" xr:uid="{56D40830-DA7E-496E-9128-58DC441C0FD2}"/>
    <cellStyle name="Comma 4 5 2 3 2 3" xfId="19504" xr:uid="{82D987EB-C48A-4857-9E1F-AEB49E8D396D}"/>
    <cellStyle name="Comma 4 5 2 3 2 4" xfId="11883" xr:uid="{D0B1499A-B960-4D59-91A6-BC47EDC2ACD2}"/>
    <cellStyle name="Comma 4 5 2 3 3" xfId="5456" xr:uid="{00000000-0005-0000-0000-00002F0A0000}"/>
    <cellStyle name="Comma 4 5 2 3 3 2" xfId="21572" xr:uid="{1A4E45B2-C52A-482B-9466-6BE85BB6444B}"/>
    <cellStyle name="Comma 4 5 2 3 3 3" xfId="13951" xr:uid="{07A08E13-F4CD-413D-A681-7D18AB1B0A67}"/>
    <cellStyle name="Comma 4 5 2 3 4" xfId="17359" xr:uid="{168400A3-E597-424D-9D83-5543EC5FAF85}"/>
    <cellStyle name="Comma 4 5 2 3 5" xfId="9738" xr:uid="{2604D94F-B878-452A-A2CE-75EF6B0291AF}"/>
    <cellStyle name="Comma 4 5 2 4" xfId="1562" xr:uid="{00000000-0005-0000-0000-0000300A0000}"/>
    <cellStyle name="Comma 4 5 2 4 2" xfId="3792" xr:uid="{00000000-0005-0000-0000-0000310A0000}"/>
    <cellStyle name="Comma 4 5 2 4 2 2" xfId="8014" xr:uid="{00000000-0005-0000-0000-0000320A0000}"/>
    <cellStyle name="Comma 4 5 2 4 2 2 2" xfId="24130" xr:uid="{6DFC8A6C-74A5-4F6B-AA29-88E073433C72}"/>
    <cellStyle name="Comma 4 5 2 4 2 2 3" xfId="16509" xr:uid="{EF1B7406-908F-4384-AD83-B484709AFEDA}"/>
    <cellStyle name="Comma 4 5 2 4 2 3" xfId="19917" xr:uid="{40D7E96B-E169-408D-84ED-5AAA5EBB5A8C}"/>
    <cellStyle name="Comma 4 5 2 4 2 4" xfId="12296" xr:uid="{69E07138-C98F-4C41-94A7-4FADFAD775B4}"/>
    <cellStyle name="Comma 4 5 2 4 3" xfId="5869" xr:uid="{00000000-0005-0000-0000-0000330A0000}"/>
    <cellStyle name="Comma 4 5 2 4 3 2" xfId="21985" xr:uid="{8D81BE5B-C7C2-4D8F-9417-F0DCA866912A}"/>
    <cellStyle name="Comma 4 5 2 4 3 3" xfId="14364" xr:uid="{C9CD90DB-C34C-4009-8D30-6DDBFCB21CCE}"/>
    <cellStyle name="Comma 4 5 2 4 4" xfId="17772" xr:uid="{F9165229-2DBA-4178-B599-8B297A1F5587}"/>
    <cellStyle name="Comma 4 5 2 4 5" xfId="10151" xr:uid="{0467BA95-2494-43C1-BB44-950A915BEEFD}"/>
    <cellStyle name="Comma 4 5 2 5" xfId="1976" xr:uid="{00000000-0005-0000-0000-0000340A0000}"/>
    <cellStyle name="Comma 4 5 2 5 2" xfId="4205" xr:uid="{00000000-0005-0000-0000-0000350A0000}"/>
    <cellStyle name="Comma 4 5 2 5 2 2" xfId="8427" xr:uid="{00000000-0005-0000-0000-0000360A0000}"/>
    <cellStyle name="Comma 4 5 2 5 2 2 2" xfId="24543" xr:uid="{637313F2-414E-4B17-86FA-2739911FCB84}"/>
    <cellStyle name="Comma 4 5 2 5 2 2 3" xfId="16922" xr:uid="{A91870AB-9EAD-4743-B6EC-9F659BE4CE88}"/>
    <cellStyle name="Comma 4 5 2 5 2 3" xfId="20330" xr:uid="{2264A833-8241-4603-9BB8-F58744CDBC8D}"/>
    <cellStyle name="Comma 4 5 2 5 2 4" xfId="12709" xr:uid="{40CC82ED-DE44-42CA-952F-80B3D55A96AC}"/>
    <cellStyle name="Comma 4 5 2 5 3" xfId="6282" xr:uid="{00000000-0005-0000-0000-0000370A0000}"/>
    <cellStyle name="Comma 4 5 2 5 3 2" xfId="22398" xr:uid="{6141F729-E2E1-439E-BD8F-D3E2E8E5E196}"/>
    <cellStyle name="Comma 4 5 2 5 3 3" xfId="14777" xr:uid="{4E39381C-777E-4D07-97D0-54FFDA0CC237}"/>
    <cellStyle name="Comma 4 5 2 5 4" xfId="18185" xr:uid="{B62F2119-23F9-47E2-89D0-512F1AFC1C80}"/>
    <cellStyle name="Comma 4 5 2 5 5" xfId="10564" xr:uid="{2C6CB4A4-84C6-4B4B-81AE-F57B2F29EB4F}"/>
    <cellStyle name="Comma 4 5 2 6" xfId="2411" xr:uid="{00000000-0005-0000-0000-0000380A0000}"/>
    <cellStyle name="Comma 4 5 2 6 2" xfId="6695" xr:uid="{00000000-0005-0000-0000-0000390A0000}"/>
    <cellStyle name="Comma 4 5 2 6 2 2" xfId="22811" xr:uid="{E2EC63B8-3B2B-4D4C-BD16-FBBA43B76E1A}"/>
    <cellStyle name="Comma 4 5 2 6 2 3" xfId="15190" xr:uid="{43EC2B90-ECEF-462E-B51A-25DDF0982423}"/>
    <cellStyle name="Comma 4 5 2 6 3" xfId="18598" xr:uid="{44B1F90F-6FC4-40A8-80A1-659C8D050F85}"/>
    <cellStyle name="Comma 4 5 2 6 4" xfId="10977" xr:uid="{7346661E-A38D-4F23-97A2-7136B4D4FB5E}"/>
    <cellStyle name="Comma 4 5 2 7" xfId="2707" xr:uid="{00000000-0005-0000-0000-00003A0A0000}"/>
    <cellStyle name="Comma 4 5 2 8" xfId="2789" xr:uid="{00000000-0005-0000-0000-00003B0A0000}"/>
    <cellStyle name="Comma 4 5 2 8 2" xfId="7012" xr:uid="{00000000-0005-0000-0000-00003C0A0000}"/>
    <cellStyle name="Comma 4 5 2 8 2 2" xfId="23128" xr:uid="{19E1F942-13EF-4F1C-9279-FF3215A53A31}"/>
    <cellStyle name="Comma 4 5 2 8 2 3" xfId="15507" xr:uid="{EEAADC1E-7883-4343-A823-16CC06EC731F}"/>
    <cellStyle name="Comma 4 5 2 8 3" xfId="18915" xr:uid="{08165AF3-0893-41EE-B8A6-1A39FA34B935}"/>
    <cellStyle name="Comma 4 5 2 8 4" xfId="11294" xr:uid="{F2D4CECD-1A39-44F9-B5A5-7E2983274CF3}"/>
    <cellStyle name="Comma 4 5 2 9" xfId="4629" xr:uid="{00000000-0005-0000-0000-00003D0A0000}"/>
    <cellStyle name="Comma 4 5 2 9 2" xfId="20746" xr:uid="{2B4C90B6-0568-4EA1-9D38-FAF1374F6FED}"/>
    <cellStyle name="Comma 4 5 2 9 3" xfId="13125" xr:uid="{FDB79365-EC16-4D67-A383-4776E66A840C}"/>
    <cellStyle name="Comma 4 5 3" xfId="694" xr:uid="{00000000-0005-0000-0000-00003E0A0000}"/>
    <cellStyle name="Comma 4 5 3 2" xfId="2965" xr:uid="{00000000-0005-0000-0000-00003F0A0000}"/>
    <cellStyle name="Comma 4 5 3 2 2" xfId="7187" xr:uid="{00000000-0005-0000-0000-0000400A0000}"/>
    <cellStyle name="Comma 4 5 3 2 2 2" xfId="23303" xr:uid="{21DD8745-8347-47AD-8680-2EB500FAF4E6}"/>
    <cellStyle name="Comma 4 5 3 2 2 3" xfId="15682" xr:uid="{A2ECF5F5-1BE9-4AC5-BFDD-77EB2FDEA3AC}"/>
    <cellStyle name="Comma 4 5 3 2 3" xfId="19090" xr:uid="{546E0014-BD2A-486A-A71E-F847879E1003}"/>
    <cellStyle name="Comma 4 5 3 2 4" xfId="11469" xr:uid="{76F09AD7-98C1-4016-97E5-87A25E3B110C}"/>
    <cellStyle name="Comma 4 5 3 3" xfId="5042" xr:uid="{00000000-0005-0000-0000-0000410A0000}"/>
    <cellStyle name="Comma 4 5 3 3 2" xfId="21158" xr:uid="{0E107C35-BDC9-4614-B3B6-B3327B6E96B2}"/>
    <cellStyle name="Comma 4 5 3 3 3" xfId="13537" xr:uid="{08035D79-534E-4B37-A7DD-12284774B2E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2 2 2" xfId="23716" xr:uid="{6EF3C297-3B0C-4638-A442-EAEA60B6E1C4}"/>
    <cellStyle name="Comma 4 5 4 2 2 3" xfId="16095" xr:uid="{E8FA75CA-EFA9-4BEC-8226-C50620554904}"/>
    <cellStyle name="Comma 4 5 4 2 3" xfId="19503" xr:uid="{4B85A2D5-F219-452F-B5DE-38843E953C9D}"/>
    <cellStyle name="Comma 4 5 4 2 4" xfId="11882" xr:uid="{3EC2DE37-2761-4022-9205-8D7D39EEE636}"/>
    <cellStyle name="Comma 4 5 4 3" xfId="5455" xr:uid="{00000000-0005-0000-0000-0000450A0000}"/>
    <cellStyle name="Comma 4 5 4 3 2" xfId="21571" xr:uid="{F530350A-503D-425D-9142-5884F69BEE76}"/>
    <cellStyle name="Comma 4 5 4 3 3" xfId="13950" xr:uid="{7FEB77E3-A77C-4649-9869-033B99EF2691}"/>
    <cellStyle name="Comma 4 5 4 4" xfId="17358" xr:uid="{F3AAE6A7-7341-4BA7-8765-D2D5AFBF0431}"/>
    <cellStyle name="Comma 4 5 4 5" xfId="9737" xr:uid="{81AD4483-F649-4CA0-9943-8750F1C9A687}"/>
    <cellStyle name="Comma 4 5 5" xfId="1561" xr:uid="{00000000-0005-0000-0000-0000460A0000}"/>
    <cellStyle name="Comma 4 5 5 2" xfId="3791" xr:uid="{00000000-0005-0000-0000-0000470A0000}"/>
    <cellStyle name="Comma 4 5 5 2 2" xfId="8013" xr:uid="{00000000-0005-0000-0000-0000480A0000}"/>
    <cellStyle name="Comma 4 5 5 2 2 2" xfId="24129" xr:uid="{BDF258A9-0F2E-4A6B-BB99-CEBE71BB4E9A}"/>
    <cellStyle name="Comma 4 5 5 2 2 3" xfId="16508" xr:uid="{AACE63D9-EF71-4980-9394-DCFF0652A59C}"/>
    <cellStyle name="Comma 4 5 5 2 3" xfId="19916" xr:uid="{1D9A05E7-2EB7-4B4E-9720-7BC129E5C112}"/>
    <cellStyle name="Comma 4 5 5 2 4" xfId="12295" xr:uid="{C10BBC5D-D74D-42F8-9461-96AE753323B9}"/>
    <cellStyle name="Comma 4 5 5 3" xfId="5868" xr:uid="{00000000-0005-0000-0000-0000490A0000}"/>
    <cellStyle name="Comma 4 5 5 3 2" xfId="21984" xr:uid="{249CB4BB-A586-4EFA-ADA4-8FD590111CC7}"/>
    <cellStyle name="Comma 4 5 5 3 3" xfId="14363" xr:uid="{29894215-F03B-48F0-B328-0B0692359FBB}"/>
    <cellStyle name="Comma 4 5 5 4" xfId="17771" xr:uid="{6A41D2CC-6CE1-42A1-8995-12753FF9605F}"/>
    <cellStyle name="Comma 4 5 5 5" xfId="10150" xr:uid="{F0834506-320D-4238-8FA7-37562CC2FB8A}"/>
    <cellStyle name="Comma 4 5 6" xfId="1975" xr:uid="{00000000-0005-0000-0000-00004A0A0000}"/>
    <cellStyle name="Comma 4 5 6 2" xfId="4204" xr:uid="{00000000-0005-0000-0000-00004B0A0000}"/>
    <cellStyle name="Comma 4 5 6 2 2" xfId="8426" xr:uid="{00000000-0005-0000-0000-00004C0A0000}"/>
    <cellStyle name="Comma 4 5 6 2 2 2" xfId="24542" xr:uid="{59A1818A-2CBC-4116-A10C-EB465D22F385}"/>
    <cellStyle name="Comma 4 5 6 2 2 3" xfId="16921" xr:uid="{4A949E00-065E-4003-B9F2-A07D97899D30}"/>
    <cellStyle name="Comma 4 5 6 2 3" xfId="20329" xr:uid="{0D09BCC3-C9AF-4B2D-9182-BB9B0037E7B0}"/>
    <cellStyle name="Comma 4 5 6 2 4" xfId="12708" xr:uid="{3D73ABE8-0B1A-481F-AB28-A1D0E3562497}"/>
    <cellStyle name="Comma 4 5 6 3" xfId="6281" xr:uid="{00000000-0005-0000-0000-00004D0A0000}"/>
    <cellStyle name="Comma 4 5 6 3 2" xfId="22397" xr:uid="{ABFF3B43-A0BC-4F8F-8BA4-D666A1236561}"/>
    <cellStyle name="Comma 4 5 6 3 3" xfId="14776" xr:uid="{61B759CD-5C4B-413F-99B4-E185892BED44}"/>
    <cellStyle name="Comma 4 5 6 4" xfId="18184" xr:uid="{DBCDF822-8000-4F82-AD3A-3CC724D82EED}"/>
    <cellStyle name="Comma 4 5 6 5" xfId="10563" xr:uid="{DA28377A-B19C-4B49-AFAC-333463399A2C}"/>
    <cellStyle name="Comma 4 5 7" xfId="2410" xr:uid="{00000000-0005-0000-0000-00004E0A0000}"/>
    <cellStyle name="Comma 4 5 7 2" xfId="6694" xr:uid="{00000000-0005-0000-0000-00004F0A0000}"/>
    <cellStyle name="Comma 4 5 7 2 2" xfId="22810" xr:uid="{EF41E6E9-0EAA-49B6-8A7B-2F531DC40934}"/>
    <cellStyle name="Comma 4 5 7 2 3" xfId="15189" xr:uid="{6D9FEFC6-49FD-4A64-9C7D-A6C6F2EC0CE3}"/>
    <cellStyle name="Comma 4 5 7 3" xfId="18597" xr:uid="{7C67AE68-4830-4D9E-A95D-FCBBE61FA517}"/>
    <cellStyle name="Comma 4 5 7 4" xfId="10976" xr:uid="{2DFAAC13-0299-49F4-825B-C81CD36791EC}"/>
    <cellStyle name="Comma 4 5 8" xfId="2706" xr:uid="{00000000-0005-0000-0000-0000500A0000}"/>
    <cellStyle name="Comma 4 5 9" xfId="2788" xr:uid="{00000000-0005-0000-0000-0000510A0000}"/>
    <cellStyle name="Comma 4 5 9 2" xfId="7011" xr:uid="{00000000-0005-0000-0000-0000520A0000}"/>
    <cellStyle name="Comma 4 5 9 2 2" xfId="23127" xr:uid="{4E351EFA-41D7-43E7-8199-C8A1F623E17D}"/>
    <cellStyle name="Comma 4 5 9 2 3" xfId="15506" xr:uid="{03097395-8820-4F95-93D2-E2E4A1A3F980}"/>
    <cellStyle name="Comma 4 5 9 3" xfId="18914" xr:uid="{97A62162-F6AB-4B60-AF86-392B1F15E156}"/>
    <cellStyle name="Comma 4 5 9 4" xfId="11293" xr:uid="{C75FD210-721C-4DF1-A6A6-464779721834}"/>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2 2 2" xfId="23305" xr:uid="{9B5B2F62-8494-41AA-BADE-7EC32152B45B}"/>
    <cellStyle name="Comma 4 6 2 2 2 3" xfId="15684" xr:uid="{D4DE96DA-A300-43F0-9D1F-E0C35E3B5D9C}"/>
    <cellStyle name="Comma 4 6 2 2 3" xfId="19092" xr:uid="{ADB9D6E9-96B4-4590-82B1-D3AEE6E37534}"/>
    <cellStyle name="Comma 4 6 2 2 4" xfId="11471" xr:uid="{A20DE1D9-FA81-4E41-954A-3AD0D31CFA6F}"/>
    <cellStyle name="Comma 4 6 2 3" xfId="5044" xr:uid="{00000000-0005-0000-0000-0000570A0000}"/>
    <cellStyle name="Comma 4 6 2 3 2" xfId="21160" xr:uid="{B92ECE0C-50A6-43A7-AACA-8CDACB9A916B}"/>
    <cellStyle name="Comma 4 6 2 3 3" xfId="13539" xr:uid="{E1D62DA1-E501-4AF3-A739-8402BBFCA3B7}"/>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2 2 2" xfId="23718" xr:uid="{E89ECE15-5641-498B-B44C-BE503C534531}"/>
    <cellStyle name="Comma 4 6 3 2 2 3" xfId="16097" xr:uid="{1D124A2F-A895-4294-BB1D-34813F54A2A9}"/>
    <cellStyle name="Comma 4 6 3 2 3" xfId="19505" xr:uid="{6D5132A0-984A-4156-9C54-E43030D9B85A}"/>
    <cellStyle name="Comma 4 6 3 2 4" xfId="11884" xr:uid="{E61AE460-8723-463E-9083-CF3A9ADEDCC6}"/>
    <cellStyle name="Comma 4 6 3 3" xfId="5457" xr:uid="{00000000-0005-0000-0000-00005B0A0000}"/>
    <cellStyle name="Comma 4 6 3 3 2" xfId="21573" xr:uid="{88989144-D9A1-44E7-9A16-45C10D8D3F0D}"/>
    <cellStyle name="Comma 4 6 3 3 3" xfId="13952" xr:uid="{CA97373D-BE92-437D-9AC4-D33D2D6BE963}"/>
    <cellStyle name="Comma 4 6 3 4" xfId="17360" xr:uid="{86FA2C85-969B-41AE-95C0-106F5F03C43E}"/>
    <cellStyle name="Comma 4 6 3 5" xfId="9739" xr:uid="{CC073FE6-A87F-49ED-8C1C-4723121A24DF}"/>
    <cellStyle name="Comma 4 6 4" xfId="1563" xr:uid="{00000000-0005-0000-0000-00005C0A0000}"/>
    <cellStyle name="Comma 4 6 4 2" xfId="3793" xr:uid="{00000000-0005-0000-0000-00005D0A0000}"/>
    <cellStyle name="Comma 4 6 4 2 2" xfId="8015" xr:uid="{00000000-0005-0000-0000-00005E0A0000}"/>
    <cellStyle name="Comma 4 6 4 2 2 2" xfId="24131" xr:uid="{92AC8383-B606-41F5-83A1-1D72F2E0778F}"/>
    <cellStyle name="Comma 4 6 4 2 2 3" xfId="16510" xr:uid="{FB106A2E-BF1E-43AD-926B-FA9C0ED1C38D}"/>
    <cellStyle name="Comma 4 6 4 2 3" xfId="19918" xr:uid="{017DA1E2-CA00-475F-9A70-BAFD6E99D47D}"/>
    <cellStyle name="Comma 4 6 4 2 4" xfId="12297" xr:uid="{609B0BE4-77BC-4FCE-93E2-7E2A87192DB8}"/>
    <cellStyle name="Comma 4 6 4 3" xfId="5870" xr:uid="{00000000-0005-0000-0000-00005F0A0000}"/>
    <cellStyle name="Comma 4 6 4 3 2" xfId="21986" xr:uid="{F2AF8745-823C-4721-A356-4E67F7012D55}"/>
    <cellStyle name="Comma 4 6 4 3 3" xfId="14365" xr:uid="{DACFAB4C-45A5-4D94-8A68-1ACB9CB8332C}"/>
    <cellStyle name="Comma 4 6 4 4" xfId="17773" xr:uid="{FF7FBD0F-F2EB-4C17-8670-D1A8F51D8100}"/>
    <cellStyle name="Comma 4 6 4 5" xfId="10152" xr:uid="{2777EFD6-2417-410F-BB86-D443C9479B0B}"/>
    <cellStyle name="Comma 4 6 5" xfId="1977" xr:uid="{00000000-0005-0000-0000-0000600A0000}"/>
    <cellStyle name="Comma 4 6 5 2" xfId="4206" xr:uid="{00000000-0005-0000-0000-0000610A0000}"/>
    <cellStyle name="Comma 4 6 5 2 2" xfId="8428" xr:uid="{00000000-0005-0000-0000-0000620A0000}"/>
    <cellStyle name="Comma 4 6 5 2 2 2" xfId="24544" xr:uid="{321634BB-8060-4684-B0BE-2C898F246EEF}"/>
    <cellStyle name="Comma 4 6 5 2 2 3" xfId="16923" xr:uid="{9714E265-0416-4D18-9519-A7F0E16FC55B}"/>
    <cellStyle name="Comma 4 6 5 2 3" xfId="20331" xr:uid="{8B9AB209-229B-4358-BF60-55313ACF8D09}"/>
    <cellStyle name="Comma 4 6 5 2 4" xfId="12710" xr:uid="{54DB1BBA-EA72-4422-9EB5-20758087162C}"/>
    <cellStyle name="Comma 4 6 5 3" xfId="6283" xr:uid="{00000000-0005-0000-0000-0000630A0000}"/>
    <cellStyle name="Comma 4 6 5 3 2" xfId="22399" xr:uid="{AC185BC1-0183-4E6F-84DC-4C639E86172E}"/>
    <cellStyle name="Comma 4 6 5 3 3" xfId="14778" xr:uid="{3C5B9C13-3EAD-4458-93B2-84332BFB5F14}"/>
    <cellStyle name="Comma 4 6 5 4" xfId="18186" xr:uid="{CA1EBA3A-8549-43D4-93CB-038C13E8D2ED}"/>
    <cellStyle name="Comma 4 6 5 5" xfId="10565" xr:uid="{A59E19D6-D3B7-4308-9F79-CD9A32A014A9}"/>
    <cellStyle name="Comma 4 6 6" xfId="2412" xr:uid="{00000000-0005-0000-0000-0000640A0000}"/>
    <cellStyle name="Comma 4 6 6 2" xfId="6696" xr:uid="{00000000-0005-0000-0000-0000650A0000}"/>
    <cellStyle name="Comma 4 6 6 2 2" xfId="22812" xr:uid="{53A6DD0C-82B5-4A97-9C21-DC1B7842851F}"/>
    <cellStyle name="Comma 4 6 6 2 3" xfId="15191" xr:uid="{85E318A7-3AFC-4266-9B57-7338F3C73971}"/>
    <cellStyle name="Comma 4 6 6 3" xfId="18599" xr:uid="{707CA6EF-0409-489C-BEE6-C5D081A7ECD3}"/>
    <cellStyle name="Comma 4 6 6 4" xfId="10978" xr:uid="{B1AA9AF9-BDF4-43E2-BCFD-AB4F13E66636}"/>
    <cellStyle name="Comma 4 6 7" xfId="2708" xr:uid="{00000000-0005-0000-0000-0000660A0000}"/>
    <cellStyle name="Comma 4 6 8" xfId="2790" xr:uid="{00000000-0005-0000-0000-0000670A0000}"/>
    <cellStyle name="Comma 4 6 8 2" xfId="7013" xr:uid="{00000000-0005-0000-0000-0000680A0000}"/>
    <cellStyle name="Comma 4 6 8 2 2" xfId="23129" xr:uid="{1B155685-2D90-48C4-9F9D-FC2F01489966}"/>
    <cellStyle name="Comma 4 6 8 2 3" xfId="15508" xr:uid="{9D1CCC63-00FC-4C9F-87C6-29AF55D15845}"/>
    <cellStyle name="Comma 4 6 8 3" xfId="18916" xr:uid="{449C9694-A7C1-4B32-A65E-1D6E5C99A775}"/>
    <cellStyle name="Comma 4 6 8 4" xfId="11295" xr:uid="{FF298B91-5D53-46EA-82A3-4688B4B2AEE8}"/>
    <cellStyle name="Comma 4 6 9" xfId="4630" xr:uid="{00000000-0005-0000-0000-0000690A0000}"/>
    <cellStyle name="Comma 4 6 9 2" xfId="20747" xr:uid="{3B63234F-39B7-459D-87AF-CAA8810F68D7}"/>
    <cellStyle name="Comma 4 6 9 3" xfId="13126" xr:uid="{6963D1B5-920E-4D39-B69F-6F39FBFBBEA4}"/>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2 2 2" xfId="23306" xr:uid="{709F9D3C-3D5E-4755-9AEB-7B5B25369CCB}"/>
    <cellStyle name="Comma 4 7 2 2 2 3" xfId="15685" xr:uid="{BF55F379-A977-49CC-88D2-CF77538A74F2}"/>
    <cellStyle name="Comma 4 7 2 2 3" xfId="19093" xr:uid="{BD2C0066-67D6-4E0A-9E7B-1BD3032D3A81}"/>
    <cellStyle name="Comma 4 7 2 2 4" xfId="11472" xr:uid="{70B2118F-0657-4559-84B2-9DF6E1CDD97E}"/>
    <cellStyle name="Comma 4 7 2 3" xfId="5045" xr:uid="{00000000-0005-0000-0000-00006E0A0000}"/>
    <cellStyle name="Comma 4 7 2 3 2" xfId="21161" xr:uid="{80CF7798-CB13-4CC6-9672-F3224B8F0B50}"/>
    <cellStyle name="Comma 4 7 2 3 3" xfId="13540" xr:uid="{52BE1AFE-7FAD-4D2A-91C0-FFF8099F20A9}"/>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2 2 2" xfId="23719" xr:uid="{AD8D4D24-5D39-470A-9BB0-4B21C71A3959}"/>
    <cellStyle name="Comma 4 7 3 2 2 3" xfId="16098" xr:uid="{0245190E-E620-4AD0-8471-A8FFBA087173}"/>
    <cellStyle name="Comma 4 7 3 2 3" xfId="19506" xr:uid="{8E4DBE51-4A31-4B5F-829D-AC90474A265E}"/>
    <cellStyle name="Comma 4 7 3 2 4" xfId="11885" xr:uid="{9828A950-CB17-4A6D-B197-804555437FBB}"/>
    <cellStyle name="Comma 4 7 3 3" xfId="5458" xr:uid="{00000000-0005-0000-0000-0000720A0000}"/>
    <cellStyle name="Comma 4 7 3 3 2" xfId="21574" xr:uid="{C1F179A9-5060-4807-9C9B-B71637B1EFDE}"/>
    <cellStyle name="Comma 4 7 3 3 3" xfId="13953" xr:uid="{1384D371-2D0C-4810-AD17-1B8B24306BAA}"/>
    <cellStyle name="Comma 4 7 3 4" xfId="17361" xr:uid="{3745ED36-DC5E-4FBD-A9AA-5E9788E8A6F6}"/>
    <cellStyle name="Comma 4 7 3 5" xfId="9740" xr:uid="{39F10086-119A-4B3C-B7BB-C210103698CD}"/>
    <cellStyle name="Comma 4 7 4" xfId="1564" xr:uid="{00000000-0005-0000-0000-0000730A0000}"/>
    <cellStyle name="Comma 4 7 4 2" xfId="3794" xr:uid="{00000000-0005-0000-0000-0000740A0000}"/>
    <cellStyle name="Comma 4 7 4 2 2" xfId="8016" xr:uid="{00000000-0005-0000-0000-0000750A0000}"/>
    <cellStyle name="Comma 4 7 4 2 2 2" xfId="24132" xr:uid="{CE2A824F-D067-4B94-8E05-9507F6089934}"/>
    <cellStyle name="Comma 4 7 4 2 2 3" xfId="16511" xr:uid="{CC931FDE-657B-4B93-8933-E7E89526ED2A}"/>
    <cellStyle name="Comma 4 7 4 2 3" xfId="19919" xr:uid="{D742B409-AB34-4E5F-86B6-4703C36F983D}"/>
    <cellStyle name="Comma 4 7 4 2 4" xfId="12298" xr:uid="{1488A935-30FC-4572-82A2-5D3204DE7131}"/>
    <cellStyle name="Comma 4 7 4 3" xfId="5871" xr:uid="{00000000-0005-0000-0000-0000760A0000}"/>
    <cellStyle name="Comma 4 7 4 3 2" xfId="21987" xr:uid="{50104F89-0417-4B66-BB5D-8379B86F3348}"/>
    <cellStyle name="Comma 4 7 4 3 3" xfId="14366" xr:uid="{C2C12A04-C486-48A0-A18E-B58A81403E4E}"/>
    <cellStyle name="Comma 4 7 4 4" xfId="17774" xr:uid="{6C64D714-F6F5-40B3-8026-6A1679D753B1}"/>
    <cellStyle name="Comma 4 7 4 5" xfId="10153" xr:uid="{35F7BF68-DCF1-478B-B516-7AA3A537D2D1}"/>
    <cellStyle name="Comma 4 7 5" xfId="1978" xr:uid="{00000000-0005-0000-0000-0000770A0000}"/>
    <cellStyle name="Comma 4 7 5 2" xfId="4207" xr:uid="{00000000-0005-0000-0000-0000780A0000}"/>
    <cellStyle name="Comma 4 7 5 2 2" xfId="8429" xr:uid="{00000000-0005-0000-0000-0000790A0000}"/>
    <cellStyle name="Comma 4 7 5 2 2 2" xfId="24545" xr:uid="{0ABFA959-6D7E-4D67-B6DB-07AC5C8DD27E}"/>
    <cellStyle name="Comma 4 7 5 2 2 3" xfId="16924" xr:uid="{41E7D8E1-924C-4922-A410-8B52F806FDDB}"/>
    <cellStyle name="Comma 4 7 5 2 3" xfId="20332" xr:uid="{6B000020-72C3-4345-B7BB-7FF314963D94}"/>
    <cellStyle name="Comma 4 7 5 2 4" xfId="12711" xr:uid="{D89E741C-CA41-46FE-8E11-6B92C3550AA5}"/>
    <cellStyle name="Comma 4 7 5 3" xfId="6284" xr:uid="{00000000-0005-0000-0000-00007A0A0000}"/>
    <cellStyle name="Comma 4 7 5 3 2" xfId="22400" xr:uid="{84231F15-36C7-47A3-9889-19E72FA23461}"/>
    <cellStyle name="Comma 4 7 5 3 3" xfId="14779" xr:uid="{835C966D-8E07-4196-B306-C59F9DDECECD}"/>
    <cellStyle name="Comma 4 7 5 4" xfId="18187" xr:uid="{FF0E0C98-D52C-4B47-88E8-1F7212ED95A9}"/>
    <cellStyle name="Comma 4 7 5 5" xfId="10566" xr:uid="{162666BF-D197-4438-839A-DE77348E9EC4}"/>
    <cellStyle name="Comma 4 7 6" xfId="2413" xr:uid="{00000000-0005-0000-0000-00007B0A0000}"/>
    <cellStyle name="Comma 4 7 6 2" xfId="6697" xr:uid="{00000000-0005-0000-0000-00007C0A0000}"/>
    <cellStyle name="Comma 4 7 6 2 2" xfId="22813" xr:uid="{B9B51908-2CD5-438F-8F0E-437B02EDB902}"/>
    <cellStyle name="Comma 4 7 6 2 3" xfId="15192" xr:uid="{69A3AA08-D19F-4A42-81D2-85834DFF457F}"/>
    <cellStyle name="Comma 4 7 6 3" xfId="18600" xr:uid="{5A9CE92E-5301-4EAD-9709-E6160EA7688A}"/>
    <cellStyle name="Comma 4 7 6 4" xfId="10979" xr:uid="{805ACBB5-32A3-4A34-A956-A4B013835B50}"/>
    <cellStyle name="Comma 4 7 7" xfId="2709" xr:uid="{00000000-0005-0000-0000-00007D0A0000}"/>
    <cellStyle name="Comma 4 7 8" xfId="2791" xr:uid="{00000000-0005-0000-0000-00007E0A0000}"/>
    <cellStyle name="Comma 4 7 8 2" xfId="7014" xr:uid="{00000000-0005-0000-0000-00007F0A0000}"/>
    <cellStyle name="Comma 4 7 8 2 2" xfId="23130" xr:uid="{BE4294EF-C641-4FD3-A465-9775B7444C51}"/>
    <cellStyle name="Comma 4 7 8 2 3" xfId="15509" xr:uid="{C719D8BB-2564-46BD-9395-73DBD1407C44}"/>
    <cellStyle name="Comma 4 7 8 3" xfId="18917" xr:uid="{A302BC40-2B2F-40DE-A9A8-9FF5C08BDEA4}"/>
    <cellStyle name="Comma 4 7 8 4" xfId="11296" xr:uid="{823396C0-5FEE-4CCE-893A-78F1DD001CF5}"/>
    <cellStyle name="Comma 4 7 9" xfId="4631" xr:uid="{00000000-0005-0000-0000-0000800A0000}"/>
    <cellStyle name="Comma 4 7 9 2" xfId="20748" xr:uid="{613A6D6D-132C-45BD-B872-0A99DBE40FB6}"/>
    <cellStyle name="Comma 4 7 9 3" xfId="13127" xr:uid="{5B7AEB1B-5BF3-4AE0-A3F0-E44051EC1C6D}"/>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24832" xr:uid="{A44CA1BD-B17F-4104-B1C1-27DAEF2577D8}"/>
    <cellStyle name="Currency 14 2 3" xfId="17211" xr:uid="{C9FA3C8A-2E75-41A5-AD9E-0A84BFD2C354}"/>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2 2" xfId="17230" xr:uid="{2BDF7201-5B65-43D6-998E-4C322864A6AC}"/>
    <cellStyle name="Currency 14 3 2 2 2 2 3" xfId="24848" xr:uid="{EB906524-4F85-4BED-9F82-3D5037D46A51}"/>
    <cellStyle name="Currency 14 3 2 2 2 2 4" xfId="17227" xr:uid="{7B7AE841-9C0E-4CD4-856D-D78F40F2D798}"/>
    <cellStyle name="Currency 14 3 2 2 2 3" xfId="24845" xr:uid="{3C880348-56FD-4D98-9D95-F0CB24562EA4}"/>
    <cellStyle name="Currency 14 3 2 2 2 4" xfId="17224" xr:uid="{C0A1AEAF-5E44-4AB0-B632-6C250D65118B}"/>
    <cellStyle name="Currency 14 3 2 2 3" xfId="24841" xr:uid="{921C7315-B031-461F-B32D-18AB8A6C169F}"/>
    <cellStyle name="Currency 14 3 2 2 4" xfId="17220" xr:uid="{E8D2BD70-FF7A-40B1-BB28-19D2C7E32842}"/>
    <cellStyle name="Currency 14 3 2 3" xfId="24838" xr:uid="{29108902-ED80-4BA5-875C-B73DC210CD3C}"/>
    <cellStyle name="Currency 14 3 2 4" xfId="17217" xr:uid="{B9613970-AEF6-42F5-9F79-F3F83FBAD285}"/>
    <cellStyle name="Currency 14 3 3" xfId="24835" xr:uid="{4BC583F4-7355-4CF2-B173-B1ED89FC058B}"/>
    <cellStyle name="Currency 14 3 4" xfId="17214" xr:uid="{95071314-3691-4263-AAC9-A6B3361E03C3}"/>
    <cellStyle name="Currency 14 4" xfId="20619" xr:uid="{C3960801-E059-46BD-B353-26AA215B4392}"/>
    <cellStyle name="Currency 14 5" xfId="12998" xr:uid="{261F3D21-0819-4C4C-8813-44C6EFD43FB5}"/>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23131" xr:uid="{7A460A24-346F-44CC-9827-49A40ED90A47}"/>
    <cellStyle name="Currency 3 2 2 10 2 3" xfId="15510" xr:uid="{C459DCD3-097E-40DE-AA2F-E4D6D17DA68D}"/>
    <cellStyle name="Currency 3 2 2 10 3" xfId="18918" xr:uid="{097A6462-9B67-41C5-B7D2-3D3B4D0ED3A0}"/>
    <cellStyle name="Currency 3 2 2 10 4" xfId="11297" xr:uid="{EA64504A-68AA-435D-9C00-95988127B61E}"/>
    <cellStyle name="Currency 3 2 2 11" xfId="4632" xr:uid="{00000000-0005-0000-0000-0000A50A0000}"/>
    <cellStyle name="Currency 3 2 2 11 2" xfId="20749" xr:uid="{60DD2ABA-D3A9-4D14-9ABC-37807C56E1AD}"/>
    <cellStyle name="Currency 3 2 2 11 3" xfId="13128" xr:uid="{E742B390-272F-42E7-A86C-80D330B9FA4B}"/>
    <cellStyle name="Currency 3 2 2 12" xfId="8808" xr:uid="{5CD24693-181E-456A-9199-DC057509AC96}"/>
    <cellStyle name="Currency 3 2 2 2" xfId="179" xr:uid="{00000000-0005-0000-0000-0000A60A0000}"/>
    <cellStyle name="Currency 3 2 2 2 10" xfId="4633" xr:uid="{00000000-0005-0000-0000-0000A70A0000}"/>
    <cellStyle name="Currency 3 2 2 2 10 2" xfId="20750" xr:uid="{222542E1-DFC8-48B3-AF33-A80BC19D6C8A}"/>
    <cellStyle name="Currency 3 2 2 2 10 3" xfId="13129" xr:uid="{CDB2C0E4-5A54-47EB-9421-CFEF2054D163}"/>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23309" xr:uid="{78924E42-1EB0-40C7-B207-700F968728AC}"/>
    <cellStyle name="Currency 3 2 2 2 2 2 2 2 3" xfId="15688" xr:uid="{A0CCA783-C187-4BEB-87DF-1A460D90754A}"/>
    <cellStyle name="Currency 3 2 2 2 2 2 2 3" xfId="19096" xr:uid="{69CD679A-3891-4CD4-BDC7-0087E596BFCD}"/>
    <cellStyle name="Currency 3 2 2 2 2 2 2 4" xfId="11475" xr:uid="{0E2DD6F3-2C00-4779-B177-2787B2D16773}"/>
    <cellStyle name="Currency 3 2 2 2 2 2 3" xfId="5048" xr:uid="{00000000-0005-0000-0000-0000AC0A0000}"/>
    <cellStyle name="Currency 3 2 2 2 2 2 3 2" xfId="21164" xr:uid="{78F176EB-BC64-41A9-AD42-CB30122CF400}"/>
    <cellStyle name="Currency 3 2 2 2 2 2 3 3" xfId="13543" xr:uid="{8FBB08E0-F122-4642-B85F-BF118B8D8669}"/>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23722" xr:uid="{2C9A8425-192F-4465-8D9B-3758B9594ACD}"/>
    <cellStyle name="Currency 3 2 2 2 2 3 2 2 3" xfId="16101" xr:uid="{F0DB5096-50F4-4049-AC8A-E5EC391934C0}"/>
    <cellStyle name="Currency 3 2 2 2 2 3 2 3" xfId="19509" xr:uid="{413DE7FE-1BB4-42B2-939D-17B7F9986002}"/>
    <cellStyle name="Currency 3 2 2 2 2 3 2 4" xfId="11888" xr:uid="{97635E32-411E-4BA7-85C8-C453F93D5175}"/>
    <cellStyle name="Currency 3 2 2 2 2 3 3" xfId="5461" xr:uid="{00000000-0005-0000-0000-0000B00A0000}"/>
    <cellStyle name="Currency 3 2 2 2 2 3 3 2" xfId="21577" xr:uid="{BF058E2E-B147-475C-936B-A67861B7B510}"/>
    <cellStyle name="Currency 3 2 2 2 2 3 3 3" xfId="13956" xr:uid="{AAD6EB4B-99EF-4B77-A9C2-8078115CD6E6}"/>
    <cellStyle name="Currency 3 2 2 2 2 3 4" xfId="17364" xr:uid="{14D11E11-B6ED-4701-801E-584D878DF615}"/>
    <cellStyle name="Currency 3 2 2 2 2 3 5" xfId="9743" xr:uid="{8BB53EA0-094C-4656-A32F-7697E1C7DEA2}"/>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24135" xr:uid="{950A602A-1913-4AC1-ADEA-49231E10741C}"/>
    <cellStyle name="Currency 3 2 2 2 2 4 2 2 3" xfId="16514" xr:uid="{AC0292DC-3906-4E99-84A0-3E0F238A2FFA}"/>
    <cellStyle name="Currency 3 2 2 2 2 4 2 3" xfId="19922" xr:uid="{CF0C11E8-1F7C-4943-B2B8-28AF6F0DFF34}"/>
    <cellStyle name="Currency 3 2 2 2 2 4 2 4" xfId="12301" xr:uid="{4139ED0A-1C83-4B27-BEF7-0097A6060986}"/>
    <cellStyle name="Currency 3 2 2 2 2 4 3" xfId="5874" xr:uid="{00000000-0005-0000-0000-0000B40A0000}"/>
    <cellStyle name="Currency 3 2 2 2 2 4 3 2" xfId="21990" xr:uid="{F1D4C692-1682-4B50-9178-21E2B3A043F3}"/>
    <cellStyle name="Currency 3 2 2 2 2 4 3 3" xfId="14369" xr:uid="{2389523F-53AB-4AE0-8AE6-99ABF38AAAA5}"/>
    <cellStyle name="Currency 3 2 2 2 2 4 4" xfId="17777" xr:uid="{6F5B3EDF-76AD-4A36-8F29-E30B0C2E0B75}"/>
    <cellStyle name="Currency 3 2 2 2 2 4 5" xfId="10156" xr:uid="{362F3811-72E0-4014-BFDE-CBD9EE8EFECB}"/>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24548" xr:uid="{EA0A6F63-F087-421F-B4D3-906D7F5379A0}"/>
    <cellStyle name="Currency 3 2 2 2 2 5 2 2 3" xfId="16927" xr:uid="{067FB2C5-92DE-480C-B3D2-A15DF4B9BB0F}"/>
    <cellStyle name="Currency 3 2 2 2 2 5 2 3" xfId="20335" xr:uid="{F910BA61-FEDD-43EA-A12F-23CF76028AB3}"/>
    <cellStyle name="Currency 3 2 2 2 2 5 2 4" xfId="12714" xr:uid="{675F4686-2866-432A-BD3B-ED813E74C811}"/>
    <cellStyle name="Currency 3 2 2 2 2 5 3" xfId="6287" xr:uid="{00000000-0005-0000-0000-0000B80A0000}"/>
    <cellStyle name="Currency 3 2 2 2 2 5 3 2" xfId="22403" xr:uid="{77EA8085-3ABA-4B51-B1F2-441263119A28}"/>
    <cellStyle name="Currency 3 2 2 2 2 5 3 3" xfId="14782" xr:uid="{37D2003F-2AEF-4D0F-9067-E7EC86D3EA0E}"/>
    <cellStyle name="Currency 3 2 2 2 2 5 4" xfId="18190" xr:uid="{97A96182-DFD9-4222-8A89-C7E37A21DC2C}"/>
    <cellStyle name="Currency 3 2 2 2 2 5 5" xfId="10569" xr:uid="{B264C529-5476-45B4-B0A2-31B8C74B8F78}"/>
    <cellStyle name="Currency 3 2 2 2 2 6" xfId="2416" xr:uid="{00000000-0005-0000-0000-0000B90A0000}"/>
    <cellStyle name="Currency 3 2 2 2 2 6 2" xfId="6700" xr:uid="{00000000-0005-0000-0000-0000BA0A0000}"/>
    <cellStyle name="Currency 3 2 2 2 2 6 2 2" xfId="22816" xr:uid="{B72BFA57-B7C2-4371-B90E-050909C16FA7}"/>
    <cellStyle name="Currency 3 2 2 2 2 6 2 3" xfId="15195" xr:uid="{6ABE68B7-AECE-4A2B-87CA-07DFAF73B1F5}"/>
    <cellStyle name="Currency 3 2 2 2 2 6 3" xfId="18603" xr:uid="{537D0678-F6F6-44E8-9C54-200788F325D2}"/>
    <cellStyle name="Currency 3 2 2 2 2 6 4" xfId="10982" xr:uid="{AFE869DE-2E74-43E2-8A20-E945CFB995EB}"/>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23133" xr:uid="{572254D9-B717-436C-AF9C-91CE2E5EB742}"/>
    <cellStyle name="Currency 3 2 2 2 2 8 2 3" xfId="15512" xr:uid="{00241D4F-9B5B-47D3-82E0-F5CD4A374E02}"/>
    <cellStyle name="Currency 3 2 2 2 2 8 3" xfId="18920" xr:uid="{54F79427-30A0-4C25-B8CD-CB588B3664AF}"/>
    <cellStyle name="Currency 3 2 2 2 2 8 4" xfId="11299" xr:uid="{A862FA89-2CBE-47C6-937C-A98DD1C91BCB}"/>
    <cellStyle name="Currency 3 2 2 2 2 9" xfId="4634" xr:uid="{00000000-0005-0000-0000-0000BE0A0000}"/>
    <cellStyle name="Currency 3 2 2 2 2 9 2" xfId="20751" xr:uid="{CDD559D6-4E9C-45AD-A594-392F9DF8ABDE}"/>
    <cellStyle name="Currency 3 2 2 2 2 9 3" xfId="13130" xr:uid="{BDF7ECCF-BEDC-4D2F-AB30-7795FADFA5A2}"/>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23308" xr:uid="{058FE0C4-CE6C-4807-99C3-0E915EFC2B97}"/>
    <cellStyle name="Currency 3 2 2 2 3 2 2 3" xfId="15687" xr:uid="{3DEF58E7-51F4-4145-8A40-CB9BA61E1561}"/>
    <cellStyle name="Currency 3 2 2 2 3 2 3" xfId="19095" xr:uid="{032EECB8-6404-45CC-86B4-EE7A6D2DC59D}"/>
    <cellStyle name="Currency 3 2 2 2 3 2 4" xfId="11474" xr:uid="{2A3DEBE6-2067-4D51-921D-38D9792A306A}"/>
    <cellStyle name="Currency 3 2 2 2 3 3" xfId="5047" xr:uid="{00000000-0005-0000-0000-0000C20A0000}"/>
    <cellStyle name="Currency 3 2 2 2 3 3 2" xfId="21163" xr:uid="{A5693857-669B-43E7-8ABC-23ED94CADB4C}"/>
    <cellStyle name="Currency 3 2 2 2 3 3 3" xfId="13542" xr:uid="{56186C6C-911C-45CD-9C7F-497B272BA7C3}"/>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23721" xr:uid="{8A2D92F6-0F9A-4D20-B45F-96894320C7C8}"/>
    <cellStyle name="Currency 3 2 2 2 4 2 2 3" xfId="16100" xr:uid="{EAFB8DA5-9499-4000-B60E-EBFFFB6A49B7}"/>
    <cellStyle name="Currency 3 2 2 2 4 2 3" xfId="19508" xr:uid="{AE403AFC-C8A2-4B81-806B-64FE5C1D2C61}"/>
    <cellStyle name="Currency 3 2 2 2 4 2 4" xfId="11887" xr:uid="{78F0349C-29B9-4713-9FAF-24E1863BCF04}"/>
    <cellStyle name="Currency 3 2 2 2 4 3" xfId="5460" xr:uid="{00000000-0005-0000-0000-0000C60A0000}"/>
    <cellStyle name="Currency 3 2 2 2 4 3 2" xfId="21576" xr:uid="{E567AEE7-1220-46C7-A559-862D7397D565}"/>
    <cellStyle name="Currency 3 2 2 2 4 3 3" xfId="13955" xr:uid="{757A099D-79C1-4FDB-97F0-A7E27637017D}"/>
    <cellStyle name="Currency 3 2 2 2 4 4" xfId="17363" xr:uid="{E66335E3-39F5-4417-8A1E-5957ADE9204B}"/>
    <cellStyle name="Currency 3 2 2 2 4 5" xfId="9742" xr:uid="{DEFB2ECA-BDBF-4CAA-9989-8041A474D508}"/>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24134" xr:uid="{FA9135B4-7344-4A37-991D-FA7A3E2F7294}"/>
    <cellStyle name="Currency 3 2 2 2 5 2 2 3" xfId="16513" xr:uid="{053F789B-C7D6-4A2B-94F4-37A83EE39466}"/>
    <cellStyle name="Currency 3 2 2 2 5 2 3" xfId="19921" xr:uid="{ED5CD847-8D88-48D5-A493-9747B04187B6}"/>
    <cellStyle name="Currency 3 2 2 2 5 2 4" xfId="12300" xr:uid="{189D4D39-E641-4558-93BE-8F01D1ECEB66}"/>
    <cellStyle name="Currency 3 2 2 2 5 3" xfId="5873" xr:uid="{00000000-0005-0000-0000-0000CA0A0000}"/>
    <cellStyle name="Currency 3 2 2 2 5 3 2" xfId="21989" xr:uid="{74773AB9-90FC-4380-80A0-4602B570EE1B}"/>
    <cellStyle name="Currency 3 2 2 2 5 3 3" xfId="14368" xr:uid="{7F57E54D-816D-484A-9FAC-FD9B625D6D92}"/>
    <cellStyle name="Currency 3 2 2 2 5 4" xfId="17776" xr:uid="{E8E9EF48-179A-457E-BF64-52D6AF37991E}"/>
    <cellStyle name="Currency 3 2 2 2 5 5" xfId="10155" xr:uid="{BE752E04-9B7D-4656-9FCA-269955FFE7BC}"/>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24547" xr:uid="{972DE36C-34CB-434C-9F9C-4FC3999BF77F}"/>
    <cellStyle name="Currency 3 2 2 2 6 2 2 3" xfId="16926" xr:uid="{1D9DF29C-CDCA-463D-9203-AE027FF73132}"/>
    <cellStyle name="Currency 3 2 2 2 6 2 3" xfId="20334" xr:uid="{0CC9D940-FBD8-40EF-BD0E-626CFA187806}"/>
    <cellStyle name="Currency 3 2 2 2 6 2 4" xfId="12713" xr:uid="{BC791139-C3DD-4DE6-9AB1-96F79CE5E99F}"/>
    <cellStyle name="Currency 3 2 2 2 6 3" xfId="6286" xr:uid="{00000000-0005-0000-0000-0000CE0A0000}"/>
    <cellStyle name="Currency 3 2 2 2 6 3 2" xfId="22402" xr:uid="{1846E6BD-8E94-408B-8B08-60181AC3E99E}"/>
    <cellStyle name="Currency 3 2 2 2 6 3 3" xfId="14781" xr:uid="{C3F73999-2391-4801-AD05-76C44BAC9209}"/>
    <cellStyle name="Currency 3 2 2 2 6 4" xfId="18189" xr:uid="{BAEAC547-C8B9-4819-B6C3-57DA6F9E7F2B}"/>
    <cellStyle name="Currency 3 2 2 2 6 5" xfId="10568" xr:uid="{E7A52D01-046E-40FB-982E-6CB9F70D557C}"/>
    <cellStyle name="Currency 3 2 2 2 7" xfId="2415" xr:uid="{00000000-0005-0000-0000-0000CF0A0000}"/>
    <cellStyle name="Currency 3 2 2 2 7 2" xfId="6699" xr:uid="{00000000-0005-0000-0000-0000D00A0000}"/>
    <cellStyle name="Currency 3 2 2 2 7 2 2" xfId="22815" xr:uid="{9652C311-07E8-4C69-B45C-C05E966A1CED}"/>
    <cellStyle name="Currency 3 2 2 2 7 2 3" xfId="15194" xr:uid="{19291E61-DD8F-43A2-84B7-CD64F97D913F}"/>
    <cellStyle name="Currency 3 2 2 2 7 3" xfId="18602" xr:uid="{ED4D4423-0C50-40EB-92D8-CA94D5E076B6}"/>
    <cellStyle name="Currency 3 2 2 2 7 4" xfId="10981" xr:uid="{75C43A14-BA77-42DC-987D-AF2BE0483E96}"/>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23132" xr:uid="{87E8C492-5407-46E4-B144-442A7F506ECC}"/>
    <cellStyle name="Currency 3 2 2 2 9 2 3" xfId="15511" xr:uid="{D5F7E009-C1D5-4204-BDA8-29333786A3DA}"/>
    <cellStyle name="Currency 3 2 2 2 9 3" xfId="18919" xr:uid="{51BB8FC8-914F-432E-8BF5-F9B8A2C066B6}"/>
    <cellStyle name="Currency 3 2 2 2 9 4" xfId="11298" xr:uid="{DEB202BA-2F9A-4745-93B5-10E745D9203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23310" xr:uid="{5F042FA7-0088-4FD7-A102-EFB402AD2DC3}"/>
    <cellStyle name="Currency 3 2 2 3 2 2 2 3" xfId="15689" xr:uid="{3A834B39-77DC-472C-BA5B-9BB3D2C35876}"/>
    <cellStyle name="Currency 3 2 2 3 2 2 3" xfId="19097" xr:uid="{87C9E098-83F0-4645-A6AB-17AA4D1AF609}"/>
    <cellStyle name="Currency 3 2 2 3 2 2 4" xfId="11476" xr:uid="{7DE6E7DA-6C82-47AE-A58B-EEF55632E6E9}"/>
    <cellStyle name="Currency 3 2 2 3 2 3" xfId="5049" xr:uid="{00000000-0005-0000-0000-0000D80A0000}"/>
    <cellStyle name="Currency 3 2 2 3 2 3 2" xfId="21165" xr:uid="{D97DF6D9-E71A-4071-B7C1-17A0A4A26B9A}"/>
    <cellStyle name="Currency 3 2 2 3 2 3 3" xfId="13544" xr:uid="{EE6AA2B8-0FDF-4077-B2A1-02A376A74DEB}"/>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23723" xr:uid="{078D63EE-FB40-4225-BC2D-F7969C176B48}"/>
    <cellStyle name="Currency 3 2 2 3 3 2 2 3" xfId="16102" xr:uid="{45AF2480-5870-4F2E-9D23-4AF731C39A19}"/>
    <cellStyle name="Currency 3 2 2 3 3 2 3" xfId="19510" xr:uid="{7E39670E-0A0D-4A50-B5BB-18BBA73470C9}"/>
    <cellStyle name="Currency 3 2 2 3 3 2 4" xfId="11889" xr:uid="{55705CBA-E7E3-433B-A70E-B1FAE5AAAB71}"/>
    <cellStyle name="Currency 3 2 2 3 3 3" xfId="5462" xr:uid="{00000000-0005-0000-0000-0000DC0A0000}"/>
    <cellStyle name="Currency 3 2 2 3 3 3 2" xfId="21578" xr:uid="{E563FC9F-EF6B-40AE-ACAE-E01C85232613}"/>
    <cellStyle name="Currency 3 2 2 3 3 3 3" xfId="13957" xr:uid="{DA1099A2-C9FC-47FE-A7C0-0D2E22B61614}"/>
    <cellStyle name="Currency 3 2 2 3 3 4" xfId="17365" xr:uid="{665CA61C-A234-421A-9043-C0BD22422513}"/>
    <cellStyle name="Currency 3 2 2 3 3 5" xfId="9744" xr:uid="{5810D09D-3BBF-4705-8BC5-9ABF67C0BAE5}"/>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24136" xr:uid="{5973221B-F51A-489C-9A51-04230C6831A0}"/>
    <cellStyle name="Currency 3 2 2 3 4 2 2 3" xfId="16515" xr:uid="{07BAA315-57AF-4A2A-961B-2DF5DB0AAED9}"/>
    <cellStyle name="Currency 3 2 2 3 4 2 3" xfId="19923" xr:uid="{638F4C44-A5FA-43FE-9181-84EE4DBD59A7}"/>
    <cellStyle name="Currency 3 2 2 3 4 2 4" xfId="12302" xr:uid="{F6802C00-255A-4B39-9D8B-F8576CDDBD8C}"/>
    <cellStyle name="Currency 3 2 2 3 4 3" xfId="5875" xr:uid="{00000000-0005-0000-0000-0000E00A0000}"/>
    <cellStyle name="Currency 3 2 2 3 4 3 2" xfId="21991" xr:uid="{A33148AB-0F0C-46E3-919D-CE8BA657BF74}"/>
    <cellStyle name="Currency 3 2 2 3 4 3 3" xfId="14370" xr:uid="{CF95AA6A-396E-481D-8795-F01521DDBFD2}"/>
    <cellStyle name="Currency 3 2 2 3 4 4" xfId="17778" xr:uid="{0189F3E4-865D-421D-ADAB-1EA65808A568}"/>
    <cellStyle name="Currency 3 2 2 3 4 5" xfId="10157" xr:uid="{25100DBE-CF52-4815-9F74-03BE8F28228F}"/>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24549" xr:uid="{19EF017D-B4D4-453D-9B0D-17757DB22218}"/>
    <cellStyle name="Currency 3 2 2 3 5 2 2 3" xfId="16928" xr:uid="{8360CB6F-DAC9-4CE1-9F09-51D0C3FF157F}"/>
    <cellStyle name="Currency 3 2 2 3 5 2 3" xfId="20336" xr:uid="{5BB13579-2568-4CF6-BCE1-BE71D751DF5E}"/>
    <cellStyle name="Currency 3 2 2 3 5 2 4" xfId="12715" xr:uid="{E7495187-A759-4622-B7AA-DDD6D48FFA9B}"/>
    <cellStyle name="Currency 3 2 2 3 5 3" xfId="6288" xr:uid="{00000000-0005-0000-0000-0000E40A0000}"/>
    <cellStyle name="Currency 3 2 2 3 5 3 2" xfId="22404" xr:uid="{DB71B14F-AE0C-4591-A786-48709BB0CB2D}"/>
    <cellStyle name="Currency 3 2 2 3 5 3 3" xfId="14783" xr:uid="{0A0DB570-B5D2-45F0-B6CF-900E895DB664}"/>
    <cellStyle name="Currency 3 2 2 3 5 4" xfId="18191" xr:uid="{C29247DC-6CA1-4A50-8C4F-309B1363C265}"/>
    <cellStyle name="Currency 3 2 2 3 5 5" xfId="10570" xr:uid="{D4F84A5C-70A8-45F3-A6BA-7D581283EAC6}"/>
    <cellStyle name="Currency 3 2 2 3 6" xfId="2417" xr:uid="{00000000-0005-0000-0000-0000E50A0000}"/>
    <cellStyle name="Currency 3 2 2 3 6 2" xfId="6701" xr:uid="{00000000-0005-0000-0000-0000E60A0000}"/>
    <cellStyle name="Currency 3 2 2 3 6 2 2" xfId="22817" xr:uid="{25CC6614-B978-445E-B24B-C6BEBDABEA74}"/>
    <cellStyle name="Currency 3 2 2 3 6 2 3" xfId="15196" xr:uid="{1B0192D1-93CB-4D29-B1A2-087F2AE73290}"/>
    <cellStyle name="Currency 3 2 2 3 6 3" xfId="18604" xr:uid="{20311425-AA82-4AC3-BD97-9A73344C0B38}"/>
    <cellStyle name="Currency 3 2 2 3 6 4" xfId="10983" xr:uid="{61E06F5C-11A4-4CF8-ACD1-64619C58FC0D}"/>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23134" xr:uid="{486E7710-7D39-402B-9461-31207185738F}"/>
    <cellStyle name="Currency 3 2 2 3 8 2 3" xfId="15513" xr:uid="{2C87CE12-0987-487A-920D-08150FEA160E}"/>
    <cellStyle name="Currency 3 2 2 3 8 3" xfId="18921" xr:uid="{3DDED78C-2492-4FA4-8DCF-4718B494B308}"/>
    <cellStyle name="Currency 3 2 2 3 8 4" xfId="11300" xr:uid="{5226BB6D-FE7A-44BB-917B-E237CE99D840}"/>
    <cellStyle name="Currency 3 2 2 3 9" xfId="4635" xr:uid="{00000000-0005-0000-0000-0000EA0A0000}"/>
    <cellStyle name="Currency 3 2 2 3 9 2" xfId="20752" xr:uid="{C36C6BB1-1A43-432B-A2B8-CA1CA5D1BD71}"/>
    <cellStyle name="Currency 3 2 2 3 9 3" xfId="13131" xr:uid="{13010B73-8714-4C29-B3C0-B4DFDF238E8A}"/>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23307" xr:uid="{3C68434F-EED2-428C-92F6-F25455733F13}"/>
    <cellStyle name="Currency 3 2 2 4 2 2 3" xfId="15686" xr:uid="{23505E65-D9DC-4E38-A3BB-9BD2D725780E}"/>
    <cellStyle name="Currency 3 2 2 4 2 3" xfId="19094" xr:uid="{74EFAE65-1190-487C-90B4-760EDB83F333}"/>
    <cellStyle name="Currency 3 2 2 4 2 4" xfId="11473" xr:uid="{ECF7C3D7-A929-4674-AE38-68D153C1AC4F}"/>
    <cellStyle name="Currency 3 2 2 4 3" xfId="5046" xr:uid="{00000000-0005-0000-0000-0000EE0A0000}"/>
    <cellStyle name="Currency 3 2 2 4 3 2" xfId="21162" xr:uid="{FFE608FA-24B4-4624-B447-B33733A4B19F}"/>
    <cellStyle name="Currency 3 2 2 4 3 3" xfId="13541" xr:uid="{802FDFF8-ED31-486D-8E20-99F43A6832F4}"/>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23720" xr:uid="{EDC84BEC-60D0-4A2A-95DC-1B67B2A20EAD}"/>
    <cellStyle name="Currency 3 2 2 5 2 2 3" xfId="16099" xr:uid="{740C0966-92AF-4A90-B43B-DE13AFD01F19}"/>
    <cellStyle name="Currency 3 2 2 5 2 3" xfId="19507" xr:uid="{14D77410-D5AC-4868-904D-570B0E583FAF}"/>
    <cellStyle name="Currency 3 2 2 5 2 4" xfId="11886" xr:uid="{81DC094A-5F4D-47F9-8413-9A0110833731}"/>
    <cellStyle name="Currency 3 2 2 5 3" xfId="5459" xr:uid="{00000000-0005-0000-0000-0000F20A0000}"/>
    <cellStyle name="Currency 3 2 2 5 3 2" xfId="21575" xr:uid="{16230DF1-2BE5-4E31-BA15-4983F0895CEE}"/>
    <cellStyle name="Currency 3 2 2 5 3 3" xfId="13954" xr:uid="{2C65E9B0-093A-4A3C-A702-D43DD90C97AE}"/>
    <cellStyle name="Currency 3 2 2 5 4" xfId="17362" xr:uid="{E7437DDC-EDFE-4E60-9D64-86F2D249865E}"/>
    <cellStyle name="Currency 3 2 2 5 5" xfId="9741" xr:uid="{FB2732DC-9AC8-4384-A885-B72C82E22732}"/>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24133" xr:uid="{6A422A2D-6A6D-42D6-90CA-E2D6D4F86EE3}"/>
    <cellStyle name="Currency 3 2 2 6 2 2 3" xfId="16512" xr:uid="{CFCA6076-6525-44B6-A562-C1D6CC2D2B16}"/>
    <cellStyle name="Currency 3 2 2 6 2 3" xfId="19920" xr:uid="{443965F3-7BA4-45F6-9CE8-FF6BEABD2DC9}"/>
    <cellStyle name="Currency 3 2 2 6 2 4" xfId="12299" xr:uid="{563AF69A-94B7-4DF8-BABC-6457A88A84B8}"/>
    <cellStyle name="Currency 3 2 2 6 3" xfId="5872" xr:uid="{00000000-0005-0000-0000-0000F60A0000}"/>
    <cellStyle name="Currency 3 2 2 6 3 2" xfId="21988" xr:uid="{2D7A41C5-9AED-43FE-A7D4-C8EA230A8AF3}"/>
    <cellStyle name="Currency 3 2 2 6 3 3" xfId="14367" xr:uid="{AB792F61-707B-4C5D-AB57-BBE7692801D5}"/>
    <cellStyle name="Currency 3 2 2 6 4" xfId="17775" xr:uid="{594DE1DD-5911-4006-B936-A3C2E47F64F6}"/>
    <cellStyle name="Currency 3 2 2 6 5" xfId="10154" xr:uid="{02A821DB-0DDF-4427-88D5-9682D37C5022}"/>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24546" xr:uid="{2AA5DED6-5B52-43BA-A4B4-0F11FA1A057E}"/>
    <cellStyle name="Currency 3 2 2 7 2 2 3" xfId="16925" xr:uid="{17D68844-169B-48C5-9DA5-3E7AE632D1DC}"/>
    <cellStyle name="Currency 3 2 2 7 2 3" xfId="20333" xr:uid="{D1118BB7-2A67-4CDB-B9D5-CAA7F12EE68E}"/>
    <cellStyle name="Currency 3 2 2 7 2 4" xfId="12712" xr:uid="{69FF70CD-D22C-4700-B17A-149D30A8E5A3}"/>
    <cellStyle name="Currency 3 2 2 7 3" xfId="6285" xr:uid="{00000000-0005-0000-0000-0000FA0A0000}"/>
    <cellStyle name="Currency 3 2 2 7 3 2" xfId="22401" xr:uid="{F2E142BA-A0F9-4234-A958-6C3A87EC8147}"/>
    <cellStyle name="Currency 3 2 2 7 3 3" xfId="14780" xr:uid="{22695780-9EB0-4185-8B50-6672A25F6124}"/>
    <cellStyle name="Currency 3 2 2 7 4" xfId="18188" xr:uid="{4C534378-9596-4317-99FB-F3C82884E1A7}"/>
    <cellStyle name="Currency 3 2 2 7 5" xfId="10567" xr:uid="{F0BFD432-CEFA-4272-AF42-FA4A58EADB83}"/>
    <cellStyle name="Currency 3 2 2 8" xfId="2414" xr:uid="{00000000-0005-0000-0000-0000FB0A0000}"/>
    <cellStyle name="Currency 3 2 2 8 2" xfId="6698" xr:uid="{00000000-0005-0000-0000-0000FC0A0000}"/>
    <cellStyle name="Currency 3 2 2 8 2 2" xfId="22814" xr:uid="{B30D1063-B5FE-47E1-9F61-A3F5FE104775}"/>
    <cellStyle name="Currency 3 2 2 8 2 3" xfId="15193" xr:uid="{0F9D429B-2C4C-41C1-9B48-9F50ADE7259F}"/>
    <cellStyle name="Currency 3 2 2 8 3" xfId="18601" xr:uid="{E763DE81-CB2A-43DA-8207-BE2AD4E93FCE}"/>
    <cellStyle name="Currency 3 2 2 8 4" xfId="10980" xr:uid="{0BB9BA8E-2376-4C54-A6C7-3AC1387FB366}"/>
    <cellStyle name="Currency 3 2 2 9" xfId="2711" xr:uid="{00000000-0005-0000-0000-0000FD0A0000}"/>
    <cellStyle name="Currency 3 2 3" xfId="182" xr:uid="{00000000-0005-0000-0000-0000FE0A0000}"/>
    <cellStyle name="Currency 3 2 3 10" xfId="4636" xr:uid="{00000000-0005-0000-0000-0000FF0A0000}"/>
    <cellStyle name="Currency 3 2 3 10 2" xfId="20753" xr:uid="{B3722F79-B7A7-4916-88B1-3CD3ED298894}"/>
    <cellStyle name="Currency 3 2 3 10 3" xfId="13132" xr:uid="{D3554197-DD7C-4FA1-A0A3-75449A585E3A}"/>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23312" xr:uid="{43E64D4F-D374-4C05-B9C7-3B5F29E65698}"/>
    <cellStyle name="Currency 3 2 3 2 2 2 2 3" xfId="15691" xr:uid="{08A3F756-C6D7-444A-86E1-A98F86A09D05}"/>
    <cellStyle name="Currency 3 2 3 2 2 2 3" xfId="19099" xr:uid="{A27FF2FF-703A-4D80-8193-417EDB0ED6E3}"/>
    <cellStyle name="Currency 3 2 3 2 2 2 4" xfId="11478" xr:uid="{67C261F9-1D1D-4D4E-8295-936119E55D21}"/>
    <cellStyle name="Currency 3 2 3 2 2 3" xfId="5051" xr:uid="{00000000-0005-0000-0000-0000040B0000}"/>
    <cellStyle name="Currency 3 2 3 2 2 3 2" xfId="21167" xr:uid="{19CFCFA3-8E84-4E01-ACCE-7C84164242F2}"/>
    <cellStyle name="Currency 3 2 3 2 2 3 3" xfId="13546" xr:uid="{360B9D7B-668E-468F-8F66-3164120A9067}"/>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23725" xr:uid="{D053863A-B8D4-4978-BCAF-477A46075F38}"/>
    <cellStyle name="Currency 3 2 3 2 3 2 2 3" xfId="16104" xr:uid="{93B83C4D-8999-44CF-AA23-2F1E6F5D0129}"/>
    <cellStyle name="Currency 3 2 3 2 3 2 3" xfId="19512" xr:uid="{A7C0CC5B-074C-4C5E-81D7-123A244B86FC}"/>
    <cellStyle name="Currency 3 2 3 2 3 2 4" xfId="11891" xr:uid="{96AF770F-4756-4E79-B48C-F5075018AC97}"/>
    <cellStyle name="Currency 3 2 3 2 3 3" xfId="5464" xr:uid="{00000000-0005-0000-0000-0000080B0000}"/>
    <cellStyle name="Currency 3 2 3 2 3 3 2" xfId="21580" xr:uid="{D1837A10-87EB-4834-B757-0147C46EC094}"/>
    <cellStyle name="Currency 3 2 3 2 3 3 3" xfId="13959" xr:uid="{A321725B-CE62-4DC9-AED3-1CFE2948D398}"/>
    <cellStyle name="Currency 3 2 3 2 3 4" xfId="17367" xr:uid="{8B1EF8F0-5939-4F92-A504-579FE57518B5}"/>
    <cellStyle name="Currency 3 2 3 2 3 5" xfId="9746" xr:uid="{6BC181B6-B36E-401F-A649-0638CD78D801}"/>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24138" xr:uid="{7A4AEEE0-7DA4-4C66-8719-08521B270B29}"/>
    <cellStyle name="Currency 3 2 3 2 4 2 2 3" xfId="16517" xr:uid="{9FFEC9FA-107F-4BB0-B7CC-759E167FB8ED}"/>
    <cellStyle name="Currency 3 2 3 2 4 2 3" xfId="19925" xr:uid="{EDEE72DB-3412-4CDD-ABC6-A8245B3FC850}"/>
    <cellStyle name="Currency 3 2 3 2 4 2 4" xfId="12304" xr:uid="{D16DFB0A-139B-4E90-BBF3-BA58369C1A13}"/>
    <cellStyle name="Currency 3 2 3 2 4 3" xfId="5877" xr:uid="{00000000-0005-0000-0000-00000C0B0000}"/>
    <cellStyle name="Currency 3 2 3 2 4 3 2" xfId="21993" xr:uid="{5D5CF22E-BD8C-49F0-AF5F-6E600DE98A92}"/>
    <cellStyle name="Currency 3 2 3 2 4 3 3" xfId="14372" xr:uid="{D7011E82-B32A-4070-AA9A-F09314025BF8}"/>
    <cellStyle name="Currency 3 2 3 2 4 4" xfId="17780" xr:uid="{912EA617-0537-4208-BAEE-3C9575B7B0D7}"/>
    <cellStyle name="Currency 3 2 3 2 4 5" xfId="10159" xr:uid="{4077C29A-CDB0-4DE7-AD8E-868C8F5757CF}"/>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24551" xr:uid="{26BF060D-FAFB-4135-8563-25AF040B8138}"/>
    <cellStyle name="Currency 3 2 3 2 5 2 2 3" xfId="16930" xr:uid="{6D0B6D83-14E3-4709-9279-FDE2ADA6A158}"/>
    <cellStyle name="Currency 3 2 3 2 5 2 3" xfId="20338" xr:uid="{74CC1495-DB14-4684-8AFB-88279593FC61}"/>
    <cellStyle name="Currency 3 2 3 2 5 2 4" xfId="12717" xr:uid="{735CB1E1-C76F-4EE2-A25A-7BBCCB371B3C}"/>
    <cellStyle name="Currency 3 2 3 2 5 3" xfId="6290" xr:uid="{00000000-0005-0000-0000-0000100B0000}"/>
    <cellStyle name="Currency 3 2 3 2 5 3 2" xfId="22406" xr:uid="{FE3C0125-BB7F-40D4-BDB2-6DB7BDBA6CE1}"/>
    <cellStyle name="Currency 3 2 3 2 5 3 3" xfId="14785" xr:uid="{9ADAFEB7-B7A1-4EB1-881E-71F842FB6749}"/>
    <cellStyle name="Currency 3 2 3 2 5 4" xfId="18193" xr:uid="{C771BC36-51C8-4314-A3C3-B6B52313C495}"/>
    <cellStyle name="Currency 3 2 3 2 5 5" xfId="10572" xr:uid="{61F9DE0E-0FB0-486C-AE7F-834713DE61B2}"/>
    <cellStyle name="Currency 3 2 3 2 6" xfId="2419" xr:uid="{00000000-0005-0000-0000-0000110B0000}"/>
    <cellStyle name="Currency 3 2 3 2 6 2" xfId="6703" xr:uid="{00000000-0005-0000-0000-0000120B0000}"/>
    <cellStyle name="Currency 3 2 3 2 6 2 2" xfId="22819" xr:uid="{C2A694CF-1BE3-493E-B7B4-747459A84F80}"/>
    <cellStyle name="Currency 3 2 3 2 6 2 3" xfId="15198" xr:uid="{2CD73A26-2EC8-4686-A270-E90B48572005}"/>
    <cellStyle name="Currency 3 2 3 2 6 3" xfId="18606" xr:uid="{D9CFCB15-1EB8-4AB3-BABD-73AD2980ABA5}"/>
    <cellStyle name="Currency 3 2 3 2 6 4" xfId="10985" xr:uid="{C62080AE-D448-44EF-8211-25D33FD2A094}"/>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23136" xr:uid="{B8A814FD-FEC0-49E2-900E-4F93530B751A}"/>
    <cellStyle name="Currency 3 2 3 2 8 2 3" xfId="15515" xr:uid="{D1273297-16BB-4E32-A9D2-1F7BD33BF02D}"/>
    <cellStyle name="Currency 3 2 3 2 8 3" xfId="18923" xr:uid="{0A8B071D-CC03-4165-8D7C-5404C9057369}"/>
    <cellStyle name="Currency 3 2 3 2 8 4" xfId="11302" xr:uid="{35A63615-6AC8-4130-871B-D5753C53E43E}"/>
    <cellStyle name="Currency 3 2 3 2 9" xfId="4637" xr:uid="{00000000-0005-0000-0000-0000160B0000}"/>
    <cellStyle name="Currency 3 2 3 2 9 2" xfId="20754" xr:uid="{A618D8AD-70DE-430F-B50D-13DCFC9EDBDD}"/>
    <cellStyle name="Currency 3 2 3 2 9 3" xfId="13133" xr:uid="{5A8C5B86-03AC-4777-A8EB-E9599B3B1DFD}"/>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23311" xr:uid="{E2E56007-0A91-4285-B673-BE8448ADFD43}"/>
    <cellStyle name="Currency 3 2 3 3 2 2 3" xfId="15690" xr:uid="{C14AEFC4-04E8-4678-93DE-7AEA0ABD6167}"/>
    <cellStyle name="Currency 3 2 3 3 2 3" xfId="19098" xr:uid="{EFE254FA-7A70-433E-AF5A-0B1791CC5A6E}"/>
    <cellStyle name="Currency 3 2 3 3 2 4" xfId="11477" xr:uid="{ADCCEF28-7FD6-4EA0-91B2-5182B57771BC}"/>
    <cellStyle name="Currency 3 2 3 3 3" xfId="5050" xr:uid="{00000000-0005-0000-0000-00001A0B0000}"/>
    <cellStyle name="Currency 3 2 3 3 3 2" xfId="21166" xr:uid="{4F596D5C-2918-4D1D-A5C0-D9CDF53430E7}"/>
    <cellStyle name="Currency 3 2 3 3 3 3" xfId="13545" xr:uid="{88D0D8FC-BED9-4634-ADA4-0A9F5212B2DF}"/>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23724" xr:uid="{020E8CF8-6960-421B-8D41-309338124D8E}"/>
    <cellStyle name="Currency 3 2 3 4 2 2 3" xfId="16103" xr:uid="{A3BAD184-F15B-4A3C-B0C3-A13681973C54}"/>
    <cellStyle name="Currency 3 2 3 4 2 3" xfId="19511" xr:uid="{48B86309-1870-4727-9FE6-9B04C4E95DEA}"/>
    <cellStyle name="Currency 3 2 3 4 2 4" xfId="11890" xr:uid="{52954AE9-B4C7-464B-B3E5-B3B860057848}"/>
    <cellStyle name="Currency 3 2 3 4 3" xfId="5463" xr:uid="{00000000-0005-0000-0000-00001E0B0000}"/>
    <cellStyle name="Currency 3 2 3 4 3 2" xfId="21579" xr:uid="{5D55C31A-44B2-4E98-B5C1-AACA5E1802B7}"/>
    <cellStyle name="Currency 3 2 3 4 3 3" xfId="13958" xr:uid="{11979D07-0DF0-4FD9-81B0-909D1D2242C9}"/>
    <cellStyle name="Currency 3 2 3 4 4" xfId="17366" xr:uid="{25D58073-F119-431C-81A4-4AD7167E8359}"/>
    <cellStyle name="Currency 3 2 3 4 5" xfId="9745" xr:uid="{348C03A0-D564-4C14-9378-E171979E20CB}"/>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24137" xr:uid="{22CA19B8-5DFF-438D-8EFB-F615C052F340}"/>
    <cellStyle name="Currency 3 2 3 5 2 2 3" xfId="16516" xr:uid="{AB6F5B3E-AE87-4C96-82EB-2B9AC152C456}"/>
    <cellStyle name="Currency 3 2 3 5 2 3" xfId="19924" xr:uid="{BC4932AF-F023-406D-A31F-8EFCAC645692}"/>
    <cellStyle name="Currency 3 2 3 5 2 4" xfId="12303" xr:uid="{0CB42B0B-B2BD-4B4E-80D8-9E5A96E08217}"/>
    <cellStyle name="Currency 3 2 3 5 3" xfId="5876" xr:uid="{00000000-0005-0000-0000-0000220B0000}"/>
    <cellStyle name="Currency 3 2 3 5 3 2" xfId="21992" xr:uid="{0B5136E4-6808-4A9C-86D5-17FD5CB742FC}"/>
    <cellStyle name="Currency 3 2 3 5 3 3" xfId="14371" xr:uid="{352033B3-C2FF-4731-B20B-E6C62001DD08}"/>
    <cellStyle name="Currency 3 2 3 5 4" xfId="17779" xr:uid="{FDE68213-7C39-4F80-A259-B0262C073B30}"/>
    <cellStyle name="Currency 3 2 3 5 5" xfId="10158" xr:uid="{59E86519-A2AD-4FFE-A824-E1E8D94A935C}"/>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24550" xr:uid="{AA1ED989-A98F-42D5-9ACB-343E9225D1B2}"/>
    <cellStyle name="Currency 3 2 3 6 2 2 3" xfId="16929" xr:uid="{C724B103-C624-4AF4-9081-698FC50CB4BA}"/>
    <cellStyle name="Currency 3 2 3 6 2 3" xfId="20337" xr:uid="{D597F7C4-6AB6-49A9-B5C6-8149A774CE1B}"/>
    <cellStyle name="Currency 3 2 3 6 2 4" xfId="12716" xr:uid="{324F67DC-1F32-42E8-9795-422D7DC2DEA2}"/>
    <cellStyle name="Currency 3 2 3 6 3" xfId="6289" xr:uid="{00000000-0005-0000-0000-0000260B0000}"/>
    <cellStyle name="Currency 3 2 3 6 3 2" xfId="22405" xr:uid="{B5ED7DB5-FE85-45E1-96BD-17AB09225CB4}"/>
    <cellStyle name="Currency 3 2 3 6 3 3" xfId="14784" xr:uid="{DF32607D-7733-44CD-8448-EB9A184C4941}"/>
    <cellStyle name="Currency 3 2 3 6 4" xfId="18192" xr:uid="{BC54A7B4-670C-47F4-844F-213EBA1C2453}"/>
    <cellStyle name="Currency 3 2 3 6 5" xfId="10571" xr:uid="{F77F722F-86DD-4A25-9F26-1C1A4C1EC53E}"/>
    <cellStyle name="Currency 3 2 3 7" xfId="2418" xr:uid="{00000000-0005-0000-0000-0000270B0000}"/>
    <cellStyle name="Currency 3 2 3 7 2" xfId="6702" xr:uid="{00000000-0005-0000-0000-0000280B0000}"/>
    <cellStyle name="Currency 3 2 3 7 2 2" xfId="22818" xr:uid="{2A486701-EB5D-4AE5-B2B6-94D49868D557}"/>
    <cellStyle name="Currency 3 2 3 7 2 3" xfId="15197" xr:uid="{F6AB2826-FBF6-4137-9C98-8E5406B4DA76}"/>
    <cellStyle name="Currency 3 2 3 7 3" xfId="18605" xr:uid="{D30F8F1F-5DF7-4C9C-B4EC-F3E83D3A8FB7}"/>
    <cellStyle name="Currency 3 2 3 7 4" xfId="10984" xr:uid="{026D505F-377E-47E3-B5EF-1917A0938F6C}"/>
    <cellStyle name="Currency 3 2 3 8" xfId="2715" xr:uid="{00000000-0005-0000-0000-0000290B0000}"/>
    <cellStyle name="Currency 3 2 3 9" xfId="2796" xr:uid="{00000000-0005-0000-0000-00002A0B0000}"/>
    <cellStyle name="Currency 3 2 3 9 2" xfId="7019" xr:uid="{00000000-0005-0000-0000-00002B0B0000}"/>
    <cellStyle name="Currency 3 2 3 9 2 2" xfId="23135" xr:uid="{1454EFDF-3240-4702-AAB4-82482F683078}"/>
    <cellStyle name="Currency 3 2 3 9 2 3" xfId="15514" xr:uid="{8CECBD98-1B5E-42A3-9FCE-77F3AB101C97}"/>
    <cellStyle name="Currency 3 2 3 9 3" xfId="18922" xr:uid="{9C6B8626-ADD2-4866-BDD9-B0FD5535B5F1}"/>
    <cellStyle name="Currency 3 2 3 9 4" xfId="11301" xr:uid="{5674C1ED-98C1-413D-A544-2FC5A05EBBE3}"/>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23313" xr:uid="{5D86D957-5514-4C2D-A655-0BF10EAD9A1D}"/>
    <cellStyle name="Currency 3 2 4 2 2 2 3" xfId="15692" xr:uid="{4734D732-16F2-4845-8A94-C78D79FD4F77}"/>
    <cellStyle name="Currency 3 2 4 2 2 3" xfId="19100" xr:uid="{896A9656-2841-4AA4-838D-6BD78CF1B609}"/>
    <cellStyle name="Currency 3 2 4 2 2 4" xfId="11479" xr:uid="{E0F63337-0090-4AD5-9EBB-A2D661ABD7F0}"/>
    <cellStyle name="Currency 3 2 4 2 3" xfId="5052" xr:uid="{00000000-0005-0000-0000-0000300B0000}"/>
    <cellStyle name="Currency 3 2 4 2 3 2" xfId="21168" xr:uid="{AA451A1F-9732-40FA-8B82-237D65119ADF}"/>
    <cellStyle name="Currency 3 2 4 2 3 3" xfId="13547" xr:uid="{5CE8AE74-778A-4E25-90E3-F28668A1DB77}"/>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23726" xr:uid="{B4FD07D0-793F-4F0D-A9A3-2DBE3F696C03}"/>
    <cellStyle name="Currency 3 2 4 3 2 2 3" xfId="16105" xr:uid="{386E6978-34D4-4A85-AB28-6A9BA58FD51A}"/>
    <cellStyle name="Currency 3 2 4 3 2 3" xfId="19513" xr:uid="{D623EC79-92D0-4125-B610-2D719C699AFA}"/>
    <cellStyle name="Currency 3 2 4 3 2 4" xfId="11892" xr:uid="{D9B89CF4-94F9-45AA-92B5-1722E7FCCB32}"/>
    <cellStyle name="Currency 3 2 4 3 3" xfId="5465" xr:uid="{00000000-0005-0000-0000-0000340B0000}"/>
    <cellStyle name="Currency 3 2 4 3 3 2" xfId="21581" xr:uid="{16364505-6D4C-4C2F-8C7E-E97E08208DB9}"/>
    <cellStyle name="Currency 3 2 4 3 3 3" xfId="13960" xr:uid="{E5EBFA62-DE73-425B-878B-474C038E6051}"/>
    <cellStyle name="Currency 3 2 4 3 4" xfId="17368" xr:uid="{61271E0D-7E4F-45D0-813F-ECD6821313F4}"/>
    <cellStyle name="Currency 3 2 4 3 5" xfId="9747" xr:uid="{BA75DDFC-2D71-41AE-AD15-0D1431F06980}"/>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24139" xr:uid="{7E30B7A1-662E-4CB4-B884-D9AB9C57ABCC}"/>
    <cellStyle name="Currency 3 2 4 4 2 2 3" xfId="16518" xr:uid="{88C5E191-44A7-49F8-9A5B-AB039230B120}"/>
    <cellStyle name="Currency 3 2 4 4 2 3" xfId="19926" xr:uid="{01BD451F-AAAD-406A-9E86-7D9A5D546244}"/>
    <cellStyle name="Currency 3 2 4 4 2 4" xfId="12305" xr:uid="{335E1284-024B-467E-BF3B-AFB3F22B3829}"/>
    <cellStyle name="Currency 3 2 4 4 3" xfId="5878" xr:uid="{00000000-0005-0000-0000-0000380B0000}"/>
    <cellStyle name="Currency 3 2 4 4 3 2" xfId="21994" xr:uid="{AFF6CA22-63B4-45A2-842C-74B7D35C37F9}"/>
    <cellStyle name="Currency 3 2 4 4 3 3" xfId="14373" xr:uid="{9050E8A9-38DC-4C79-9164-C81350AD4126}"/>
    <cellStyle name="Currency 3 2 4 4 4" xfId="17781" xr:uid="{A24F70D6-6AF9-4116-B1A0-333B9B1F46DE}"/>
    <cellStyle name="Currency 3 2 4 4 5" xfId="10160" xr:uid="{A6A424E3-C115-4A0D-857B-77558879D16D}"/>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24552" xr:uid="{434F26AB-610F-435C-B0FF-BCA30FAD81DE}"/>
    <cellStyle name="Currency 3 2 4 5 2 2 3" xfId="16931" xr:uid="{6A4BCFE2-5F7C-41EB-9A62-476FCD089596}"/>
    <cellStyle name="Currency 3 2 4 5 2 3" xfId="20339" xr:uid="{06798758-2B1A-418F-AA9F-095CFFE2B2CD}"/>
    <cellStyle name="Currency 3 2 4 5 2 4" xfId="12718" xr:uid="{F01D7617-6B4A-4FF3-91CE-EE3C6C9FD03F}"/>
    <cellStyle name="Currency 3 2 4 5 3" xfId="6291" xr:uid="{00000000-0005-0000-0000-00003C0B0000}"/>
    <cellStyle name="Currency 3 2 4 5 3 2" xfId="22407" xr:uid="{2D87F1A8-70FF-42D6-9ED7-AADBA7E72751}"/>
    <cellStyle name="Currency 3 2 4 5 3 3" xfId="14786" xr:uid="{44BB6839-BFDA-4E3F-97F3-7FD33465A1FE}"/>
    <cellStyle name="Currency 3 2 4 5 4" xfId="18194" xr:uid="{49B07892-5E2B-4FA8-BBCE-6A8FA8E0549D}"/>
    <cellStyle name="Currency 3 2 4 5 5" xfId="10573" xr:uid="{D45CC6A1-8F42-441F-B907-DE53C8425B28}"/>
    <cellStyle name="Currency 3 2 4 6" xfId="2420" xr:uid="{00000000-0005-0000-0000-00003D0B0000}"/>
    <cellStyle name="Currency 3 2 4 6 2" xfId="6704" xr:uid="{00000000-0005-0000-0000-00003E0B0000}"/>
    <cellStyle name="Currency 3 2 4 6 2 2" xfId="22820" xr:uid="{ABEF4F73-36BE-46F2-8EC5-362C5E1F655E}"/>
    <cellStyle name="Currency 3 2 4 6 2 3" xfId="15199" xr:uid="{9160A103-9D2F-41B4-A815-AB11B91C15B9}"/>
    <cellStyle name="Currency 3 2 4 6 3" xfId="18607" xr:uid="{868F399E-0DF7-4300-A653-8AB3CC43C6C2}"/>
    <cellStyle name="Currency 3 2 4 6 4" xfId="10986" xr:uid="{890C4D84-6D18-4FDA-BE90-17C573CD3FDB}"/>
    <cellStyle name="Currency 3 2 4 7" xfId="2717" xr:uid="{00000000-0005-0000-0000-00003F0B0000}"/>
    <cellStyle name="Currency 3 2 4 8" xfId="2798" xr:uid="{00000000-0005-0000-0000-0000400B0000}"/>
    <cellStyle name="Currency 3 2 4 8 2" xfId="7021" xr:uid="{00000000-0005-0000-0000-0000410B0000}"/>
    <cellStyle name="Currency 3 2 4 8 2 2" xfId="23137" xr:uid="{C895CEC7-C936-4CF9-B06F-7E1A3F83A3EB}"/>
    <cellStyle name="Currency 3 2 4 8 2 3" xfId="15516" xr:uid="{F2B7D064-DC10-41F6-8129-DD3717DA2445}"/>
    <cellStyle name="Currency 3 2 4 8 3" xfId="18924" xr:uid="{E6302EC8-8AD5-4390-B9D8-C0D91E36465D}"/>
    <cellStyle name="Currency 3 2 4 8 4" xfId="11303" xr:uid="{0D23A99F-9661-4204-84EB-B18226D21548}"/>
    <cellStyle name="Currency 3 2 4 9" xfId="4638" xr:uid="{00000000-0005-0000-0000-0000420B0000}"/>
    <cellStyle name="Currency 3 2 4 9 2" xfId="20755" xr:uid="{7252C858-162C-4C71-A705-3D382A13219C}"/>
    <cellStyle name="Currency 3 2 4 9 3" xfId="13134" xr:uid="{5081B265-8E4D-4F7D-89C8-0FA3F885E51A}"/>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23314" xr:uid="{71E1F6AD-9D09-4EEF-A30D-9D6789E6A100}"/>
    <cellStyle name="Currency 3 2 5 2 2 2 3" xfId="15693" xr:uid="{3014D04B-20D1-4211-9557-32C7127E9EB2}"/>
    <cellStyle name="Currency 3 2 5 2 2 3" xfId="19101" xr:uid="{F39EA4E9-C378-4ABD-8193-3278EE372392}"/>
    <cellStyle name="Currency 3 2 5 2 2 4" xfId="11480" xr:uid="{A66518DD-7C53-48A2-8B49-B2BD83203786}"/>
    <cellStyle name="Currency 3 2 5 2 3" xfId="5053" xr:uid="{00000000-0005-0000-0000-0000470B0000}"/>
    <cellStyle name="Currency 3 2 5 2 3 2" xfId="21169" xr:uid="{E3C3C691-D98A-46D5-BE1C-541B578AC490}"/>
    <cellStyle name="Currency 3 2 5 2 3 3" xfId="13548" xr:uid="{AD21200E-4728-4BFC-923E-4A8065D6A9DB}"/>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23727" xr:uid="{B05624DE-F062-4297-B108-BBBE53630AD5}"/>
    <cellStyle name="Currency 3 2 5 3 2 2 3" xfId="16106" xr:uid="{C2F6FE31-0222-4394-A4CA-FB4707D93952}"/>
    <cellStyle name="Currency 3 2 5 3 2 3" xfId="19514" xr:uid="{AB00FAAF-9896-4B31-9AF3-67FA513561B8}"/>
    <cellStyle name="Currency 3 2 5 3 2 4" xfId="11893" xr:uid="{887353C8-9AF2-4A5A-B038-432736D944E1}"/>
    <cellStyle name="Currency 3 2 5 3 3" xfId="5466" xr:uid="{00000000-0005-0000-0000-00004B0B0000}"/>
    <cellStyle name="Currency 3 2 5 3 3 2" xfId="21582" xr:uid="{01032814-5CB5-4203-A719-78FBAE9C9867}"/>
    <cellStyle name="Currency 3 2 5 3 3 3" xfId="13961" xr:uid="{8E317989-DC44-41E6-B30D-93BDE1692F65}"/>
    <cellStyle name="Currency 3 2 5 3 4" xfId="17369" xr:uid="{B9BBD255-D2EB-4FFA-80E9-E055F205A441}"/>
    <cellStyle name="Currency 3 2 5 3 5" xfId="9748" xr:uid="{2F1C3DEA-039D-4E6B-BF3D-AF141F53D2C8}"/>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24140" xr:uid="{5E230176-B539-4BC7-BEF0-6C861F1C7652}"/>
    <cellStyle name="Currency 3 2 5 4 2 2 3" xfId="16519" xr:uid="{C6871554-D803-4882-989B-F96FA2FFE77A}"/>
    <cellStyle name="Currency 3 2 5 4 2 3" xfId="19927" xr:uid="{5C7A7406-F667-4C7A-BAE6-91163C2211C2}"/>
    <cellStyle name="Currency 3 2 5 4 2 4" xfId="12306" xr:uid="{FD0FEE3A-F273-4175-B5B6-654670D24DCF}"/>
    <cellStyle name="Currency 3 2 5 4 3" xfId="5879" xr:uid="{00000000-0005-0000-0000-00004F0B0000}"/>
    <cellStyle name="Currency 3 2 5 4 3 2" xfId="21995" xr:uid="{DE87840C-F408-49B9-97C2-CE727EDF23A3}"/>
    <cellStyle name="Currency 3 2 5 4 3 3" xfId="14374" xr:uid="{464501B2-0820-4FC9-BC4E-68CE85E630E3}"/>
    <cellStyle name="Currency 3 2 5 4 4" xfId="17782" xr:uid="{42B87B5E-2C99-4084-81DD-09FFECCB4F49}"/>
    <cellStyle name="Currency 3 2 5 4 5" xfId="10161" xr:uid="{AD703DBE-635C-4BA6-988C-33E1FA473BF2}"/>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24553" xr:uid="{86F77CF6-F7E0-4C6F-AC20-10ACB203C478}"/>
    <cellStyle name="Currency 3 2 5 5 2 2 3" xfId="16932" xr:uid="{4817A823-BE4F-4372-AE5D-E2D14D2DAF38}"/>
    <cellStyle name="Currency 3 2 5 5 2 3" xfId="20340" xr:uid="{2EEB487E-70BF-4EB5-98EA-FE623CEC829D}"/>
    <cellStyle name="Currency 3 2 5 5 2 4" xfId="12719" xr:uid="{46DBBAAA-3568-4449-A2B8-011A6D2402F9}"/>
    <cellStyle name="Currency 3 2 5 5 3" xfId="6292" xr:uid="{00000000-0005-0000-0000-0000530B0000}"/>
    <cellStyle name="Currency 3 2 5 5 3 2" xfId="22408" xr:uid="{13F761A5-7566-4FAA-A384-D7522BE70DCA}"/>
    <cellStyle name="Currency 3 2 5 5 3 3" xfId="14787" xr:uid="{74EC24F4-5011-406F-981E-4B9FE7C0EEE5}"/>
    <cellStyle name="Currency 3 2 5 5 4" xfId="18195" xr:uid="{D178E478-9F59-427B-8FBB-6739C2A66746}"/>
    <cellStyle name="Currency 3 2 5 5 5" xfId="10574" xr:uid="{BF1AD73A-032E-4506-B3B5-70CA4D700736}"/>
    <cellStyle name="Currency 3 2 5 6" xfId="2421" xr:uid="{00000000-0005-0000-0000-0000540B0000}"/>
    <cellStyle name="Currency 3 2 5 6 2" xfId="6705" xr:uid="{00000000-0005-0000-0000-0000550B0000}"/>
    <cellStyle name="Currency 3 2 5 6 2 2" xfId="22821" xr:uid="{458AFC0E-E163-44C1-97EA-87902F7448DD}"/>
    <cellStyle name="Currency 3 2 5 6 2 3" xfId="15200" xr:uid="{ABA0C8C4-FC50-4F61-90E5-1D1F5AB633F2}"/>
    <cellStyle name="Currency 3 2 5 6 3" xfId="18608" xr:uid="{69C9A2B3-E92B-439B-91E8-8B4CE87C2F86}"/>
    <cellStyle name="Currency 3 2 5 6 4" xfId="10987" xr:uid="{C3DD453F-9B58-4EA1-AE2F-789BCB7B01A7}"/>
    <cellStyle name="Currency 3 2 5 7" xfId="2718" xr:uid="{00000000-0005-0000-0000-0000560B0000}"/>
    <cellStyle name="Currency 3 2 5 8" xfId="2799" xr:uid="{00000000-0005-0000-0000-0000570B0000}"/>
    <cellStyle name="Currency 3 2 5 8 2" xfId="7022" xr:uid="{00000000-0005-0000-0000-0000580B0000}"/>
    <cellStyle name="Currency 3 2 5 8 2 2" xfId="23138" xr:uid="{6AA5C08F-4188-4E78-98CF-AC84747F7EBA}"/>
    <cellStyle name="Currency 3 2 5 8 2 3" xfId="15517" xr:uid="{EDD5F36D-C58D-433D-A1AE-6E088EAF727D}"/>
    <cellStyle name="Currency 3 2 5 8 3" xfId="18925" xr:uid="{EE0BED59-68BB-4886-8650-66285488ADC6}"/>
    <cellStyle name="Currency 3 2 5 8 4" xfId="11304" xr:uid="{C63D296A-6771-4C34-8B7D-EF1623CE9569}"/>
    <cellStyle name="Currency 3 2 5 9" xfId="4639" xr:uid="{00000000-0005-0000-0000-0000590B0000}"/>
    <cellStyle name="Currency 3 2 5 9 2" xfId="20756" xr:uid="{A8590B8A-881D-450D-8D03-CE5BC2458D60}"/>
    <cellStyle name="Currency 3 2 5 9 3" xfId="13135" xr:uid="{FB86499B-B263-4385-AE1A-854D577C3D71}"/>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23139" xr:uid="{5E905BD4-2C24-4CC0-8B1C-64B9F5058322}"/>
    <cellStyle name="Currency 5 2 2 2 10 2 3" xfId="15518" xr:uid="{35B69A81-7B43-4178-B227-ADEAA1A7B167}"/>
    <cellStyle name="Currency 5 2 2 2 10 3" xfId="18926" xr:uid="{51F0A214-5C78-4BE6-A219-EDC1DE455CA1}"/>
    <cellStyle name="Currency 5 2 2 2 10 4" xfId="11305" xr:uid="{DC8FE4E5-FBD2-45D0-A075-E0A2B2E459C4}"/>
    <cellStyle name="Currency 5 2 2 2 11" xfId="4640" xr:uid="{00000000-0005-0000-0000-00006C0B0000}"/>
    <cellStyle name="Currency 5 2 2 2 11 2" xfId="20757" xr:uid="{1EFEA12A-A2E4-4A72-AD8A-F64BD3BEC431}"/>
    <cellStyle name="Currency 5 2 2 2 11 3" xfId="13136" xr:uid="{FC7047E2-D9B3-4A90-A076-F887621F18C5}"/>
    <cellStyle name="Currency 5 2 2 2 12" xfId="8809" xr:uid="{6E2B58BA-BC61-49BF-A0FE-5BC79A050654}"/>
    <cellStyle name="Currency 5 2 2 2 2" xfId="197" xr:uid="{00000000-0005-0000-0000-00006D0B0000}"/>
    <cellStyle name="Currency 5 2 2 2 2 10" xfId="4641" xr:uid="{00000000-0005-0000-0000-00006E0B0000}"/>
    <cellStyle name="Currency 5 2 2 2 2 10 2" xfId="20758" xr:uid="{A3002A8E-3957-4313-B957-37C33CF54C0D}"/>
    <cellStyle name="Currency 5 2 2 2 2 10 3" xfId="13137" xr:uid="{269A325D-12C4-4427-85ED-CBDBED8D20A5}"/>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23317" xr:uid="{7AA819C1-7A0F-4FDA-8F9C-726C9069BBBC}"/>
    <cellStyle name="Currency 5 2 2 2 2 2 2 2 2 3" xfId="15696" xr:uid="{A36CEDB9-EB96-45F0-BC1A-7FFA20772B55}"/>
    <cellStyle name="Currency 5 2 2 2 2 2 2 2 3" xfId="19104" xr:uid="{F0F8A489-E996-4855-A4A2-03EFAB2AA16E}"/>
    <cellStyle name="Currency 5 2 2 2 2 2 2 2 4" xfId="11483" xr:uid="{83E0288F-856D-42C2-8B47-06B178A82F42}"/>
    <cellStyle name="Currency 5 2 2 2 2 2 2 3" xfId="5056" xr:uid="{00000000-0005-0000-0000-0000730B0000}"/>
    <cellStyle name="Currency 5 2 2 2 2 2 2 3 2" xfId="21172" xr:uid="{0C53F3D9-EC7F-4DC7-9F12-65427957A1CA}"/>
    <cellStyle name="Currency 5 2 2 2 2 2 2 3 3" xfId="13551" xr:uid="{197DC4E4-7F3B-4A49-AF55-F1CBEE8E103A}"/>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23730" xr:uid="{2AC354A4-69D9-4371-8E49-C3B22E1CC7EA}"/>
    <cellStyle name="Currency 5 2 2 2 2 2 3 2 2 3" xfId="16109" xr:uid="{457F4B14-0B8A-4DF0-9A34-F1142BBBC526}"/>
    <cellStyle name="Currency 5 2 2 2 2 2 3 2 3" xfId="19517" xr:uid="{8A2336F9-BC08-477F-A56D-B63E70830283}"/>
    <cellStyle name="Currency 5 2 2 2 2 2 3 2 4" xfId="11896" xr:uid="{4BAB7737-0178-434A-89E8-08365E469CBA}"/>
    <cellStyle name="Currency 5 2 2 2 2 2 3 3" xfId="5469" xr:uid="{00000000-0005-0000-0000-0000770B0000}"/>
    <cellStyle name="Currency 5 2 2 2 2 2 3 3 2" xfId="21585" xr:uid="{BDD15CC9-6956-413E-A215-B1A61CC4482A}"/>
    <cellStyle name="Currency 5 2 2 2 2 2 3 3 3" xfId="13964" xr:uid="{B731D285-5110-4802-9B87-AF2F83EB5961}"/>
    <cellStyle name="Currency 5 2 2 2 2 2 3 4" xfId="17372" xr:uid="{E552438B-9D51-4405-9631-12B1E05479A8}"/>
    <cellStyle name="Currency 5 2 2 2 2 2 3 5" xfId="9751" xr:uid="{4322D5F7-991F-4ED3-92D9-EBAA508AD254}"/>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24143" xr:uid="{65BAA03B-5A16-4204-BE15-F8D8D2FDE60F}"/>
    <cellStyle name="Currency 5 2 2 2 2 2 4 2 2 3" xfId="16522" xr:uid="{D226487F-83BB-4B98-B7E2-73910A43B82F}"/>
    <cellStyle name="Currency 5 2 2 2 2 2 4 2 3" xfId="19930" xr:uid="{668A31E0-938F-422A-99BC-260BA48B0586}"/>
    <cellStyle name="Currency 5 2 2 2 2 2 4 2 4" xfId="12309" xr:uid="{CFBE2BC2-3476-4FFC-9CB5-926F31BE452B}"/>
    <cellStyle name="Currency 5 2 2 2 2 2 4 3" xfId="5882" xr:uid="{00000000-0005-0000-0000-00007B0B0000}"/>
    <cellStyle name="Currency 5 2 2 2 2 2 4 3 2" xfId="21998" xr:uid="{1C8C146F-F9F8-4F76-A16C-C962778656F7}"/>
    <cellStyle name="Currency 5 2 2 2 2 2 4 3 3" xfId="14377" xr:uid="{DB7E1B91-E365-407A-9D95-24D1AEE5D53B}"/>
    <cellStyle name="Currency 5 2 2 2 2 2 4 4" xfId="17785" xr:uid="{C67FBC37-12EF-40DD-97C4-1FC528C1551C}"/>
    <cellStyle name="Currency 5 2 2 2 2 2 4 5" xfId="10164" xr:uid="{F8F784A9-6863-4236-807F-03B14FA2C8EC}"/>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24556" xr:uid="{FE9BA5FB-4547-424E-9C28-524128EA1828}"/>
    <cellStyle name="Currency 5 2 2 2 2 2 5 2 2 3" xfId="16935" xr:uid="{A0B696FB-9850-4D36-BF01-D89332AAD6A6}"/>
    <cellStyle name="Currency 5 2 2 2 2 2 5 2 3" xfId="20343" xr:uid="{5892944B-ED8B-4114-9AFA-B000215B2B1A}"/>
    <cellStyle name="Currency 5 2 2 2 2 2 5 2 4" xfId="12722" xr:uid="{04C500A5-F6C8-4E1F-A20E-E6C8C0D41710}"/>
    <cellStyle name="Currency 5 2 2 2 2 2 5 3" xfId="6295" xr:uid="{00000000-0005-0000-0000-00007F0B0000}"/>
    <cellStyle name="Currency 5 2 2 2 2 2 5 3 2" xfId="22411" xr:uid="{F113517F-C34F-40B4-AC5A-97BB2AAA52AE}"/>
    <cellStyle name="Currency 5 2 2 2 2 2 5 3 3" xfId="14790" xr:uid="{DABB7325-6E19-4442-BB4B-D4B9B52F879E}"/>
    <cellStyle name="Currency 5 2 2 2 2 2 5 4" xfId="18198" xr:uid="{9013E141-16B6-46F7-99D0-75375BB7404D}"/>
    <cellStyle name="Currency 5 2 2 2 2 2 5 5" xfId="10577" xr:uid="{6AAD41C4-2AA8-45BE-B86C-808CCE3BF392}"/>
    <cellStyle name="Currency 5 2 2 2 2 2 6" xfId="2424" xr:uid="{00000000-0005-0000-0000-0000800B0000}"/>
    <cellStyle name="Currency 5 2 2 2 2 2 6 2" xfId="6708" xr:uid="{00000000-0005-0000-0000-0000810B0000}"/>
    <cellStyle name="Currency 5 2 2 2 2 2 6 2 2" xfId="22824" xr:uid="{90772633-CE69-4014-9767-74F239D56A5E}"/>
    <cellStyle name="Currency 5 2 2 2 2 2 6 2 3" xfId="15203" xr:uid="{006B2B6D-F47C-4786-B3FB-E70F69CB9336}"/>
    <cellStyle name="Currency 5 2 2 2 2 2 6 3" xfId="18611" xr:uid="{1F260ADE-CAFF-4D4C-B7C6-8841EF57580A}"/>
    <cellStyle name="Currency 5 2 2 2 2 2 6 4" xfId="10990" xr:uid="{3DFD97CF-CB9F-4653-A589-E9558F0F39A7}"/>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23141" xr:uid="{FA529200-CECF-4BDF-A3FC-2832B7B07585}"/>
    <cellStyle name="Currency 5 2 2 2 2 2 8 2 3" xfId="15520" xr:uid="{4D01CA4B-74E5-475A-B66C-493E8A964CE0}"/>
    <cellStyle name="Currency 5 2 2 2 2 2 8 3" xfId="18928" xr:uid="{2B2685DA-6F1A-4B29-9006-7B83F8A0647B}"/>
    <cellStyle name="Currency 5 2 2 2 2 2 8 4" xfId="11307" xr:uid="{C3BA8AD2-044B-4233-AD14-554C6B3EBFC9}"/>
    <cellStyle name="Currency 5 2 2 2 2 2 9" xfId="4642" xr:uid="{00000000-0005-0000-0000-0000850B0000}"/>
    <cellStyle name="Currency 5 2 2 2 2 2 9 2" xfId="20759" xr:uid="{82D0C879-8112-4C95-A4EB-6B4688616810}"/>
    <cellStyle name="Currency 5 2 2 2 2 2 9 3" xfId="13138" xr:uid="{87DDFF81-3960-4FF6-99E2-C810474D5DC6}"/>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23316" xr:uid="{B8703862-C5D0-4636-B663-60A7D2318521}"/>
    <cellStyle name="Currency 5 2 2 2 2 3 2 2 3" xfId="15695" xr:uid="{CA99E9FE-C418-4466-85FC-4C90390725B3}"/>
    <cellStyle name="Currency 5 2 2 2 2 3 2 3" xfId="19103" xr:uid="{3E8C416F-051B-4BFC-8CDF-9D029CBC98EF}"/>
    <cellStyle name="Currency 5 2 2 2 2 3 2 4" xfId="11482" xr:uid="{876AE291-B2A4-4312-974B-EA7F3A3510AD}"/>
    <cellStyle name="Currency 5 2 2 2 2 3 3" xfId="5055" xr:uid="{00000000-0005-0000-0000-0000890B0000}"/>
    <cellStyle name="Currency 5 2 2 2 2 3 3 2" xfId="21171" xr:uid="{FAC1CF50-EB47-4E7D-B8BC-07C0FC99BF5B}"/>
    <cellStyle name="Currency 5 2 2 2 2 3 3 3" xfId="13550" xr:uid="{5CC8714A-C094-4199-A492-561E55382104}"/>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23729" xr:uid="{A1E2A668-98AB-400C-BDFE-91BEBC6D0BEC}"/>
    <cellStyle name="Currency 5 2 2 2 2 4 2 2 3" xfId="16108" xr:uid="{8D5E2B7F-B64E-4417-8783-CCFF61E02354}"/>
    <cellStyle name="Currency 5 2 2 2 2 4 2 3" xfId="19516" xr:uid="{E5BA5783-5D86-47FD-B716-8B10BE7BFD3D}"/>
    <cellStyle name="Currency 5 2 2 2 2 4 2 4" xfId="11895" xr:uid="{754FF946-1BE5-4DAD-8480-4BE91046EFED}"/>
    <cellStyle name="Currency 5 2 2 2 2 4 3" xfId="5468" xr:uid="{00000000-0005-0000-0000-00008D0B0000}"/>
    <cellStyle name="Currency 5 2 2 2 2 4 3 2" xfId="21584" xr:uid="{E747FBDF-EA66-4A19-B08F-8111E005A193}"/>
    <cellStyle name="Currency 5 2 2 2 2 4 3 3" xfId="13963" xr:uid="{CE393B3F-11B3-49E2-A876-70EFA9FD3C86}"/>
    <cellStyle name="Currency 5 2 2 2 2 4 4" xfId="17371" xr:uid="{9B7DD83B-E317-4517-A1C2-28AEF61FDBD2}"/>
    <cellStyle name="Currency 5 2 2 2 2 4 5" xfId="9750" xr:uid="{5B523D92-C5EF-4407-A509-6B7667B10DD2}"/>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24142" xr:uid="{5B3C059A-B6F3-48B9-8D47-0BD9CEDE7F49}"/>
    <cellStyle name="Currency 5 2 2 2 2 5 2 2 3" xfId="16521" xr:uid="{8F6F385D-CB3C-4662-B9A8-AA85DE6E4729}"/>
    <cellStyle name="Currency 5 2 2 2 2 5 2 3" xfId="19929" xr:uid="{3F5CC0CA-7691-4B11-90FB-A1D02D12773C}"/>
    <cellStyle name="Currency 5 2 2 2 2 5 2 4" xfId="12308" xr:uid="{5CE4FCEB-E247-45E6-AA84-93C083DC97AF}"/>
    <cellStyle name="Currency 5 2 2 2 2 5 3" xfId="5881" xr:uid="{00000000-0005-0000-0000-0000910B0000}"/>
    <cellStyle name="Currency 5 2 2 2 2 5 3 2" xfId="21997" xr:uid="{D0670251-1D82-439B-B250-AC408C1490F4}"/>
    <cellStyle name="Currency 5 2 2 2 2 5 3 3" xfId="14376" xr:uid="{41DBE805-2D80-4E1B-A55C-4C6E87508BE2}"/>
    <cellStyle name="Currency 5 2 2 2 2 5 4" xfId="17784" xr:uid="{F745D66C-F97E-4237-AE2C-BF0B5C0FFB2E}"/>
    <cellStyle name="Currency 5 2 2 2 2 5 5" xfId="10163" xr:uid="{D29EB145-C753-4D61-BCFA-C4C6A36D151E}"/>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24555" xr:uid="{66A09225-393C-479C-87FA-CDE5BD96F53F}"/>
    <cellStyle name="Currency 5 2 2 2 2 6 2 2 3" xfId="16934" xr:uid="{2557A12E-3FB9-43FB-9546-DFEE5062E018}"/>
    <cellStyle name="Currency 5 2 2 2 2 6 2 3" xfId="20342" xr:uid="{E90E1FE9-D996-44B1-B87B-4CA96156DC6C}"/>
    <cellStyle name="Currency 5 2 2 2 2 6 2 4" xfId="12721" xr:uid="{44E5E474-740B-4211-9081-58F319FBCEC0}"/>
    <cellStyle name="Currency 5 2 2 2 2 6 3" xfId="6294" xr:uid="{00000000-0005-0000-0000-0000950B0000}"/>
    <cellStyle name="Currency 5 2 2 2 2 6 3 2" xfId="22410" xr:uid="{B7EAD875-AD50-406B-B0CA-6368E3682D4E}"/>
    <cellStyle name="Currency 5 2 2 2 2 6 3 3" xfId="14789" xr:uid="{4F251968-E2B0-4108-8187-0BE4E6A930F4}"/>
    <cellStyle name="Currency 5 2 2 2 2 6 4" xfId="18197" xr:uid="{55F70694-981C-4A52-9115-69B43554721D}"/>
    <cellStyle name="Currency 5 2 2 2 2 6 5" xfId="10576" xr:uid="{037A4520-D535-4949-A3BE-62B13CEB867C}"/>
    <cellStyle name="Currency 5 2 2 2 2 7" xfId="2423" xr:uid="{00000000-0005-0000-0000-0000960B0000}"/>
    <cellStyle name="Currency 5 2 2 2 2 7 2" xfId="6707" xr:uid="{00000000-0005-0000-0000-0000970B0000}"/>
    <cellStyle name="Currency 5 2 2 2 2 7 2 2" xfId="22823" xr:uid="{B8E59F6C-92CE-4C43-BE68-28E9FF33C3BC}"/>
    <cellStyle name="Currency 5 2 2 2 2 7 2 3" xfId="15202" xr:uid="{A6ADFB21-C9E4-4251-A152-864E6E25ED6B}"/>
    <cellStyle name="Currency 5 2 2 2 2 7 3" xfId="18610" xr:uid="{FD17D90F-F330-4FDE-B500-DA5153723B54}"/>
    <cellStyle name="Currency 5 2 2 2 2 7 4" xfId="10989" xr:uid="{0DAE0C22-23C2-4DDB-B54D-5F9EAA7660DA}"/>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23140" xr:uid="{41145494-17D5-45CF-BAED-A7C746D082A5}"/>
    <cellStyle name="Currency 5 2 2 2 2 9 2 3" xfId="15519" xr:uid="{58D60303-BF7B-4C96-88E1-80AAA9DE05B1}"/>
    <cellStyle name="Currency 5 2 2 2 2 9 3" xfId="18927" xr:uid="{00B9A41D-3A88-47E6-974E-78B565E8E7D3}"/>
    <cellStyle name="Currency 5 2 2 2 2 9 4" xfId="11306" xr:uid="{49DE9316-1A9C-45CC-AEAB-9B3F5AF225C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23318" xr:uid="{8F8E4B87-F79D-43BF-80AE-8194448E3CAD}"/>
    <cellStyle name="Currency 5 2 2 2 3 2 2 2 3" xfId="15697" xr:uid="{C9E7BEB5-B625-4F1E-84FD-45DB2060E24A}"/>
    <cellStyle name="Currency 5 2 2 2 3 2 2 3" xfId="19105" xr:uid="{F5BEAED3-921B-4CC2-9884-5ABEAE11BA06}"/>
    <cellStyle name="Currency 5 2 2 2 3 2 2 4" xfId="11484" xr:uid="{B15AB7A9-2220-4008-8F7B-FCB75830429D}"/>
    <cellStyle name="Currency 5 2 2 2 3 2 3" xfId="5057" xr:uid="{00000000-0005-0000-0000-00009F0B0000}"/>
    <cellStyle name="Currency 5 2 2 2 3 2 3 2" xfId="21173" xr:uid="{69BECEE2-C64B-4324-BB74-6C66F97EB112}"/>
    <cellStyle name="Currency 5 2 2 2 3 2 3 3" xfId="13552" xr:uid="{ADD4E78D-891E-49AC-B917-E3542DDD1AB1}"/>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23731" xr:uid="{9AC4DEE7-8314-452A-BED1-0A416475E820}"/>
    <cellStyle name="Currency 5 2 2 2 3 3 2 2 3" xfId="16110" xr:uid="{0A6BF2FC-4982-4874-A4B2-736C94EF2E71}"/>
    <cellStyle name="Currency 5 2 2 2 3 3 2 3" xfId="19518" xr:uid="{83515A0B-5208-464D-AC27-A37DD8FA1C40}"/>
    <cellStyle name="Currency 5 2 2 2 3 3 2 4" xfId="11897" xr:uid="{8CF8CC49-BE1D-416D-8BBF-5BA35A2AE857}"/>
    <cellStyle name="Currency 5 2 2 2 3 3 3" xfId="5470" xr:uid="{00000000-0005-0000-0000-0000A30B0000}"/>
    <cellStyle name="Currency 5 2 2 2 3 3 3 2" xfId="21586" xr:uid="{5C9EB4BC-28D6-4777-A23D-E8D66BD87CC4}"/>
    <cellStyle name="Currency 5 2 2 2 3 3 3 3" xfId="13965" xr:uid="{F4DB6480-BF65-4290-913F-05E72B0580CB}"/>
    <cellStyle name="Currency 5 2 2 2 3 3 4" xfId="17373" xr:uid="{8DB383FD-DF4D-4875-B1D9-2CFE24B090C6}"/>
    <cellStyle name="Currency 5 2 2 2 3 3 5" xfId="9752" xr:uid="{DE952843-A6B0-41F1-A313-F7D0BE73509D}"/>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24144" xr:uid="{1F8A8953-9BF6-4F70-815E-D18CC43325FB}"/>
    <cellStyle name="Currency 5 2 2 2 3 4 2 2 3" xfId="16523" xr:uid="{70CD79A3-584F-4322-BCD8-CF3B3ABB19B5}"/>
    <cellStyle name="Currency 5 2 2 2 3 4 2 3" xfId="19931" xr:uid="{8396DAC9-29EA-4EEB-84AC-5C42B7A76FAE}"/>
    <cellStyle name="Currency 5 2 2 2 3 4 2 4" xfId="12310" xr:uid="{0A2F8B8C-BBE4-4333-B9D2-23FD65941B4E}"/>
    <cellStyle name="Currency 5 2 2 2 3 4 3" xfId="5883" xr:uid="{00000000-0005-0000-0000-0000A70B0000}"/>
    <cellStyle name="Currency 5 2 2 2 3 4 3 2" xfId="21999" xr:uid="{F5C24ACE-6B85-452B-A49C-E160E1DA7DB6}"/>
    <cellStyle name="Currency 5 2 2 2 3 4 3 3" xfId="14378" xr:uid="{0FF0462A-D97E-4AF8-80BA-33887398382D}"/>
    <cellStyle name="Currency 5 2 2 2 3 4 4" xfId="17786" xr:uid="{ED79F67B-A43B-42AE-B3AA-67C9269D983D}"/>
    <cellStyle name="Currency 5 2 2 2 3 4 5" xfId="10165" xr:uid="{399DFDF0-F6A9-40EC-9884-B7A0038E5309}"/>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24557" xr:uid="{4F4900BB-78DB-49B4-8FB8-0A3D8ABE577E}"/>
    <cellStyle name="Currency 5 2 2 2 3 5 2 2 3" xfId="16936" xr:uid="{7D649D88-E3F5-45FE-B070-ECA99CE1C1D9}"/>
    <cellStyle name="Currency 5 2 2 2 3 5 2 3" xfId="20344" xr:uid="{13C46579-559E-44CD-AB5C-A210C022146F}"/>
    <cellStyle name="Currency 5 2 2 2 3 5 2 4" xfId="12723" xr:uid="{FBAF61BE-B6A7-4D04-8F01-DE0AA26F0FB9}"/>
    <cellStyle name="Currency 5 2 2 2 3 5 3" xfId="6296" xr:uid="{00000000-0005-0000-0000-0000AB0B0000}"/>
    <cellStyle name="Currency 5 2 2 2 3 5 3 2" xfId="22412" xr:uid="{E74F41AC-C449-429F-B2CB-FC2EE291F05C}"/>
    <cellStyle name="Currency 5 2 2 2 3 5 3 3" xfId="14791" xr:uid="{98CA0478-4D66-44C1-90FB-565E43AA0F15}"/>
    <cellStyle name="Currency 5 2 2 2 3 5 4" xfId="18199" xr:uid="{2DA161CB-E6FF-4F5E-884B-C3CD1F59705A}"/>
    <cellStyle name="Currency 5 2 2 2 3 5 5" xfId="10578" xr:uid="{A708B8AA-74F5-4C8F-B07A-926FACDE5F3F}"/>
    <cellStyle name="Currency 5 2 2 2 3 6" xfId="2425" xr:uid="{00000000-0005-0000-0000-0000AC0B0000}"/>
    <cellStyle name="Currency 5 2 2 2 3 6 2" xfId="6709" xr:uid="{00000000-0005-0000-0000-0000AD0B0000}"/>
    <cellStyle name="Currency 5 2 2 2 3 6 2 2" xfId="22825" xr:uid="{FE663489-3422-41BF-AC70-8B7BEE70F39F}"/>
    <cellStyle name="Currency 5 2 2 2 3 6 2 3" xfId="15204" xr:uid="{482066AA-62A5-4BC7-A848-8452AA128C63}"/>
    <cellStyle name="Currency 5 2 2 2 3 6 3" xfId="18612" xr:uid="{FA53CBAD-EE1A-4ED1-AE12-EBAF335C1D5F}"/>
    <cellStyle name="Currency 5 2 2 2 3 6 4" xfId="10991" xr:uid="{986BBDE0-5ED9-44D9-AC5A-DF64505A541A}"/>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23142" xr:uid="{7577862A-890D-47A5-97B1-B4133A4C7A54}"/>
    <cellStyle name="Currency 5 2 2 2 3 8 2 3" xfId="15521" xr:uid="{B4D5681C-222C-4D66-B025-4A9BB9FF9BB2}"/>
    <cellStyle name="Currency 5 2 2 2 3 8 3" xfId="18929" xr:uid="{A0DA49FA-547C-49B1-BBAE-21A07ACEF0C3}"/>
    <cellStyle name="Currency 5 2 2 2 3 8 4" xfId="11308" xr:uid="{FC19E450-6A57-47F4-BF8E-25CC4C5B8F23}"/>
    <cellStyle name="Currency 5 2 2 2 3 9" xfId="4643" xr:uid="{00000000-0005-0000-0000-0000B10B0000}"/>
    <cellStyle name="Currency 5 2 2 2 3 9 2" xfId="20760" xr:uid="{0449D84A-B91B-4D66-A456-63806B4BD041}"/>
    <cellStyle name="Currency 5 2 2 2 3 9 3" xfId="13139" xr:uid="{FAD62A34-829E-441B-9929-B8BC85234AA3}"/>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23315" xr:uid="{7F50997D-0201-4C6B-9A99-0C8D3A11F431}"/>
    <cellStyle name="Currency 5 2 2 2 4 2 2 3" xfId="15694" xr:uid="{0687CC1A-08F1-4D26-B4F5-9154006FAE1C}"/>
    <cellStyle name="Currency 5 2 2 2 4 2 3" xfId="19102" xr:uid="{252A2510-4D79-4DBF-A430-05D2FF25CDE8}"/>
    <cellStyle name="Currency 5 2 2 2 4 2 4" xfId="11481" xr:uid="{D494D40E-C41C-43D8-9514-075F1BFA8B6B}"/>
    <cellStyle name="Currency 5 2 2 2 4 3" xfId="5054" xr:uid="{00000000-0005-0000-0000-0000B50B0000}"/>
    <cellStyle name="Currency 5 2 2 2 4 3 2" xfId="21170" xr:uid="{B6A5B918-09C5-4A99-BDF7-82835CE4F7AE}"/>
    <cellStyle name="Currency 5 2 2 2 4 3 3" xfId="13549" xr:uid="{E46F36C4-A844-4F4B-B612-20554121928E}"/>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23728" xr:uid="{E2379775-E0DD-48AC-A1AD-47707BA8AC6B}"/>
    <cellStyle name="Currency 5 2 2 2 5 2 2 3" xfId="16107" xr:uid="{1CB6164E-46D6-42E7-BE98-F72BC03B0B4F}"/>
    <cellStyle name="Currency 5 2 2 2 5 2 3" xfId="19515" xr:uid="{1A9627AF-016C-4AA7-8F86-DFBE71218BE4}"/>
    <cellStyle name="Currency 5 2 2 2 5 2 4" xfId="11894" xr:uid="{C39D34B7-A8FD-46B3-963A-FE21CAADCF4B}"/>
    <cellStyle name="Currency 5 2 2 2 5 3" xfId="5467" xr:uid="{00000000-0005-0000-0000-0000B90B0000}"/>
    <cellStyle name="Currency 5 2 2 2 5 3 2" xfId="21583" xr:uid="{78CE5CC0-AAB5-4E95-832E-15F92A6C1D77}"/>
    <cellStyle name="Currency 5 2 2 2 5 3 3" xfId="13962" xr:uid="{21F7AC95-D2AB-4516-A9CE-0BBB85D58861}"/>
    <cellStyle name="Currency 5 2 2 2 5 4" xfId="17370" xr:uid="{D52C642F-A85F-4473-849D-F6DEBD59132D}"/>
    <cellStyle name="Currency 5 2 2 2 5 5" xfId="9749" xr:uid="{CD12C176-5932-46EB-9F3E-C69A63674E33}"/>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24141" xr:uid="{237882CA-11F7-4A7C-80CC-2FCFE91DC50B}"/>
    <cellStyle name="Currency 5 2 2 2 6 2 2 3" xfId="16520" xr:uid="{B95B0996-FED9-4D80-BBD6-A95ADE0E0166}"/>
    <cellStyle name="Currency 5 2 2 2 6 2 3" xfId="19928" xr:uid="{6F8D76F9-961C-47EC-AF3D-64AB69424E12}"/>
    <cellStyle name="Currency 5 2 2 2 6 2 4" xfId="12307" xr:uid="{DA8DF518-E4B8-4CBC-9463-50F64938A64A}"/>
    <cellStyle name="Currency 5 2 2 2 6 3" xfId="5880" xr:uid="{00000000-0005-0000-0000-0000BD0B0000}"/>
    <cellStyle name="Currency 5 2 2 2 6 3 2" xfId="21996" xr:uid="{96226514-A5B9-4587-A5C5-CCCC4F6E9A0C}"/>
    <cellStyle name="Currency 5 2 2 2 6 3 3" xfId="14375" xr:uid="{7FBA9465-B8D0-4313-8141-CBB4084C6FA3}"/>
    <cellStyle name="Currency 5 2 2 2 6 4" xfId="17783" xr:uid="{25B6E1BA-4DA1-47BC-BA06-6A3445168A07}"/>
    <cellStyle name="Currency 5 2 2 2 6 5" xfId="10162" xr:uid="{439854A5-0875-4A7D-9F87-9F215B4114A8}"/>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24554" xr:uid="{21F5DB44-5E18-4557-8BFB-0366860BF0D4}"/>
    <cellStyle name="Currency 5 2 2 2 7 2 2 3" xfId="16933" xr:uid="{4F10EEEC-237E-454D-A5EC-961D627BBFA2}"/>
    <cellStyle name="Currency 5 2 2 2 7 2 3" xfId="20341" xr:uid="{D8CBB8F3-E4B8-4884-831B-A615731E8266}"/>
    <cellStyle name="Currency 5 2 2 2 7 2 4" xfId="12720" xr:uid="{99FE8C63-799D-4D6E-B5A4-91B15F265B9F}"/>
    <cellStyle name="Currency 5 2 2 2 7 3" xfId="6293" xr:uid="{00000000-0005-0000-0000-0000C10B0000}"/>
    <cellStyle name="Currency 5 2 2 2 7 3 2" xfId="22409" xr:uid="{008AA6EA-06E1-4606-AF6A-FF511135A9AF}"/>
    <cellStyle name="Currency 5 2 2 2 7 3 3" xfId="14788" xr:uid="{EA5ACFBE-1EE3-423D-843A-658793235C33}"/>
    <cellStyle name="Currency 5 2 2 2 7 4" xfId="18196" xr:uid="{758161CA-D1DC-4EAF-8AE5-461B2664B8F7}"/>
    <cellStyle name="Currency 5 2 2 2 7 5" xfId="10575" xr:uid="{28425AA8-60FC-42A4-81C8-EE77EEFA349C}"/>
    <cellStyle name="Currency 5 2 2 2 8" xfId="2422" xr:uid="{00000000-0005-0000-0000-0000C20B0000}"/>
    <cellStyle name="Currency 5 2 2 2 8 2" xfId="6706" xr:uid="{00000000-0005-0000-0000-0000C30B0000}"/>
    <cellStyle name="Currency 5 2 2 2 8 2 2" xfId="22822" xr:uid="{0E766DE7-4A87-4AEF-9019-17A29A7028B8}"/>
    <cellStyle name="Currency 5 2 2 2 8 2 3" xfId="15201" xr:uid="{807C7227-7640-4B01-BFC6-DD1149F49491}"/>
    <cellStyle name="Currency 5 2 2 2 8 3" xfId="18609" xr:uid="{22735684-815A-4A4D-B723-312E0CF4853F}"/>
    <cellStyle name="Currency 5 2 2 2 8 4" xfId="10988" xr:uid="{38E0DF10-DCD5-4281-B978-87BC3C44E4AE}"/>
    <cellStyle name="Currency 5 2 2 2 9" xfId="2719" xr:uid="{00000000-0005-0000-0000-0000C40B0000}"/>
    <cellStyle name="Currency 5 2 2 3" xfId="200" xr:uid="{00000000-0005-0000-0000-0000C50B0000}"/>
    <cellStyle name="Currency 5 2 2 3 10" xfId="4644" xr:uid="{00000000-0005-0000-0000-0000C60B0000}"/>
    <cellStyle name="Currency 5 2 2 3 10 2" xfId="20761" xr:uid="{44D7BE31-AC9D-471D-AEA4-24689BC47D45}"/>
    <cellStyle name="Currency 5 2 2 3 10 3" xfId="13140" xr:uid="{289CEC3E-AD08-468F-90D5-A03942C9BB64}"/>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23320" xr:uid="{B07D051E-1128-418B-A50C-091CB25BE557}"/>
    <cellStyle name="Currency 5 2 2 3 2 2 2 2 3" xfId="15699" xr:uid="{5803D585-D0ED-42F0-9E6C-CC01DBD53845}"/>
    <cellStyle name="Currency 5 2 2 3 2 2 2 3" xfId="19107" xr:uid="{1868D263-B8F2-4CF4-BE02-C82252C580BB}"/>
    <cellStyle name="Currency 5 2 2 3 2 2 2 4" xfId="11486" xr:uid="{31E38D89-DFD6-42C2-8C3F-DDC517FA94FE}"/>
    <cellStyle name="Currency 5 2 2 3 2 2 3" xfId="5059" xr:uid="{00000000-0005-0000-0000-0000CB0B0000}"/>
    <cellStyle name="Currency 5 2 2 3 2 2 3 2" xfId="21175" xr:uid="{48ABE9C5-109C-42DC-99A1-DB4FD5330335}"/>
    <cellStyle name="Currency 5 2 2 3 2 2 3 3" xfId="13554" xr:uid="{BCCABE3E-20AC-432A-8D30-888C5D19B6F6}"/>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23733" xr:uid="{5986FA11-F922-40A1-8F71-595C38CEF5C7}"/>
    <cellStyle name="Currency 5 2 2 3 2 3 2 2 3" xfId="16112" xr:uid="{48DEEBEC-FA63-4FE8-913C-90851540078E}"/>
    <cellStyle name="Currency 5 2 2 3 2 3 2 3" xfId="19520" xr:uid="{3E584231-768D-4AE6-B4C8-56C771EA9966}"/>
    <cellStyle name="Currency 5 2 2 3 2 3 2 4" xfId="11899" xr:uid="{6A0B7D44-50BE-40C9-B63F-9F3A71EBD858}"/>
    <cellStyle name="Currency 5 2 2 3 2 3 3" xfId="5472" xr:uid="{00000000-0005-0000-0000-0000CF0B0000}"/>
    <cellStyle name="Currency 5 2 2 3 2 3 3 2" xfId="21588" xr:uid="{D3EC7724-8D47-4A85-BC72-25DFA9906E52}"/>
    <cellStyle name="Currency 5 2 2 3 2 3 3 3" xfId="13967" xr:uid="{5C167A5F-A46B-4806-9922-15D5D5A4D7AF}"/>
    <cellStyle name="Currency 5 2 2 3 2 3 4" xfId="17375" xr:uid="{47C7B3A6-37BA-4B93-B17E-3223A21599FD}"/>
    <cellStyle name="Currency 5 2 2 3 2 3 5" xfId="9754" xr:uid="{C346C69B-09D4-441F-AD1E-509581D23875}"/>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24146" xr:uid="{35554F7E-338F-4796-ACE2-890AD3C87C72}"/>
    <cellStyle name="Currency 5 2 2 3 2 4 2 2 3" xfId="16525" xr:uid="{AFE46E77-98FD-4670-8C49-7A9F0422039C}"/>
    <cellStyle name="Currency 5 2 2 3 2 4 2 3" xfId="19933" xr:uid="{32FC1686-B2F0-43A1-882B-01825550739D}"/>
    <cellStyle name="Currency 5 2 2 3 2 4 2 4" xfId="12312" xr:uid="{F914BD81-5849-494C-A4F7-4BB523831C2B}"/>
    <cellStyle name="Currency 5 2 2 3 2 4 3" xfId="5885" xr:uid="{00000000-0005-0000-0000-0000D30B0000}"/>
    <cellStyle name="Currency 5 2 2 3 2 4 3 2" xfId="22001" xr:uid="{1E235D9A-4F8A-4D7A-9298-8D8255A32B0B}"/>
    <cellStyle name="Currency 5 2 2 3 2 4 3 3" xfId="14380" xr:uid="{35435800-B2F1-4AFF-9804-736E14466A7C}"/>
    <cellStyle name="Currency 5 2 2 3 2 4 4" xfId="17788" xr:uid="{95CF8E42-1D4D-45DA-821F-5550F7A4AFB7}"/>
    <cellStyle name="Currency 5 2 2 3 2 4 5" xfId="10167" xr:uid="{0797ECE1-692A-4C9E-AA52-585C8C76EFF1}"/>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24559" xr:uid="{88BCBD11-2DA4-4EEA-B0E8-4099D598C0B5}"/>
    <cellStyle name="Currency 5 2 2 3 2 5 2 2 3" xfId="16938" xr:uid="{AECD4D07-AE6A-4F95-9579-324C52614D2D}"/>
    <cellStyle name="Currency 5 2 2 3 2 5 2 3" xfId="20346" xr:uid="{FDC67C62-A618-4163-9891-45E6DC6244F0}"/>
    <cellStyle name="Currency 5 2 2 3 2 5 2 4" xfId="12725" xr:uid="{9C2671C1-8BB6-4EE9-B32A-3CAFCD7FFFA3}"/>
    <cellStyle name="Currency 5 2 2 3 2 5 3" xfId="6298" xr:uid="{00000000-0005-0000-0000-0000D70B0000}"/>
    <cellStyle name="Currency 5 2 2 3 2 5 3 2" xfId="22414" xr:uid="{A01AD55C-62DA-4E8F-B6E5-0C5C09F79D79}"/>
    <cellStyle name="Currency 5 2 2 3 2 5 3 3" xfId="14793" xr:uid="{DEC57150-922E-4C36-BF4C-91E6D20A71B7}"/>
    <cellStyle name="Currency 5 2 2 3 2 5 4" xfId="18201" xr:uid="{191FB981-53F5-41EC-A2E3-5FF07C2345C7}"/>
    <cellStyle name="Currency 5 2 2 3 2 5 5" xfId="10580" xr:uid="{BD1D7A71-84D1-43F8-81E3-E8ADD1507C10}"/>
    <cellStyle name="Currency 5 2 2 3 2 6" xfId="2427" xr:uid="{00000000-0005-0000-0000-0000D80B0000}"/>
    <cellStyle name="Currency 5 2 2 3 2 6 2" xfId="6711" xr:uid="{00000000-0005-0000-0000-0000D90B0000}"/>
    <cellStyle name="Currency 5 2 2 3 2 6 2 2" xfId="22827" xr:uid="{4B186BE4-5BE7-47E3-BADE-CDA7FC2DE635}"/>
    <cellStyle name="Currency 5 2 2 3 2 6 2 3" xfId="15206" xr:uid="{0F58E23D-8C2A-41C2-B35A-BE95AC8C8401}"/>
    <cellStyle name="Currency 5 2 2 3 2 6 3" xfId="18614" xr:uid="{85A75AEC-834D-4EC2-9FB6-1782A17522D0}"/>
    <cellStyle name="Currency 5 2 2 3 2 6 4" xfId="10993" xr:uid="{7EA5D5A0-FE12-4369-A30A-70DFB4E46C86}"/>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23144" xr:uid="{3F27F4F6-3013-47D6-94CA-AE85D1705D5E}"/>
    <cellStyle name="Currency 5 2 2 3 2 8 2 3" xfId="15523" xr:uid="{F6329F9E-2473-4146-B972-F13F315A1B0E}"/>
    <cellStyle name="Currency 5 2 2 3 2 8 3" xfId="18931" xr:uid="{38487FA4-0766-4218-8F47-E9295284EF5A}"/>
    <cellStyle name="Currency 5 2 2 3 2 8 4" xfId="11310" xr:uid="{7737BE37-0E3A-4B90-9DE3-C88E3E5C379F}"/>
    <cellStyle name="Currency 5 2 2 3 2 9" xfId="4645" xr:uid="{00000000-0005-0000-0000-0000DD0B0000}"/>
    <cellStyle name="Currency 5 2 2 3 2 9 2" xfId="20762" xr:uid="{FA488425-AA7F-4F71-BF18-948DE7DDB552}"/>
    <cellStyle name="Currency 5 2 2 3 2 9 3" xfId="13141" xr:uid="{4835006C-8485-429C-AD78-65F3CA8D5AA3}"/>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23319" xr:uid="{B59841F4-B45F-4B3F-B7A7-A076C0B4572D}"/>
    <cellStyle name="Currency 5 2 2 3 3 2 2 3" xfId="15698" xr:uid="{7B8AB5FD-8A69-469A-9A55-8E3F382783B6}"/>
    <cellStyle name="Currency 5 2 2 3 3 2 3" xfId="19106" xr:uid="{2C8EDF73-5440-4A61-91DA-BA27AD658ED6}"/>
    <cellStyle name="Currency 5 2 2 3 3 2 4" xfId="11485" xr:uid="{0131DECB-E898-494E-B1BA-7C0EF083EDE1}"/>
    <cellStyle name="Currency 5 2 2 3 3 3" xfId="5058" xr:uid="{00000000-0005-0000-0000-0000E10B0000}"/>
    <cellStyle name="Currency 5 2 2 3 3 3 2" xfId="21174" xr:uid="{6D1D7BB6-791B-43CC-895D-5B8DCD7BF58A}"/>
    <cellStyle name="Currency 5 2 2 3 3 3 3" xfId="13553" xr:uid="{556118C0-1DD5-4D6A-A8BC-A5D1336E1454}"/>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23732" xr:uid="{18B017BD-456F-4B5D-A25B-85847CD38EB9}"/>
    <cellStyle name="Currency 5 2 2 3 4 2 2 3" xfId="16111" xr:uid="{051788DD-E19B-478A-8794-62476BCE924C}"/>
    <cellStyle name="Currency 5 2 2 3 4 2 3" xfId="19519" xr:uid="{ED7ED62B-E10B-447D-9C5B-4197799BE4D0}"/>
    <cellStyle name="Currency 5 2 2 3 4 2 4" xfId="11898" xr:uid="{30175F9E-BE47-44B7-AA67-ED977EBC2ABF}"/>
    <cellStyle name="Currency 5 2 2 3 4 3" xfId="5471" xr:uid="{00000000-0005-0000-0000-0000E50B0000}"/>
    <cellStyle name="Currency 5 2 2 3 4 3 2" xfId="21587" xr:uid="{AE56140D-6C98-4FAC-BEFB-AC3647314B9D}"/>
    <cellStyle name="Currency 5 2 2 3 4 3 3" xfId="13966" xr:uid="{F4840167-8323-48AF-964F-21150913EAC3}"/>
    <cellStyle name="Currency 5 2 2 3 4 4" xfId="17374" xr:uid="{DE762E3A-E698-46DD-ACD8-0D49CE18B797}"/>
    <cellStyle name="Currency 5 2 2 3 4 5" xfId="9753" xr:uid="{4B10EACB-9993-44AF-B1DA-E8B1AEB89B4B}"/>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24145" xr:uid="{33D84321-9CAA-48DA-8DD6-71C15EC21187}"/>
    <cellStyle name="Currency 5 2 2 3 5 2 2 3" xfId="16524" xr:uid="{B24F7E5C-4E92-40AA-B1E5-34F9696395F1}"/>
    <cellStyle name="Currency 5 2 2 3 5 2 3" xfId="19932" xr:uid="{6446E740-7029-4E1E-ABA6-468F5765A588}"/>
    <cellStyle name="Currency 5 2 2 3 5 2 4" xfId="12311" xr:uid="{4006B39B-75BB-45EA-9D0F-7DCE575CBBB9}"/>
    <cellStyle name="Currency 5 2 2 3 5 3" xfId="5884" xr:uid="{00000000-0005-0000-0000-0000E90B0000}"/>
    <cellStyle name="Currency 5 2 2 3 5 3 2" xfId="22000" xr:uid="{5272C42B-B862-4D9C-84A5-F42DCD8EF9B8}"/>
    <cellStyle name="Currency 5 2 2 3 5 3 3" xfId="14379" xr:uid="{0526637B-7456-4981-8B19-E16C348CC1F2}"/>
    <cellStyle name="Currency 5 2 2 3 5 4" xfId="17787" xr:uid="{F5E0EE53-2C46-4F1E-961F-6F6D011C55DD}"/>
    <cellStyle name="Currency 5 2 2 3 5 5" xfId="10166" xr:uid="{573B7981-20D9-4022-91B0-7EA1330C42CA}"/>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24558" xr:uid="{3F823CCA-1295-47E6-BAEC-37968F980C8F}"/>
    <cellStyle name="Currency 5 2 2 3 6 2 2 3" xfId="16937" xr:uid="{62E8E30D-E26E-45A7-8823-6674C716E19C}"/>
    <cellStyle name="Currency 5 2 2 3 6 2 3" xfId="20345" xr:uid="{188BDD65-AFEF-4AF8-B8A9-ADF95CAF0CB6}"/>
    <cellStyle name="Currency 5 2 2 3 6 2 4" xfId="12724" xr:uid="{323C90F2-C5B2-4DED-97C7-2559FB0A484E}"/>
    <cellStyle name="Currency 5 2 2 3 6 3" xfId="6297" xr:uid="{00000000-0005-0000-0000-0000ED0B0000}"/>
    <cellStyle name="Currency 5 2 2 3 6 3 2" xfId="22413" xr:uid="{B624D981-9FE3-428A-AD41-819613CB2869}"/>
    <cellStyle name="Currency 5 2 2 3 6 3 3" xfId="14792" xr:uid="{E5ADC418-CC89-443A-8875-9BEDB046DE58}"/>
    <cellStyle name="Currency 5 2 2 3 6 4" xfId="18200" xr:uid="{D60C2FB2-24C2-4BE6-B5F3-14991EEBE336}"/>
    <cellStyle name="Currency 5 2 2 3 6 5" xfId="10579" xr:uid="{1EF5DA24-4F9C-483B-9DC7-41A7848C61D4}"/>
    <cellStyle name="Currency 5 2 2 3 7" xfId="2426" xr:uid="{00000000-0005-0000-0000-0000EE0B0000}"/>
    <cellStyle name="Currency 5 2 2 3 7 2" xfId="6710" xr:uid="{00000000-0005-0000-0000-0000EF0B0000}"/>
    <cellStyle name="Currency 5 2 2 3 7 2 2" xfId="22826" xr:uid="{2EF3D4E1-4B90-4608-B220-06F14CDCBF87}"/>
    <cellStyle name="Currency 5 2 2 3 7 2 3" xfId="15205" xr:uid="{BA723AAE-5D23-4A01-88D6-5CD64B05BA50}"/>
    <cellStyle name="Currency 5 2 2 3 7 3" xfId="18613" xr:uid="{84ABE953-80AA-47B5-8981-78924D97ADCD}"/>
    <cellStyle name="Currency 5 2 2 3 7 4" xfId="10992" xr:uid="{289810BA-6B39-4275-B138-7378E51FE5F9}"/>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23143" xr:uid="{3C04ED14-0540-4BC5-9CFF-C2D43957BE18}"/>
    <cellStyle name="Currency 5 2 2 3 9 2 3" xfId="15522" xr:uid="{A1246C9F-62D5-4FF0-8F2A-A5686B0C9344}"/>
    <cellStyle name="Currency 5 2 2 3 9 3" xfId="18930" xr:uid="{8379FFF5-1699-4253-A726-C7F184B56889}"/>
    <cellStyle name="Currency 5 2 2 3 9 4" xfId="11309" xr:uid="{E1867860-479D-45B0-BF1E-1F6700830AF5}"/>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23321" xr:uid="{F3C3572F-8AEE-4532-9732-010706EE12BC}"/>
    <cellStyle name="Currency 5 2 2 4 2 2 2 3" xfId="15700" xr:uid="{4754385D-4FDE-4A87-BF73-96B0847510CB}"/>
    <cellStyle name="Currency 5 2 2 4 2 2 3" xfId="19108" xr:uid="{FE85A030-4918-4DAE-85C7-91B79EE60288}"/>
    <cellStyle name="Currency 5 2 2 4 2 2 4" xfId="11487" xr:uid="{47679BB6-3808-4221-90C0-87DA8EAC5011}"/>
    <cellStyle name="Currency 5 2 2 4 2 3" xfId="5060" xr:uid="{00000000-0005-0000-0000-0000F70B0000}"/>
    <cellStyle name="Currency 5 2 2 4 2 3 2" xfId="21176" xr:uid="{07800B04-03BC-49FA-B28F-777F2F9C9748}"/>
    <cellStyle name="Currency 5 2 2 4 2 3 3" xfId="13555" xr:uid="{E4189263-B557-4C5A-ADEA-D854056EBF26}"/>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23734" xr:uid="{1557A36E-85B2-4B83-8112-33F2372F99C3}"/>
    <cellStyle name="Currency 5 2 2 4 3 2 2 3" xfId="16113" xr:uid="{4D66880B-F5CD-46A1-8C65-B4B6786B94C8}"/>
    <cellStyle name="Currency 5 2 2 4 3 2 3" xfId="19521" xr:uid="{17152CCA-2B72-4A1F-A0C4-C60137D26DEC}"/>
    <cellStyle name="Currency 5 2 2 4 3 2 4" xfId="11900" xr:uid="{CEF645C2-05B2-4D3A-86FE-2BD2FC1162B3}"/>
    <cellStyle name="Currency 5 2 2 4 3 3" xfId="5473" xr:uid="{00000000-0005-0000-0000-0000FB0B0000}"/>
    <cellStyle name="Currency 5 2 2 4 3 3 2" xfId="21589" xr:uid="{2DE1B309-B834-4F37-A248-300702303BE1}"/>
    <cellStyle name="Currency 5 2 2 4 3 3 3" xfId="13968" xr:uid="{DA290296-1293-45ED-944A-FD56C18438F6}"/>
    <cellStyle name="Currency 5 2 2 4 3 4" xfId="17376" xr:uid="{BFC9D7C9-D735-4090-8BC4-0B9C5DA81D4D}"/>
    <cellStyle name="Currency 5 2 2 4 3 5" xfId="9755" xr:uid="{69856BF5-BC97-4BFD-92CC-96624FBB9C55}"/>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24147" xr:uid="{2406CB7B-0A6E-44D1-97CC-FB606A1B9C47}"/>
    <cellStyle name="Currency 5 2 2 4 4 2 2 3" xfId="16526" xr:uid="{74F65FC4-990C-4ADC-951C-1036C513B302}"/>
    <cellStyle name="Currency 5 2 2 4 4 2 3" xfId="19934" xr:uid="{0B902F13-84EB-4218-BA51-265E48DD4BEB}"/>
    <cellStyle name="Currency 5 2 2 4 4 2 4" xfId="12313" xr:uid="{6E16414B-C94A-463E-899F-A10D24AF00CB}"/>
    <cellStyle name="Currency 5 2 2 4 4 3" xfId="5886" xr:uid="{00000000-0005-0000-0000-0000FF0B0000}"/>
    <cellStyle name="Currency 5 2 2 4 4 3 2" xfId="22002" xr:uid="{ED6CB765-7B2E-46C5-84B5-518E40BAF822}"/>
    <cellStyle name="Currency 5 2 2 4 4 3 3" xfId="14381" xr:uid="{ED871F63-85A7-492D-812E-77C7FF7115B5}"/>
    <cellStyle name="Currency 5 2 2 4 4 4" xfId="17789" xr:uid="{2A9495AF-8C9F-4185-9B5F-0FAA016B969C}"/>
    <cellStyle name="Currency 5 2 2 4 4 5" xfId="10168" xr:uid="{A5CA418D-4882-45F4-898A-3F2DEC3139AB}"/>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24560" xr:uid="{D2400B96-6B6D-4FF9-9A19-0A7A6DE98DDB}"/>
    <cellStyle name="Currency 5 2 2 4 5 2 2 3" xfId="16939" xr:uid="{B011F0AB-E120-45AD-9DA1-97E1371D0A77}"/>
    <cellStyle name="Currency 5 2 2 4 5 2 3" xfId="20347" xr:uid="{69AB1378-0FE8-4ECE-8C51-19917359C96D}"/>
    <cellStyle name="Currency 5 2 2 4 5 2 4" xfId="12726" xr:uid="{6207D791-5928-4A5C-BCFB-292902E397FB}"/>
    <cellStyle name="Currency 5 2 2 4 5 3" xfId="6299" xr:uid="{00000000-0005-0000-0000-0000030C0000}"/>
    <cellStyle name="Currency 5 2 2 4 5 3 2" xfId="22415" xr:uid="{7E14839C-7953-4458-9BBD-19AEC9D173F6}"/>
    <cellStyle name="Currency 5 2 2 4 5 3 3" xfId="14794" xr:uid="{A54BC11A-658A-4C91-8C79-F9AE257DE13F}"/>
    <cellStyle name="Currency 5 2 2 4 5 4" xfId="18202" xr:uid="{0B8C2DF5-6127-4018-8251-CD9B28B528C5}"/>
    <cellStyle name="Currency 5 2 2 4 5 5" xfId="10581" xr:uid="{6AD4CD46-2AC2-42F7-8ED7-6C642CBFE29D}"/>
    <cellStyle name="Currency 5 2 2 4 6" xfId="2428" xr:uid="{00000000-0005-0000-0000-0000040C0000}"/>
    <cellStyle name="Currency 5 2 2 4 6 2" xfId="6712" xr:uid="{00000000-0005-0000-0000-0000050C0000}"/>
    <cellStyle name="Currency 5 2 2 4 6 2 2" xfId="22828" xr:uid="{735B80F4-2371-452A-A22E-E60631AA34F4}"/>
    <cellStyle name="Currency 5 2 2 4 6 2 3" xfId="15207" xr:uid="{AE070337-9391-443E-A9D0-385352D7902B}"/>
    <cellStyle name="Currency 5 2 2 4 6 3" xfId="18615" xr:uid="{16213C88-FAFC-4FA4-80B0-D9A870F0C00F}"/>
    <cellStyle name="Currency 5 2 2 4 6 4" xfId="10994" xr:uid="{05E3C931-3572-43FD-9C59-9814FAB82A40}"/>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23145" xr:uid="{091CB627-4965-4CD4-A4FF-5BD8FF7BBB3B}"/>
    <cellStyle name="Currency 5 2 2 4 8 2 3" xfId="15524" xr:uid="{DD1AFDE5-60C1-45BF-AA6C-BB2E71544FEB}"/>
    <cellStyle name="Currency 5 2 2 4 8 3" xfId="18932" xr:uid="{92CA857D-0A2B-4CE5-A6C2-828AAAF67FCA}"/>
    <cellStyle name="Currency 5 2 2 4 8 4" xfId="11311" xr:uid="{B95B93AB-747E-49C5-8087-9A2098A21B1E}"/>
    <cellStyle name="Currency 5 2 2 4 9" xfId="4646" xr:uid="{00000000-0005-0000-0000-0000090C0000}"/>
    <cellStyle name="Currency 5 2 2 4 9 2" xfId="20763" xr:uid="{B77A44BF-B92F-4347-BC43-29F987E07210}"/>
    <cellStyle name="Currency 5 2 2 4 9 3" xfId="13142" xr:uid="{D89957E7-857C-4EBA-B5C0-8AC9CAD399DF}"/>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23322" xr:uid="{207C62BE-926F-4410-8E58-0481218F782A}"/>
    <cellStyle name="Currency 5 2 2 5 2 2 2 3" xfId="15701" xr:uid="{A2365AB8-8C21-485B-8699-74BCF9B086BF}"/>
    <cellStyle name="Currency 5 2 2 5 2 2 3" xfId="19109" xr:uid="{6DC96008-5B36-4E97-9776-FDC3C5DCD487}"/>
    <cellStyle name="Currency 5 2 2 5 2 2 4" xfId="11488" xr:uid="{4486427D-DC5B-4A88-ABC0-DDD03B1A2E55}"/>
    <cellStyle name="Currency 5 2 2 5 2 3" xfId="5061" xr:uid="{00000000-0005-0000-0000-00000E0C0000}"/>
    <cellStyle name="Currency 5 2 2 5 2 3 2" xfId="21177" xr:uid="{650884B9-71BB-419E-83E4-EE1A8E2ACE8F}"/>
    <cellStyle name="Currency 5 2 2 5 2 3 3" xfId="13556" xr:uid="{E1F750A7-0ABA-435D-AAF3-FAF7D48F7717}"/>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23735" xr:uid="{B82D7D41-4DBE-46AD-8EAC-2D17E9F6AE42}"/>
    <cellStyle name="Currency 5 2 2 5 3 2 2 3" xfId="16114" xr:uid="{58ABB820-3EE7-45C9-9982-EE57FA57B70F}"/>
    <cellStyle name="Currency 5 2 2 5 3 2 3" xfId="19522" xr:uid="{790CE7C8-7626-416B-971E-CB4B002C3D43}"/>
    <cellStyle name="Currency 5 2 2 5 3 2 4" xfId="11901" xr:uid="{AA17E6CF-3073-4C3C-B193-57D77E988517}"/>
    <cellStyle name="Currency 5 2 2 5 3 3" xfId="5474" xr:uid="{00000000-0005-0000-0000-0000120C0000}"/>
    <cellStyle name="Currency 5 2 2 5 3 3 2" xfId="21590" xr:uid="{B2A22361-DB3E-46C0-897E-892C45D092D8}"/>
    <cellStyle name="Currency 5 2 2 5 3 3 3" xfId="13969" xr:uid="{CC726B6E-AEF7-4121-9955-62E4FD2886D6}"/>
    <cellStyle name="Currency 5 2 2 5 3 4" xfId="17377" xr:uid="{FA53AC0E-819E-408C-B8BC-B666A6A9907A}"/>
    <cellStyle name="Currency 5 2 2 5 3 5" xfId="9756" xr:uid="{F87FC40B-08BF-4F21-B3A6-DC35720BA4CC}"/>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24148" xr:uid="{8E89C59C-3234-41D3-B9E3-0E5BA8548D75}"/>
    <cellStyle name="Currency 5 2 2 5 4 2 2 3" xfId="16527" xr:uid="{08E1E05B-492E-4C2B-9B35-6FDFB763A963}"/>
    <cellStyle name="Currency 5 2 2 5 4 2 3" xfId="19935" xr:uid="{D0F685A3-5932-4AF7-8587-CA9930F82C85}"/>
    <cellStyle name="Currency 5 2 2 5 4 2 4" xfId="12314" xr:uid="{EE42C442-1707-489B-94CF-2426C172E386}"/>
    <cellStyle name="Currency 5 2 2 5 4 3" xfId="5887" xr:uid="{00000000-0005-0000-0000-0000160C0000}"/>
    <cellStyle name="Currency 5 2 2 5 4 3 2" xfId="22003" xr:uid="{CCA5D2EF-4F16-40AC-993E-FB20586E5683}"/>
    <cellStyle name="Currency 5 2 2 5 4 3 3" xfId="14382" xr:uid="{A834B941-4663-4706-A44C-61F62C97E5A2}"/>
    <cellStyle name="Currency 5 2 2 5 4 4" xfId="17790" xr:uid="{2EEF4DBE-37CC-4D43-84AE-E5898F237649}"/>
    <cellStyle name="Currency 5 2 2 5 4 5" xfId="10169" xr:uid="{CE952798-5917-4D9B-BA46-8E2081DC658D}"/>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24561" xr:uid="{53C1EED7-9B38-4D9A-9FB6-80B9647CA3D3}"/>
    <cellStyle name="Currency 5 2 2 5 5 2 2 3" xfId="16940" xr:uid="{3B0F91A2-DC5C-423E-AC93-A064CB040807}"/>
    <cellStyle name="Currency 5 2 2 5 5 2 3" xfId="20348" xr:uid="{A5544654-A930-4ADD-940C-3CF581BA6B43}"/>
    <cellStyle name="Currency 5 2 2 5 5 2 4" xfId="12727" xr:uid="{0E4C0912-BB23-4423-95EB-587DDFD706EF}"/>
    <cellStyle name="Currency 5 2 2 5 5 3" xfId="6300" xr:uid="{00000000-0005-0000-0000-00001A0C0000}"/>
    <cellStyle name="Currency 5 2 2 5 5 3 2" xfId="22416" xr:uid="{EBB85E19-FEF0-48DE-9485-A4B48007D2AC}"/>
    <cellStyle name="Currency 5 2 2 5 5 3 3" xfId="14795" xr:uid="{CE62B8F4-10E6-499F-AF55-BFC697D9DE10}"/>
    <cellStyle name="Currency 5 2 2 5 5 4" xfId="18203" xr:uid="{06DF02EA-1A2D-41E5-BFDC-25EA5F43E432}"/>
    <cellStyle name="Currency 5 2 2 5 5 5" xfId="10582" xr:uid="{CB403539-41CE-40B8-ACF4-F82F2CCB5F4B}"/>
    <cellStyle name="Currency 5 2 2 5 6" xfId="2429" xr:uid="{00000000-0005-0000-0000-00001B0C0000}"/>
    <cellStyle name="Currency 5 2 2 5 6 2" xfId="6713" xr:uid="{00000000-0005-0000-0000-00001C0C0000}"/>
    <cellStyle name="Currency 5 2 2 5 6 2 2" xfId="22829" xr:uid="{F14CD417-5458-4CD7-9038-7D4966BAF255}"/>
    <cellStyle name="Currency 5 2 2 5 6 2 3" xfId="15208" xr:uid="{80D765B6-5E58-4D9E-99C1-9836E08EE9C9}"/>
    <cellStyle name="Currency 5 2 2 5 6 3" xfId="18616" xr:uid="{7510363D-4873-4A2F-A97C-C770DB299ADF}"/>
    <cellStyle name="Currency 5 2 2 5 6 4" xfId="10995" xr:uid="{57493959-D010-444E-A724-CDD5E82DC133}"/>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23146" xr:uid="{34ED4D1B-F45B-499F-B3A6-7F8555E38A20}"/>
    <cellStyle name="Currency 5 2 2 5 8 2 3" xfId="15525" xr:uid="{FC56A7B0-0FB2-400C-826A-3F58E9EBA4F7}"/>
    <cellStyle name="Currency 5 2 2 5 8 3" xfId="18933" xr:uid="{4A45C8A7-4CC7-4DA4-AB26-B9DFA397BE15}"/>
    <cellStyle name="Currency 5 2 2 5 8 4" xfId="11312" xr:uid="{1D69A626-D80A-4776-95C7-86FA2866332F}"/>
    <cellStyle name="Currency 5 2 2 5 9" xfId="4647" xr:uid="{00000000-0005-0000-0000-0000200C0000}"/>
    <cellStyle name="Currency 5 2 2 5 9 2" xfId="20764" xr:uid="{E58E455A-01E6-4479-8B9C-1DE4805210BC}"/>
    <cellStyle name="Currency 5 2 2 5 9 3" xfId="13143" xr:uid="{0DA43469-B214-4D48-A1F2-3A2C2C8285FE}"/>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20765" xr:uid="{4A59BBF3-A5C0-497C-A7B4-45F472824017}"/>
    <cellStyle name="Currency 5 2 4 10 3" xfId="13144" xr:uid="{C2BA12BE-0C39-47D5-AEAC-EE07374B280C}"/>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23324" xr:uid="{1928D4B2-98A5-4E7B-B03D-1E705CBB8027}"/>
    <cellStyle name="Currency 5 2 4 2 2 2 2 3" xfId="15703" xr:uid="{28D2D9B3-4952-42AF-9291-76148C4929AC}"/>
    <cellStyle name="Currency 5 2 4 2 2 2 3" xfId="19111" xr:uid="{FA39D4BC-690C-4CDC-9DAD-736E575EC951}"/>
    <cellStyle name="Currency 5 2 4 2 2 2 4" xfId="11490" xr:uid="{785757C7-3F63-412D-AA2E-00FFE760176B}"/>
    <cellStyle name="Currency 5 2 4 2 2 3" xfId="5063" xr:uid="{00000000-0005-0000-0000-0000290C0000}"/>
    <cellStyle name="Currency 5 2 4 2 2 3 2" xfId="21179" xr:uid="{9551DC5B-8B4C-456D-B895-438150757794}"/>
    <cellStyle name="Currency 5 2 4 2 2 3 3" xfId="13558" xr:uid="{A90F528A-0B49-4821-A95C-69AE448C77F8}"/>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23737" xr:uid="{9E5B42CE-0028-4F25-9901-CCCBB0ABB738}"/>
    <cellStyle name="Currency 5 2 4 2 3 2 2 3" xfId="16116" xr:uid="{EBBAD970-C697-4E99-971B-E40AEA66C492}"/>
    <cellStyle name="Currency 5 2 4 2 3 2 3" xfId="19524" xr:uid="{A7FB6F0C-905E-4599-B761-F9A9E5C29735}"/>
    <cellStyle name="Currency 5 2 4 2 3 2 4" xfId="11903" xr:uid="{C580DC4B-CB46-483C-A023-6FA7DC4D11F2}"/>
    <cellStyle name="Currency 5 2 4 2 3 3" xfId="5476" xr:uid="{00000000-0005-0000-0000-00002D0C0000}"/>
    <cellStyle name="Currency 5 2 4 2 3 3 2" xfId="21592" xr:uid="{46BEBE22-B3E5-4A17-BB46-3484CB0F61EE}"/>
    <cellStyle name="Currency 5 2 4 2 3 3 3" xfId="13971" xr:uid="{95F04578-6423-4723-948D-F9093BB349CC}"/>
    <cellStyle name="Currency 5 2 4 2 3 4" xfId="17379" xr:uid="{EE9984F3-C107-4F00-BAD6-B290F9758D95}"/>
    <cellStyle name="Currency 5 2 4 2 3 5" xfId="9758" xr:uid="{C5789767-1EC7-4E79-9B19-9B326A1FA47C}"/>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24150" xr:uid="{AC78A5B5-7129-4B3B-BA06-C67FC8619610}"/>
    <cellStyle name="Currency 5 2 4 2 4 2 2 3" xfId="16529" xr:uid="{75E9DA30-77C8-4E19-8E46-171028D00A8D}"/>
    <cellStyle name="Currency 5 2 4 2 4 2 3" xfId="19937" xr:uid="{A058D3AC-45BF-4263-973A-F7B15CB38301}"/>
    <cellStyle name="Currency 5 2 4 2 4 2 4" xfId="12316" xr:uid="{536179A7-C578-4C34-8464-5BF5444F9B4C}"/>
    <cellStyle name="Currency 5 2 4 2 4 3" xfId="5889" xr:uid="{00000000-0005-0000-0000-0000310C0000}"/>
    <cellStyle name="Currency 5 2 4 2 4 3 2" xfId="22005" xr:uid="{EB6EFF9D-A093-4CA8-8CD9-2FC3236CCE81}"/>
    <cellStyle name="Currency 5 2 4 2 4 3 3" xfId="14384" xr:uid="{C63AD9C0-9784-4FBE-A11C-107AFFDC755F}"/>
    <cellStyle name="Currency 5 2 4 2 4 4" xfId="17792" xr:uid="{A15C9D0C-421E-43F7-966B-0647AB339CD7}"/>
    <cellStyle name="Currency 5 2 4 2 4 5" xfId="10171" xr:uid="{70E69564-955B-41B1-A411-B3B2B9A0B3F6}"/>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24563" xr:uid="{07C3BC35-AF85-4983-AABF-103E78D3C62B}"/>
    <cellStyle name="Currency 5 2 4 2 5 2 2 3" xfId="16942" xr:uid="{28A5ADC8-89F6-42CB-83F7-BF41A42335E6}"/>
    <cellStyle name="Currency 5 2 4 2 5 2 3" xfId="20350" xr:uid="{795C38DB-4769-4264-BDF6-A3E1AEFCB232}"/>
    <cellStyle name="Currency 5 2 4 2 5 2 4" xfId="12729" xr:uid="{2C2697F5-94EE-42BD-B9A8-25F0770487E1}"/>
    <cellStyle name="Currency 5 2 4 2 5 3" xfId="6302" xr:uid="{00000000-0005-0000-0000-0000350C0000}"/>
    <cellStyle name="Currency 5 2 4 2 5 3 2" xfId="22418" xr:uid="{AE7400CB-8C18-45F4-B4F5-228CB18AE4E3}"/>
    <cellStyle name="Currency 5 2 4 2 5 3 3" xfId="14797" xr:uid="{7B959790-71D0-4B9C-925D-D1C1352A1DF6}"/>
    <cellStyle name="Currency 5 2 4 2 5 4" xfId="18205" xr:uid="{EC791500-DB8D-4803-91DE-1A6B39E9F7FC}"/>
    <cellStyle name="Currency 5 2 4 2 5 5" xfId="10584" xr:uid="{7C0799DD-0127-4099-95AB-8D3D3E55B5A3}"/>
    <cellStyle name="Currency 5 2 4 2 6" xfId="2431" xr:uid="{00000000-0005-0000-0000-0000360C0000}"/>
    <cellStyle name="Currency 5 2 4 2 6 2" xfId="6715" xr:uid="{00000000-0005-0000-0000-0000370C0000}"/>
    <cellStyle name="Currency 5 2 4 2 6 2 2" xfId="22831" xr:uid="{D018B397-22D9-4D11-817A-DDE343268B52}"/>
    <cellStyle name="Currency 5 2 4 2 6 2 3" xfId="15210" xr:uid="{E9D56F39-31FA-47D4-9C0E-9715A1D1B7E6}"/>
    <cellStyle name="Currency 5 2 4 2 6 3" xfId="18618" xr:uid="{12FD9860-C5FC-432F-BCFE-904869CEB526}"/>
    <cellStyle name="Currency 5 2 4 2 6 4" xfId="10997" xr:uid="{CD439566-E8C9-4314-8269-1D17737C6052}"/>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23148" xr:uid="{CB8EE747-A063-4406-AD57-23161F0B2FC7}"/>
    <cellStyle name="Currency 5 2 4 2 8 2 3" xfId="15527" xr:uid="{E73E3A6E-AEBB-43C8-9A73-C7A962D0E500}"/>
    <cellStyle name="Currency 5 2 4 2 8 3" xfId="18935" xr:uid="{CC5D4C73-2BEE-437E-AA4F-C999CE4F1B09}"/>
    <cellStyle name="Currency 5 2 4 2 8 4" xfId="11314" xr:uid="{0F96C146-5D11-43C0-A412-194C62A3C154}"/>
    <cellStyle name="Currency 5 2 4 2 9" xfId="4649" xr:uid="{00000000-0005-0000-0000-00003B0C0000}"/>
    <cellStyle name="Currency 5 2 4 2 9 2" xfId="20766" xr:uid="{0FF25D29-FB33-4E94-B38C-218F66672D2A}"/>
    <cellStyle name="Currency 5 2 4 2 9 3" xfId="13145" xr:uid="{9FD2C238-0D3C-4EF2-9B71-5F6F45A78FF8}"/>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23323" xr:uid="{63A34266-1AF4-484A-B8BF-24F4BF5565CC}"/>
    <cellStyle name="Currency 5 2 4 3 2 2 3" xfId="15702" xr:uid="{4B47109A-6D34-4FF7-922B-93D39AA5938A}"/>
    <cellStyle name="Currency 5 2 4 3 2 3" xfId="19110" xr:uid="{3CF0313B-B2A1-4F2D-B4C4-EBFF85416DDE}"/>
    <cellStyle name="Currency 5 2 4 3 2 4" xfId="11489" xr:uid="{C38E1AD7-B4A3-423A-8365-EB62C1D29D89}"/>
    <cellStyle name="Currency 5 2 4 3 3" xfId="5062" xr:uid="{00000000-0005-0000-0000-00003F0C0000}"/>
    <cellStyle name="Currency 5 2 4 3 3 2" xfId="21178" xr:uid="{16D90036-167B-4E5E-B9AE-D1F84841F574}"/>
    <cellStyle name="Currency 5 2 4 3 3 3" xfId="13557" xr:uid="{E16D7EBC-BC00-49B3-9766-9E396909B7F5}"/>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23736" xr:uid="{94E84261-6A37-475F-9C6A-3E160C2EAB6C}"/>
    <cellStyle name="Currency 5 2 4 4 2 2 3" xfId="16115" xr:uid="{674288D6-D627-4CBA-B376-A7ACE4EBBE93}"/>
    <cellStyle name="Currency 5 2 4 4 2 3" xfId="19523" xr:uid="{F4D84D9C-58E6-4B36-AEF8-F88D96F1E5B2}"/>
    <cellStyle name="Currency 5 2 4 4 2 4" xfId="11902" xr:uid="{81174680-900C-45AA-85DB-BCF2E57E537D}"/>
    <cellStyle name="Currency 5 2 4 4 3" xfId="5475" xr:uid="{00000000-0005-0000-0000-0000430C0000}"/>
    <cellStyle name="Currency 5 2 4 4 3 2" xfId="21591" xr:uid="{FBB4F291-A1AB-4FF1-9950-FD154CF783E2}"/>
    <cellStyle name="Currency 5 2 4 4 3 3" xfId="13970" xr:uid="{BE44E3D8-BA12-49AE-9661-DB9D8359F481}"/>
    <cellStyle name="Currency 5 2 4 4 4" xfId="17378" xr:uid="{636C96C8-BCD4-4C1C-82EB-61D951876F09}"/>
    <cellStyle name="Currency 5 2 4 4 5" xfId="9757" xr:uid="{AF89512D-B9EA-4C60-8444-6C593A9D4DE9}"/>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24149" xr:uid="{FB9AE8DA-0DE8-4242-952E-D8F28B485595}"/>
    <cellStyle name="Currency 5 2 4 5 2 2 3" xfId="16528" xr:uid="{6DE04E6A-0D57-45D5-B863-3F0C0A03D747}"/>
    <cellStyle name="Currency 5 2 4 5 2 3" xfId="19936" xr:uid="{0CFA083E-7266-4CE8-8E80-BD986C6D46EE}"/>
    <cellStyle name="Currency 5 2 4 5 2 4" xfId="12315" xr:uid="{84846FF2-9C6D-44D0-9559-206F1BAB983B}"/>
    <cellStyle name="Currency 5 2 4 5 3" xfId="5888" xr:uid="{00000000-0005-0000-0000-0000470C0000}"/>
    <cellStyle name="Currency 5 2 4 5 3 2" xfId="22004" xr:uid="{88DC0B1A-CC4A-4803-B02E-952575839109}"/>
    <cellStyle name="Currency 5 2 4 5 3 3" xfId="14383" xr:uid="{00EB81B9-72DD-4057-B0C8-409649D3B3A9}"/>
    <cellStyle name="Currency 5 2 4 5 4" xfId="17791" xr:uid="{08837BC5-76FA-4599-8D0A-42A7F8208F9A}"/>
    <cellStyle name="Currency 5 2 4 5 5" xfId="10170" xr:uid="{42A094E0-A4C2-4752-ADE5-E9906199DAFD}"/>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24562" xr:uid="{05C585E6-27F7-4F74-9CBB-ECF94C917043}"/>
    <cellStyle name="Currency 5 2 4 6 2 2 3" xfId="16941" xr:uid="{770997E0-C071-4D88-A0FF-ADBE564162A2}"/>
    <cellStyle name="Currency 5 2 4 6 2 3" xfId="20349" xr:uid="{3C945864-A8EE-4116-A907-04AABD4498B4}"/>
    <cellStyle name="Currency 5 2 4 6 2 4" xfId="12728" xr:uid="{CD61B401-7F80-477C-B022-FFF3AF5A8BF2}"/>
    <cellStyle name="Currency 5 2 4 6 3" xfId="6301" xr:uid="{00000000-0005-0000-0000-00004B0C0000}"/>
    <cellStyle name="Currency 5 2 4 6 3 2" xfId="22417" xr:uid="{AC246680-62C0-40CD-9892-497456F81B73}"/>
    <cellStyle name="Currency 5 2 4 6 3 3" xfId="14796" xr:uid="{DD692564-05D8-46BB-AD14-DC46F47D6BEE}"/>
    <cellStyle name="Currency 5 2 4 6 4" xfId="18204" xr:uid="{5DDC7C72-0568-494B-9546-6446D8C8BE81}"/>
    <cellStyle name="Currency 5 2 4 6 5" xfId="10583" xr:uid="{1ACAB36E-A09F-4334-9BDC-4701442BACF5}"/>
    <cellStyle name="Currency 5 2 4 7" xfId="2430" xr:uid="{00000000-0005-0000-0000-00004C0C0000}"/>
    <cellStyle name="Currency 5 2 4 7 2" xfId="6714" xr:uid="{00000000-0005-0000-0000-00004D0C0000}"/>
    <cellStyle name="Currency 5 2 4 7 2 2" xfId="22830" xr:uid="{DD04ADD9-B8E6-4FE8-A7F0-7EA4802467A3}"/>
    <cellStyle name="Currency 5 2 4 7 2 3" xfId="15209" xr:uid="{E570252F-F5F5-4397-913E-931390479395}"/>
    <cellStyle name="Currency 5 2 4 7 3" xfId="18617" xr:uid="{5809054B-0446-47F0-8AA5-B628F615E174}"/>
    <cellStyle name="Currency 5 2 4 7 4" xfId="10996" xr:uid="{F2D06EFB-6827-4B73-990A-C261ECFA4673}"/>
    <cellStyle name="Currency 5 2 4 8" xfId="2727" xr:uid="{00000000-0005-0000-0000-00004E0C0000}"/>
    <cellStyle name="Currency 5 2 4 9" xfId="2808" xr:uid="{00000000-0005-0000-0000-00004F0C0000}"/>
    <cellStyle name="Currency 5 2 4 9 2" xfId="7031" xr:uid="{00000000-0005-0000-0000-0000500C0000}"/>
    <cellStyle name="Currency 5 2 4 9 2 2" xfId="23147" xr:uid="{A23A9620-1F58-4DD5-A2FE-CC14DFBEC0DB}"/>
    <cellStyle name="Currency 5 2 4 9 2 3" xfId="15526" xr:uid="{25DE2B11-FFBF-479F-8D06-8CB58BA3821D}"/>
    <cellStyle name="Currency 5 2 4 9 3" xfId="18934" xr:uid="{7147B57D-8F40-45DE-BA3D-1B6DC54870BD}"/>
    <cellStyle name="Currency 5 2 4 9 4" xfId="11313" xr:uid="{1E2747A4-F960-43F4-BF79-4DFA663A27AB}"/>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23325" xr:uid="{36B19316-5FF1-425B-A7E0-1D7077B588A6}"/>
    <cellStyle name="Currency 5 2 5 2 2 2 3" xfId="15704" xr:uid="{FEF54BBD-4C5B-436A-9FAB-EDD5B7520282}"/>
    <cellStyle name="Currency 5 2 5 2 2 3" xfId="19112" xr:uid="{60135BC2-5804-4B88-946C-50884052B4D6}"/>
    <cellStyle name="Currency 5 2 5 2 2 4" xfId="11491" xr:uid="{DC7E76AF-6B3A-48B8-9B94-C2CFDE8DD211}"/>
    <cellStyle name="Currency 5 2 5 2 3" xfId="5064" xr:uid="{00000000-0005-0000-0000-0000550C0000}"/>
    <cellStyle name="Currency 5 2 5 2 3 2" xfId="21180" xr:uid="{A6B0666A-1F5D-4AFA-875E-B95281107299}"/>
    <cellStyle name="Currency 5 2 5 2 3 3" xfId="13559" xr:uid="{EB0FA1BD-E42C-442C-834D-E73252289039}"/>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23738" xr:uid="{FF133FF4-4426-48ED-A013-4A129E2527C5}"/>
    <cellStyle name="Currency 5 2 5 3 2 2 3" xfId="16117" xr:uid="{BB3F6F1D-1B23-4FB9-B346-D497E5BDA933}"/>
    <cellStyle name="Currency 5 2 5 3 2 3" xfId="19525" xr:uid="{395550E8-51CE-42A1-B73E-8FA52273B0F1}"/>
    <cellStyle name="Currency 5 2 5 3 2 4" xfId="11904" xr:uid="{FE56DEC2-196A-4BE5-991C-010FD9BA0FA4}"/>
    <cellStyle name="Currency 5 2 5 3 3" xfId="5477" xr:uid="{00000000-0005-0000-0000-0000590C0000}"/>
    <cellStyle name="Currency 5 2 5 3 3 2" xfId="21593" xr:uid="{AF7B5B7C-8206-47D1-9A71-4A6F10E30B89}"/>
    <cellStyle name="Currency 5 2 5 3 3 3" xfId="13972" xr:uid="{610DCBED-4C5D-4026-8CAC-1C415D959BA4}"/>
    <cellStyle name="Currency 5 2 5 3 4" xfId="17380" xr:uid="{905C263A-5238-4DB6-8AB2-9DAB5938BA5C}"/>
    <cellStyle name="Currency 5 2 5 3 5" xfId="9759" xr:uid="{6601FC98-23BA-4A27-8F5F-4AF82064A6FB}"/>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24151" xr:uid="{89897413-3B41-4A64-808A-C1B6CEF2D3AE}"/>
    <cellStyle name="Currency 5 2 5 4 2 2 3" xfId="16530" xr:uid="{6D2F7BC6-5ADD-483D-94A9-9E175D67E2CD}"/>
    <cellStyle name="Currency 5 2 5 4 2 3" xfId="19938" xr:uid="{B17C21A3-65C8-4FFA-8607-93B2BF8FD55B}"/>
    <cellStyle name="Currency 5 2 5 4 2 4" xfId="12317" xr:uid="{3638D4F4-6C2E-41F1-BF2B-8F4B985D99D4}"/>
    <cellStyle name="Currency 5 2 5 4 3" xfId="5890" xr:uid="{00000000-0005-0000-0000-00005D0C0000}"/>
    <cellStyle name="Currency 5 2 5 4 3 2" xfId="22006" xr:uid="{EF6C7D1F-292C-4273-B626-4439FBB3847A}"/>
    <cellStyle name="Currency 5 2 5 4 3 3" xfId="14385" xr:uid="{FAB38661-C802-413B-A819-7BF34B737FCD}"/>
    <cellStyle name="Currency 5 2 5 4 4" xfId="17793" xr:uid="{AC536BE3-F9EF-4937-B60F-2212C8AC3C1E}"/>
    <cellStyle name="Currency 5 2 5 4 5" xfId="10172" xr:uid="{056CE747-719A-442C-B45A-872AA87A0CAB}"/>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24564" xr:uid="{C1163513-732C-4BD3-8178-D30B9B04EE1C}"/>
    <cellStyle name="Currency 5 2 5 5 2 2 3" xfId="16943" xr:uid="{EAAD73D8-7D16-4C1B-93E0-2664B0721C22}"/>
    <cellStyle name="Currency 5 2 5 5 2 3" xfId="20351" xr:uid="{F6E30DB1-4CE0-45AC-9C8F-F647BCB9D562}"/>
    <cellStyle name="Currency 5 2 5 5 2 4" xfId="12730" xr:uid="{9FCF2ADB-F6CD-4768-83BB-1E4C68593B4A}"/>
    <cellStyle name="Currency 5 2 5 5 3" xfId="6303" xr:uid="{00000000-0005-0000-0000-0000610C0000}"/>
    <cellStyle name="Currency 5 2 5 5 3 2" xfId="22419" xr:uid="{BEA15A08-7AEE-479A-B3A0-63523CC135F4}"/>
    <cellStyle name="Currency 5 2 5 5 3 3" xfId="14798" xr:uid="{373E758D-ADFE-41BA-8A1F-D3A6EFE61D83}"/>
    <cellStyle name="Currency 5 2 5 5 4" xfId="18206" xr:uid="{1B68FB39-45E0-4083-A87A-A2FFAE802FCB}"/>
    <cellStyle name="Currency 5 2 5 5 5" xfId="10585" xr:uid="{126B3301-96A1-4E2D-9113-202158A9ECE6}"/>
    <cellStyle name="Currency 5 2 5 6" xfId="2432" xr:uid="{00000000-0005-0000-0000-0000620C0000}"/>
    <cellStyle name="Currency 5 2 5 6 2" xfId="6716" xr:uid="{00000000-0005-0000-0000-0000630C0000}"/>
    <cellStyle name="Currency 5 2 5 6 2 2" xfId="22832" xr:uid="{F54CD199-EE8A-45B1-BA73-E8243D181198}"/>
    <cellStyle name="Currency 5 2 5 6 2 3" xfId="15211" xr:uid="{288BE198-B8D3-425B-9568-CACC23D1DD15}"/>
    <cellStyle name="Currency 5 2 5 6 3" xfId="18619" xr:uid="{A5C58B68-90D0-4813-B1A8-A260947B2735}"/>
    <cellStyle name="Currency 5 2 5 6 4" xfId="10998" xr:uid="{CCABC84F-0249-4E28-ADA7-06BA982A2D5C}"/>
    <cellStyle name="Currency 5 2 5 7" xfId="2729" xr:uid="{00000000-0005-0000-0000-0000640C0000}"/>
    <cellStyle name="Currency 5 2 5 8" xfId="2810" xr:uid="{00000000-0005-0000-0000-0000650C0000}"/>
    <cellStyle name="Currency 5 2 5 8 2" xfId="7033" xr:uid="{00000000-0005-0000-0000-0000660C0000}"/>
    <cellStyle name="Currency 5 2 5 8 2 2" xfId="23149" xr:uid="{184AB58E-8C9B-495F-A181-86BCFDD32748}"/>
    <cellStyle name="Currency 5 2 5 8 2 3" xfId="15528" xr:uid="{DD54FCC5-8E91-4E31-AC60-71D2FAA02F83}"/>
    <cellStyle name="Currency 5 2 5 8 3" xfId="18936" xr:uid="{BB86A961-6F49-40AF-ABB1-B86217C87257}"/>
    <cellStyle name="Currency 5 2 5 8 4" xfId="11315" xr:uid="{D4E94B52-5DEB-4501-A619-A6C88C9CB17D}"/>
    <cellStyle name="Currency 5 2 5 9" xfId="4650" xr:uid="{00000000-0005-0000-0000-0000670C0000}"/>
    <cellStyle name="Currency 5 2 5 9 2" xfId="20767" xr:uid="{AE77BEEA-B0E8-49BA-AB25-A38B9D706EEE}"/>
    <cellStyle name="Currency 5 2 5 9 3" xfId="13146" xr:uid="{CE47B1CD-8B0B-45D1-A63B-C9454B461E4B}"/>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23326" xr:uid="{8C6915DD-AD51-43A8-BCB2-7AFB5EA30B50}"/>
    <cellStyle name="Currency 5 2 6 2 2 2 3" xfId="15705" xr:uid="{2CAD164D-50F0-4CCB-9CF3-C00F15786AE0}"/>
    <cellStyle name="Currency 5 2 6 2 2 3" xfId="19113" xr:uid="{273350CF-0D99-40ED-A266-AC03A975FC57}"/>
    <cellStyle name="Currency 5 2 6 2 2 4" xfId="11492" xr:uid="{B29F48B3-791B-4B3A-A60D-241D146A2C23}"/>
    <cellStyle name="Currency 5 2 6 2 3" xfId="5065" xr:uid="{00000000-0005-0000-0000-00006C0C0000}"/>
    <cellStyle name="Currency 5 2 6 2 3 2" xfId="21181" xr:uid="{0E2EF4BA-1EF7-42C9-88E5-885C13BE4FD8}"/>
    <cellStyle name="Currency 5 2 6 2 3 3" xfId="13560" xr:uid="{BE81FE78-3386-4A03-A1EF-46B54B984BBB}"/>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23739" xr:uid="{FEEF5CBD-BE25-4F7F-A652-4E05E2DE9931}"/>
    <cellStyle name="Currency 5 2 6 3 2 2 3" xfId="16118" xr:uid="{F6BCDE5E-D919-4EA3-A2B1-A43D26FEBFE3}"/>
    <cellStyle name="Currency 5 2 6 3 2 3" xfId="19526" xr:uid="{AF9EB213-57AE-4158-AA42-FEBEFD3B8073}"/>
    <cellStyle name="Currency 5 2 6 3 2 4" xfId="11905" xr:uid="{A882399F-67E8-475F-B10B-3C9DE02D2D22}"/>
    <cellStyle name="Currency 5 2 6 3 3" xfId="5478" xr:uid="{00000000-0005-0000-0000-0000700C0000}"/>
    <cellStyle name="Currency 5 2 6 3 3 2" xfId="21594" xr:uid="{1B8B7E86-ECBD-48A6-8B74-6C0A18FAABC7}"/>
    <cellStyle name="Currency 5 2 6 3 3 3" xfId="13973" xr:uid="{33C22278-B989-4CFE-9911-377E2335AE34}"/>
    <cellStyle name="Currency 5 2 6 3 4" xfId="17381" xr:uid="{6746484B-8E03-48ED-8232-0FDCC7EC2A73}"/>
    <cellStyle name="Currency 5 2 6 3 5" xfId="9760" xr:uid="{D022E474-1372-492F-8A95-3048E5A4E4C9}"/>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24152" xr:uid="{D8ABAD3B-CB1D-4FC8-AA17-8F474A5A1DDB}"/>
    <cellStyle name="Currency 5 2 6 4 2 2 3" xfId="16531" xr:uid="{17F5104D-23D2-4497-AE27-E6CCB547B698}"/>
    <cellStyle name="Currency 5 2 6 4 2 3" xfId="19939" xr:uid="{96C70E29-134D-431D-A569-FC1B8EE5DC5C}"/>
    <cellStyle name="Currency 5 2 6 4 2 4" xfId="12318" xr:uid="{786A50E9-EC7E-4162-AB33-1439F2D950C9}"/>
    <cellStyle name="Currency 5 2 6 4 3" xfId="5891" xr:uid="{00000000-0005-0000-0000-0000740C0000}"/>
    <cellStyle name="Currency 5 2 6 4 3 2" xfId="22007" xr:uid="{22D3E826-221C-4023-A261-5010464CEE8B}"/>
    <cellStyle name="Currency 5 2 6 4 3 3" xfId="14386" xr:uid="{DB3114B3-859E-41C4-809E-39B3EA3E0080}"/>
    <cellStyle name="Currency 5 2 6 4 4" xfId="17794" xr:uid="{EB219278-9BD6-4349-82CE-17CD2C03A847}"/>
    <cellStyle name="Currency 5 2 6 4 5" xfId="10173" xr:uid="{CE77474C-0DD9-4A53-8ED3-6BBB13D24C88}"/>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24565" xr:uid="{391D4A47-7ED0-4930-8D55-27E49F106F82}"/>
    <cellStyle name="Currency 5 2 6 5 2 2 3" xfId="16944" xr:uid="{D4DEC2AA-0B89-43DB-A668-6AFA30A2D447}"/>
    <cellStyle name="Currency 5 2 6 5 2 3" xfId="20352" xr:uid="{D7D2923E-0C40-4D84-9433-A830D8073A43}"/>
    <cellStyle name="Currency 5 2 6 5 2 4" xfId="12731" xr:uid="{4C170860-FB8E-4C19-9382-FE827D83B6E1}"/>
    <cellStyle name="Currency 5 2 6 5 3" xfId="6304" xr:uid="{00000000-0005-0000-0000-0000780C0000}"/>
    <cellStyle name="Currency 5 2 6 5 3 2" xfId="22420" xr:uid="{963755F1-5912-4820-B476-0E341C407441}"/>
    <cellStyle name="Currency 5 2 6 5 3 3" xfId="14799" xr:uid="{84B9D621-9888-425F-8B4C-C398286B71E7}"/>
    <cellStyle name="Currency 5 2 6 5 4" xfId="18207" xr:uid="{C91A1E54-22DF-425D-9429-8483F1D90DD1}"/>
    <cellStyle name="Currency 5 2 6 5 5" xfId="10586" xr:uid="{74459817-5C6C-435B-81CF-8D7454C8EA76}"/>
    <cellStyle name="Currency 5 2 6 6" xfId="2433" xr:uid="{00000000-0005-0000-0000-0000790C0000}"/>
    <cellStyle name="Currency 5 2 6 6 2" xfId="6717" xr:uid="{00000000-0005-0000-0000-00007A0C0000}"/>
    <cellStyle name="Currency 5 2 6 6 2 2" xfId="22833" xr:uid="{2F6CBAB0-D7FE-4CCA-B857-D16D9B05B169}"/>
    <cellStyle name="Currency 5 2 6 6 2 3" xfId="15212" xr:uid="{21134220-6F0F-4969-A342-7F0B1B496A56}"/>
    <cellStyle name="Currency 5 2 6 6 3" xfId="18620" xr:uid="{A1F1AE93-5BBE-45AF-9BE1-1E87613F7EA6}"/>
    <cellStyle name="Currency 5 2 6 6 4" xfId="10999" xr:uid="{34526C8A-55E6-41E2-A03A-E4446838B80F}"/>
    <cellStyle name="Currency 5 2 6 7" xfId="2730" xr:uid="{00000000-0005-0000-0000-00007B0C0000}"/>
    <cellStyle name="Currency 5 2 6 8" xfId="2811" xr:uid="{00000000-0005-0000-0000-00007C0C0000}"/>
    <cellStyle name="Currency 5 2 6 8 2" xfId="7034" xr:uid="{00000000-0005-0000-0000-00007D0C0000}"/>
    <cellStyle name="Currency 5 2 6 8 2 2" xfId="23150" xr:uid="{FCB3D178-E2A3-4490-84BA-9ADDD2DEAF6E}"/>
    <cellStyle name="Currency 5 2 6 8 2 3" xfId="15529" xr:uid="{2EC25289-5F33-4AFA-BB4F-CB7122DF30EF}"/>
    <cellStyle name="Currency 5 2 6 8 3" xfId="18937" xr:uid="{D296C6AF-8DF5-457D-9BC3-487EF786F0FB}"/>
    <cellStyle name="Currency 5 2 6 8 4" xfId="11316" xr:uid="{0AD519C5-06CD-4840-8F05-4B2B4A4358B3}"/>
    <cellStyle name="Currency 5 2 6 9" xfId="4651" xr:uid="{00000000-0005-0000-0000-00007E0C0000}"/>
    <cellStyle name="Currency 5 2 6 9 2" xfId="20768" xr:uid="{2D22A2D1-E042-462E-9319-78BE3D27407B}"/>
    <cellStyle name="Currency 5 2 6 9 3" xfId="13147" xr:uid="{5B246AA1-DCAA-44D5-BF24-F7234EEC8EC1}"/>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23151" xr:uid="{CDBCBBF3-A4C9-4A52-A67D-F6CC974A60CC}"/>
    <cellStyle name="Currency 5 3 2 10 2 3" xfId="15530" xr:uid="{DAEE43B6-5FB7-4841-9A17-30B148A77831}"/>
    <cellStyle name="Currency 5 3 2 10 3" xfId="18938" xr:uid="{9F814C1E-6C3E-44EC-9149-82ECB041DEC5}"/>
    <cellStyle name="Currency 5 3 2 10 4" xfId="11317" xr:uid="{8713D2F6-026C-461E-9796-4F0152DE99FC}"/>
    <cellStyle name="Currency 5 3 2 11" xfId="4652" xr:uid="{00000000-0005-0000-0000-0000840C0000}"/>
    <cellStyle name="Currency 5 3 2 11 2" xfId="20769" xr:uid="{652CB5F7-83F6-4DED-86E6-FBBBEA4BFEB8}"/>
    <cellStyle name="Currency 5 3 2 11 3" xfId="13148" xr:uid="{78F67597-A00F-4F93-A4A5-4FDEFF073B10}"/>
    <cellStyle name="Currency 5 3 2 12" xfId="8810" xr:uid="{C5234FF9-D509-4CD8-ADA1-D3604CCF3D1F}"/>
    <cellStyle name="Currency 5 3 2 2" xfId="211" xr:uid="{00000000-0005-0000-0000-0000850C0000}"/>
    <cellStyle name="Currency 5 3 2 2 10" xfId="4653" xr:uid="{00000000-0005-0000-0000-0000860C0000}"/>
    <cellStyle name="Currency 5 3 2 2 10 2" xfId="20770" xr:uid="{C5B7EFE1-16F9-4CBE-B567-626A8C1B7EDD}"/>
    <cellStyle name="Currency 5 3 2 2 10 3" xfId="13149" xr:uid="{59CCF9D9-E2EE-48CB-9E7A-A2D54835F1B4}"/>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23329" xr:uid="{3A934A95-B128-4959-9D08-9AFAFF149759}"/>
    <cellStyle name="Currency 5 3 2 2 2 2 2 2 3" xfId="15708" xr:uid="{56E24E3C-AB0F-4A1C-843A-876368326A4F}"/>
    <cellStyle name="Currency 5 3 2 2 2 2 2 3" xfId="19116" xr:uid="{9222404A-3815-45A1-9844-7DCA99E1687E}"/>
    <cellStyle name="Currency 5 3 2 2 2 2 2 4" xfId="11495" xr:uid="{BC521A65-F3C1-48E2-9EB3-A01A7C7ED47A}"/>
    <cellStyle name="Currency 5 3 2 2 2 2 3" xfId="5068" xr:uid="{00000000-0005-0000-0000-00008B0C0000}"/>
    <cellStyle name="Currency 5 3 2 2 2 2 3 2" xfId="21184" xr:uid="{A0200EDC-9D6D-45A4-9E65-5AE2FF0E15F1}"/>
    <cellStyle name="Currency 5 3 2 2 2 2 3 3" xfId="13563" xr:uid="{2BBE2CA0-DBDB-4936-83AD-F8526DE9279E}"/>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23742" xr:uid="{C37BE2AD-9698-41D1-80EA-460FD6BE8827}"/>
    <cellStyle name="Currency 5 3 2 2 2 3 2 2 3" xfId="16121" xr:uid="{226562A1-8042-465D-9FE9-800DB848ACAC}"/>
    <cellStyle name="Currency 5 3 2 2 2 3 2 3" xfId="19529" xr:uid="{96BE73BF-B443-403D-A44B-1CB8A2284DA6}"/>
    <cellStyle name="Currency 5 3 2 2 2 3 2 4" xfId="11908" xr:uid="{CC73705A-BF81-47F6-A275-C434F22A3BA5}"/>
    <cellStyle name="Currency 5 3 2 2 2 3 3" xfId="5481" xr:uid="{00000000-0005-0000-0000-00008F0C0000}"/>
    <cellStyle name="Currency 5 3 2 2 2 3 3 2" xfId="21597" xr:uid="{01CB98D1-408C-4D76-9828-858038A46059}"/>
    <cellStyle name="Currency 5 3 2 2 2 3 3 3" xfId="13976" xr:uid="{44DB63D0-9870-4776-BAD2-58DA209AE435}"/>
    <cellStyle name="Currency 5 3 2 2 2 3 4" xfId="17384" xr:uid="{9607EA60-5B1C-447E-A985-D7DB1899B198}"/>
    <cellStyle name="Currency 5 3 2 2 2 3 5" xfId="9763" xr:uid="{D333AC3F-864D-4950-BD46-9D4B53110D1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24155" xr:uid="{89002F7B-E068-45D5-BB9B-316ECC4E175F}"/>
    <cellStyle name="Currency 5 3 2 2 2 4 2 2 3" xfId="16534" xr:uid="{12483EF8-8E75-4C44-97AC-ADDA81A7A1FF}"/>
    <cellStyle name="Currency 5 3 2 2 2 4 2 3" xfId="19942" xr:uid="{BC3AC0D5-400F-442B-A7C1-D81743AEA612}"/>
    <cellStyle name="Currency 5 3 2 2 2 4 2 4" xfId="12321" xr:uid="{3C048540-7B16-4B6D-A68B-D76DFFC91F2E}"/>
    <cellStyle name="Currency 5 3 2 2 2 4 3" xfId="5894" xr:uid="{00000000-0005-0000-0000-0000930C0000}"/>
    <cellStyle name="Currency 5 3 2 2 2 4 3 2" xfId="22010" xr:uid="{86822658-11A7-4D14-9EED-D2EF8FE229ED}"/>
    <cellStyle name="Currency 5 3 2 2 2 4 3 3" xfId="14389" xr:uid="{FF021347-EC7A-4A93-85F4-CED6A158ECB8}"/>
    <cellStyle name="Currency 5 3 2 2 2 4 4" xfId="17797" xr:uid="{564CFEBD-7356-497F-A8D1-57E6245D75A6}"/>
    <cellStyle name="Currency 5 3 2 2 2 4 5" xfId="10176" xr:uid="{6F785692-B36A-4BF6-86FA-E255ABCF4E3D}"/>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24568" xr:uid="{AFAA5C6D-7732-45D0-8657-7FD546A128B6}"/>
    <cellStyle name="Currency 5 3 2 2 2 5 2 2 3" xfId="16947" xr:uid="{03017EFC-74D9-4F08-8826-CA2798B0B4C8}"/>
    <cellStyle name="Currency 5 3 2 2 2 5 2 3" xfId="20355" xr:uid="{216EDD05-5C20-463C-A214-94803D17F7C1}"/>
    <cellStyle name="Currency 5 3 2 2 2 5 2 4" xfId="12734" xr:uid="{7451370C-084A-4CF0-8D04-20FAE5E44E6B}"/>
    <cellStyle name="Currency 5 3 2 2 2 5 3" xfId="6307" xr:uid="{00000000-0005-0000-0000-0000970C0000}"/>
    <cellStyle name="Currency 5 3 2 2 2 5 3 2" xfId="22423" xr:uid="{D57764CC-9B9C-4AA6-B02C-9F6C7504BEAE}"/>
    <cellStyle name="Currency 5 3 2 2 2 5 3 3" xfId="14802" xr:uid="{CABAA4F6-478D-4E30-9B65-08AF9EF3A39F}"/>
    <cellStyle name="Currency 5 3 2 2 2 5 4" xfId="18210" xr:uid="{7C507296-553B-494F-BA09-1A7965A46BE9}"/>
    <cellStyle name="Currency 5 3 2 2 2 5 5" xfId="10589" xr:uid="{A2AF86D8-95BA-4D72-A50E-4B390068B240}"/>
    <cellStyle name="Currency 5 3 2 2 2 6" xfId="2436" xr:uid="{00000000-0005-0000-0000-0000980C0000}"/>
    <cellStyle name="Currency 5 3 2 2 2 6 2" xfId="6720" xr:uid="{00000000-0005-0000-0000-0000990C0000}"/>
    <cellStyle name="Currency 5 3 2 2 2 6 2 2" xfId="22836" xr:uid="{0B1C4F20-FCB7-4EC5-9450-6C036F41FA23}"/>
    <cellStyle name="Currency 5 3 2 2 2 6 2 3" xfId="15215" xr:uid="{94B1DE46-56AC-44E5-91FA-B8212E77357E}"/>
    <cellStyle name="Currency 5 3 2 2 2 6 3" xfId="18623" xr:uid="{4F5ABA11-7548-4F78-8B7D-9F27C66910A6}"/>
    <cellStyle name="Currency 5 3 2 2 2 6 4" xfId="11002" xr:uid="{17709CA1-6878-4846-B803-DC86FE2A5C81}"/>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23153" xr:uid="{15E43F41-F105-441A-8FD0-1C14DEA0271D}"/>
    <cellStyle name="Currency 5 3 2 2 2 8 2 3" xfId="15532" xr:uid="{459B5BD9-AA05-464C-8928-54670A452102}"/>
    <cellStyle name="Currency 5 3 2 2 2 8 3" xfId="18940" xr:uid="{602D960D-EAD2-40F6-A0E6-51EC0E0D1DE9}"/>
    <cellStyle name="Currency 5 3 2 2 2 8 4" xfId="11319" xr:uid="{C183E014-1FFE-47D6-AFDC-326F0F627D6D}"/>
    <cellStyle name="Currency 5 3 2 2 2 9" xfId="4654" xr:uid="{00000000-0005-0000-0000-00009D0C0000}"/>
    <cellStyle name="Currency 5 3 2 2 2 9 2" xfId="20771" xr:uid="{3D254F33-5418-44A8-8281-F8129355C746}"/>
    <cellStyle name="Currency 5 3 2 2 2 9 3" xfId="13150" xr:uid="{03D35C93-D0C7-48DA-B537-FA5A8B9B04AF}"/>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23328" xr:uid="{0D25CFD3-EAD9-4446-8443-5E03E0152C1B}"/>
    <cellStyle name="Currency 5 3 2 2 3 2 2 3" xfId="15707" xr:uid="{86ED6923-0794-4260-9652-557EDD0456D0}"/>
    <cellStyle name="Currency 5 3 2 2 3 2 3" xfId="19115" xr:uid="{A3F54214-C1EE-4F24-9AD9-F9EC72732EC8}"/>
    <cellStyle name="Currency 5 3 2 2 3 2 4" xfId="11494" xr:uid="{4D8BE210-7158-4D63-906E-B79B42F8113C}"/>
    <cellStyle name="Currency 5 3 2 2 3 3" xfId="5067" xr:uid="{00000000-0005-0000-0000-0000A10C0000}"/>
    <cellStyle name="Currency 5 3 2 2 3 3 2" xfId="21183" xr:uid="{78CD3A41-36E2-4B82-AA47-929DCBFADAF9}"/>
    <cellStyle name="Currency 5 3 2 2 3 3 3" xfId="13562" xr:uid="{C41F320F-DFB6-4946-93FA-20593405A307}"/>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23741" xr:uid="{B42556A1-E18A-4B68-977F-1125C5611025}"/>
    <cellStyle name="Currency 5 3 2 2 4 2 2 3" xfId="16120" xr:uid="{D3808CB8-A089-4912-BFC5-2113068BC2D3}"/>
    <cellStyle name="Currency 5 3 2 2 4 2 3" xfId="19528" xr:uid="{45EDFA8F-E696-4856-AEBD-62611D3ED28F}"/>
    <cellStyle name="Currency 5 3 2 2 4 2 4" xfId="11907" xr:uid="{2E05C7BF-5DDC-4C6B-AD8B-6F3673DF7DCD}"/>
    <cellStyle name="Currency 5 3 2 2 4 3" xfId="5480" xr:uid="{00000000-0005-0000-0000-0000A50C0000}"/>
    <cellStyle name="Currency 5 3 2 2 4 3 2" xfId="21596" xr:uid="{1DD13253-8F47-4AC2-9854-50D21C44D988}"/>
    <cellStyle name="Currency 5 3 2 2 4 3 3" xfId="13975" xr:uid="{78E795EC-BE34-467B-B9C8-4D49F9BFFC91}"/>
    <cellStyle name="Currency 5 3 2 2 4 4" xfId="17383" xr:uid="{065CC9AD-6F56-47A0-B41E-2BE14AEB5C46}"/>
    <cellStyle name="Currency 5 3 2 2 4 5" xfId="9762" xr:uid="{EC207164-0FD5-44CE-874F-912077E7BE8F}"/>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24154" xr:uid="{338F7195-24F9-4CE7-89B3-9ED3B41F8587}"/>
    <cellStyle name="Currency 5 3 2 2 5 2 2 3" xfId="16533" xr:uid="{0739CAAB-2E11-426A-A27B-611817BD3EFE}"/>
    <cellStyle name="Currency 5 3 2 2 5 2 3" xfId="19941" xr:uid="{6A4B3365-D853-4A50-BEDB-73D1E7A2FBEF}"/>
    <cellStyle name="Currency 5 3 2 2 5 2 4" xfId="12320" xr:uid="{CEE14398-6F2E-458F-9F4E-B234926EC1FA}"/>
    <cellStyle name="Currency 5 3 2 2 5 3" xfId="5893" xr:uid="{00000000-0005-0000-0000-0000A90C0000}"/>
    <cellStyle name="Currency 5 3 2 2 5 3 2" xfId="22009" xr:uid="{A4C55E8F-9C30-4807-8F16-A11D5F1F00E2}"/>
    <cellStyle name="Currency 5 3 2 2 5 3 3" xfId="14388" xr:uid="{7E2C1F71-9755-4A47-B113-773047A2E97A}"/>
    <cellStyle name="Currency 5 3 2 2 5 4" xfId="17796" xr:uid="{014B5048-82A4-4B4E-A340-B63E18334A97}"/>
    <cellStyle name="Currency 5 3 2 2 5 5" xfId="10175" xr:uid="{AE40D67A-7358-4A28-A66F-950E74626F64}"/>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24567" xr:uid="{8FFD94B3-3993-4389-823A-15BC668B14CD}"/>
    <cellStyle name="Currency 5 3 2 2 6 2 2 3" xfId="16946" xr:uid="{396DEDE8-ECB8-4272-A909-79F0E4EE3762}"/>
    <cellStyle name="Currency 5 3 2 2 6 2 3" xfId="20354" xr:uid="{B9A9B41F-6E2E-4BE5-8E9E-458704F2F15A}"/>
    <cellStyle name="Currency 5 3 2 2 6 2 4" xfId="12733" xr:uid="{06972E13-D77C-4B87-A2CA-4D6CB83B9625}"/>
    <cellStyle name="Currency 5 3 2 2 6 3" xfId="6306" xr:uid="{00000000-0005-0000-0000-0000AD0C0000}"/>
    <cellStyle name="Currency 5 3 2 2 6 3 2" xfId="22422" xr:uid="{CF8D8861-A10A-4449-A0A9-B41CFDAEF106}"/>
    <cellStyle name="Currency 5 3 2 2 6 3 3" xfId="14801" xr:uid="{AF3AE1D1-3857-4C9C-A41B-13E474293636}"/>
    <cellStyle name="Currency 5 3 2 2 6 4" xfId="18209" xr:uid="{8B9B22C0-3A5B-4D77-85ED-63C90711B2BD}"/>
    <cellStyle name="Currency 5 3 2 2 6 5" xfId="10588" xr:uid="{EFBAC9C3-22D2-42B6-BA30-8C604D7C4720}"/>
    <cellStyle name="Currency 5 3 2 2 7" xfId="2435" xr:uid="{00000000-0005-0000-0000-0000AE0C0000}"/>
    <cellStyle name="Currency 5 3 2 2 7 2" xfId="6719" xr:uid="{00000000-0005-0000-0000-0000AF0C0000}"/>
    <cellStyle name="Currency 5 3 2 2 7 2 2" xfId="22835" xr:uid="{ABF88D96-DA97-4D41-874A-3A721C1C83F6}"/>
    <cellStyle name="Currency 5 3 2 2 7 2 3" xfId="15214" xr:uid="{2F834450-A228-4DDB-820D-4A7BCCF2593E}"/>
    <cellStyle name="Currency 5 3 2 2 7 3" xfId="18622" xr:uid="{DF1B3078-A27D-4718-A6E8-BE31ACB6196C}"/>
    <cellStyle name="Currency 5 3 2 2 7 4" xfId="11001" xr:uid="{6B4E873C-9B6D-4BBA-8DC0-018199011378}"/>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23152" xr:uid="{C22DDD43-F088-489E-B510-4FFDF473658F}"/>
    <cellStyle name="Currency 5 3 2 2 9 2 3" xfId="15531" xr:uid="{E78FB5AF-932D-4B5A-8688-1A4CD19477C2}"/>
    <cellStyle name="Currency 5 3 2 2 9 3" xfId="18939" xr:uid="{B72C874B-D099-4D38-AE46-A047A0403F4D}"/>
    <cellStyle name="Currency 5 3 2 2 9 4" xfId="11318" xr:uid="{349E4072-8753-4A97-B5E3-0EA6E9D94003}"/>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23330" xr:uid="{00EB7392-C1EC-4A2E-A119-CB8DDD11C0A5}"/>
    <cellStyle name="Currency 5 3 2 3 2 2 2 3" xfId="15709" xr:uid="{ABC355CC-7C34-41F0-A34E-A7FBC870DA13}"/>
    <cellStyle name="Currency 5 3 2 3 2 2 3" xfId="19117" xr:uid="{43AC4A8D-DC02-4890-86B0-6A52CE9A690A}"/>
    <cellStyle name="Currency 5 3 2 3 2 2 4" xfId="11496" xr:uid="{D961D8C7-2EA3-4C6D-81FC-59F3FC94CD92}"/>
    <cellStyle name="Currency 5 3 2 3 2 3" xfId="5069" xr:uid="{00000000-0005-0000-0000-0000B70C0000}"/>
    <cellStyle name="Currency 5 3 2 3 2 3 2" xfId="21185" xr:uid="{F9214DAA-2845-4C84-9A6D-099AC1ED4BC8}"/>
    <cellStyle name="Currency 5 3 2 3 2 3 3" xfId="13564" xr:uid="{A2B9F652-B097-4C82-AAEE-1007A877EC83}"/>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23743" xr:uid="{6560840F-9252-4AFA-90DE-C0BCE4C0FF9E}"/>
    <cellStyle name="Currency 5 3 2 3 3 2 2 3" xfId="16122" xr:uid="{0B1CF065-8ADB-447B-B96D-B44043733347}"/>
    <cellStyle name="Currency 5 3 2 3 3 2 3" xfId="19530" xr:uid="{9F260B31-0D0A-443D-90CF-0B45F059768B}"/>
    <cellStyle name="Currency 5 3 2 3 3 2 4" xfId="11909" xr:uid="{E16A0A81-BF98-40EF-8058-B648B7A1923B}"/>
    <cellStyle name="Currency 5 3 2 3 3 3" xfId="5482" xr:uid="{00000000-0005-0000-0000-0000BB0C0000}"/>
    <cellStyle name="Currency 5 3 2 3 3 3 2" xfId="21598" xr:uid="{22D81C38-33B8-40DA-B4C4-F16AE07E5FDD}"/>
    <cellStyle name="Currency 5 3 2 3 3 3 3" xfId="13977" xr:uid="{A8814769-CE45-4015-8ACD-4C3A72D2262E}"/>
    <cellStyle name="Currency 5 3 2 3 3 4" xfId="17385" xr:uid="{457289F5-DC97-41C5-BBA8-7307963812AF}"/>
    <cellStyle name="Currency 5 3 2 3 3 5" xfId="9764" xr:uid="{5D67549B-4E34-432D-BB85-764DA49F8487}"/>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24156" xr:uid="{014F1B83-731D-4B06-A222-48A631ED9AD1}"/>
    <cellStyle name="Currency 5 3 2 3 4 2 2 3" xfId="16535" xr:uid="{9D2AF382-0C97-48DB-97E7-5C9EC3CD235D}"/>
    <cellStyle name="Currency 5 3 2 3 4 2 3" xfId="19943" xr:uid="{3837864A-E4F3-4EE1-B1E3-22CD62AD0A44}"/>
    <cellStyle name="Currency 5 3 2 3 4 2 4" xfId="12322" xr:uid="{5ACF2BBE-B4B6-465D-9A2D-0FD7CDA4CC13}"/>
    <cellStyle name="Currency 5 3 2 3 4 3" xfId="5895" xr:uid="{00000000-0005-0000-0000-0000BF0C0000}"/>
    <cellStyle name="Currency 5 3 2 3 4 3 2" xfId="22011" xr:uid="{024E2FD4-65B6-4C29-AFE3-15873ACEA963}"/>
    <cellStyle name="Currency 5 3 2 3 4 3 3" xfId="14390" xr:uid="{89560C94-95DE-4194-BE92-F93DB1A50DA8}"/>
    <cellStyle name="Currency 5 3 2 3 4 4" xfId="17798" xr:uid="{D862626F-24D2-444F-B92D-F6D1A5013457}"/>
    <cellStyle name="Currency 5 3 2 3 4 5" xfId="10177" xr:uid="{8C331F65-921E-41BB-A67B-C5EAB62465A9}"/>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24569" xr:uid="{47A9477F-3524-405A-B397-3575831930A7}"/>
    <cellStyle name="Currency 5 3 2 3 5 2 2 3" xfId="16948" xr:uid="{1DFD2E07-65D0-463A-B2B0-6CB11B9CC89A}"/>
    <cellStyle name="Currency 5 3 2 3 5 2 3" xfId="20356" xr:uid="{9EC3D57E-3748-4AA5-A74C-5518AAF18296}"/>
    <cellStyle name="Currency 5 3 2 3 5 2 4" xfId="12735" xr:uid="{D58ED1AA-71E8-45BE-93BC-BDE45A0E7520}"/>
    <cellStyle name="Currency 5 3 2 3 5 3" xfId="6308" xr:uid="{00000000-0005-0000-0000-0000C30C0000}"/>
    <cellStyle name="Currency 5 3 2 3 5 3 2" xfId="22424" xr:uid="{4B47D132-C77B-4369-91E3-A42DBFA8B672}"/>
    <cellStyle name="Currency 5 3 2 3 5 3 3" xfId="14803" xr:uid="{74DA9004-824F-45C5-AC97-C2D2C520A548}"/>
    <cellStyle name="Currency 5 3 2 3 5 4" xfId="18211" xr:uid="{4A85714D-FBAA-47D6-8464-9ED42D3D3A65}"/>
    <cellStyle name="Currency 5 3 2 3 5 5" xfId="10590" xr:uid="{A2AB7DEC-3AA5-41B8-A7CB-92D215038D90}"/>
    <cellStyle name="Currency 5 3 2 3 6" xfId="2437" xr:uid="{00000000-0005-0000-0000-0000C40C0000}"/>
    <cellStyle name="Currency 5 3 2 3 6 2" xfId="6721" xr:uid="{00000000-0005-0000-0000-0000C50C0000}"/>
    <cellStyle name="Currency 5 3 2 3 6 2 2" xfId="22837" xr:uid="{89814F31-DE4E-4E7C-8D2F-ADD42296C2DA}"/>
    <cellStyle name="Currency 5 3 2 3 6 2 3" xfId="15216" xr:uid="{96D94521-39E5-44B9-81C9-743ECD33D1DE}"/>
    <cellStyle name="Currency 5 3 2 3 6 3" xfId="18624" xr:uid="{4360F7FC-D32C-4BAA-8DB1-CBE974EE5B93}"/>
    <cellStyle name="Currency 5 3 2 3 6 4" xfId="11003" xr:uid="{9D27CA96-A6E5-4E1C-A1E4-63ADB1B74C99}"/>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23154" xr:uid="{793AC72A-8F74-4017-802A-2CFC5E17A2B4}"/>
    <cellStyle name="Currency 5 3 2 3 8 2 3" xfId="15533" xr:uid="{7786FC7E-8C3A-4A6C-BAA1-401734D9EF8B}"/>
    <cellStyle name="Currency 5 3 2 3 8 3" xfId="18941" xr:uid="{B2966349-4529-4746-A3B6-A04BBFCFE1B3}"/>
    <cellStyle name="Currency 5 3 2 3 8 4" xfId="11320" xr:uid="{4C74CD42-9466-4AAF-A7BD-6DEEA0B3D15D}"/>
    <cellStyle name="Currency 5 3 2 3 9" xfId="4655" xr:uid="{00000000-0005-0000-0000-0000C90C0000}"/>
    <cellStyle name="Currency 5 3 2 3 9 2" xfId="20772" xr:uid="{F9D7CC3B-A2BE-4936-94DD-E7151B5B2F39}"/>
    <cellStyle name="Currency 5 3 2 3 9 3" xfId="13151" xr:uid="{6063264D-B018-4538-B611-CEEB6BF0B16B}"/>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23327" xr:uid="{AD64C6D6-58A9-4386-B160-F9A38D5FDF59}"/>
    <cellStyle name="Currency 5 3 2 4 2 2 3" xfId="15706" xr:uid="{6A09A150-1C18-425C-80E9-DC76F4F93D4F}"/>
    <cellStyle name="Currency 5 3 2 4 2 3" xfId="19114" xr:uid="{59BC8C33-A126-4BA6-99A8-C4C7B5F2B276}"/>
    <cellStyle name="Currency 5 3 2 4 2 4" xfId="11493" xr:uid="{A98675A7-321E-40D9-9EEE-89DC4D834A05}"/>
    <cellStyle name="Currency 5 3 2 4 3" xfId="5066" xr:uid="{00000000-0005-0000-0000-0000CD0C0000}"/>
    <cellStyle name="Currency 5 3 2 4 3 2" xfId="21182" xr:uid="{EEFFC95F-51AE-4EE2-8949-C5FBC2627E86}"/>
    <cellStyle name="Currency 5 3 2 4 3 3" xfId="13561" xr:uid="{A7A24842-CC0E-4D07-A862-E4D241443199}"/>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23740" xr:uid="{2EFCEE95-47F6-44E7-A7FF-DF471C58D9F5}"/>
    <cellStyle name="Currency 5 3 2 5 2 2 3" xfId="16119" xr:uid="{F55FEC06-06F1-45B2-9B92-70A0E2CF6A8C}"/>
    <cellStyle name="Currency 5 3 2 5 2 3" xfId="19527" xr:uid="{3045B92D-2263-4B50-8C4C-7808DA090CB1}"/>
    <cellStyle name="Currency 5 3 2 5 2 4" xfId="11906" xr:uid="{B4A561F7-A7CB-49FB-A528-F1C3DC2787DB}"/>
    <cellStyle name="Currency 5 3 2 5 3" xfId="5479" xr:uid="{00000000-0005-0000-0000-0000D10C0000}"/>
    <cellStyle name="Currency 5 3 2 5 3 2" xfId="21595" xr:uid="{66F8E71E-49E7-4B27-BC28-98D7B3596715}"/>
    <cellStyle name="Currency 5 3 2 5 3 3" xfId="13974" xr:uid="{CEA85C21-AC1D-4BFA-A2A1-8D01409041E7}"/>
    <cellStyle name="Currency 5 3 2 5 4" xfId="17382" xr:uid="{7BFF4CF5-53CF-4F2D-9092-4DDADC6BC1CB}"/>
    <cellStyle name="Currency 5 3 2 5 5" xfId="9761" xr:uid="{DD5FACF7-9B2A-4861-8FE3-C03F4DDF68CE}"/>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24153" xr:uid="{546C46BA-CBD2-4BCD-BC15-29E633C282A0}"/>
    <cellStyle name="Currency 5 3 2 6 2 2 3" xfId="16532" xr:uid="{5FAF6DCA-0586-4180-8530-4890C93249BD}"/>
    <cellStyle name="Currency 5 3 2 6 2 3" xfId="19940" xr:uid="{914F3F37-5EE1-4942-A596-04D34639BD15}"/>
    <cellStyle name="Currency 5 3 2 6 2 4" xfId="12319" xr:uid="{D7735250-5584-4CDB-9FE5-7C0FCC527436}"/>
    <cellStyle name="Currency 5 3 2 6 3" xfId="5892" xr:uid="{00000000-0005-0000-0000-0000D50C0000}"/>
    <cellStyle name="Currency 5 3 2 6 3 2" xfId="22008" xr:uid="{2CD7FC1A-70AF-4A4E-87DC-4855D13A286D}"/>
    <cellStyle name="Currency 5 3 2 6 3 3" xfId="14387" xr:uid="{D4B2DB9E-C806-40A3-8BD2-1DB427B391D3}"/>
    <cellStyle name="Currency 5 3 2 6 4" xfId="17795" xr:uid="{8D48E11C-1150-4FCE-A1E0-E29B1AEF918E}"/>
    <cellStyle name="Currency 5 3 2 6 5" xfId="10174" xr:uid="{2A763415-A4AC-4127-A8C1-9C5F6193DC98}"/>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24566" xr:uid="{127D414B-32A6-4EE2-B1F0-A5B9959E6036}"/>
    <cellStyle name="Currency 5 3 2 7 2 2 3" xfId="16945" xr:uid="{24F09B77-17AB-4A98-B4DB-F0340E6A9E8B}"/>
    <cellStyle name="Currency 5 3 2 7 2 3" xfId="20353" xr:uid="{FA6B2035-B67A-43B3-B657-C85A2225F121}"/>
    <cellStyle name="Currency 5 3 2 7 2 4" xfId="12732" xr:uid="{4B011F68-4DB9-49E3-A1E9-4ECBBCA2C0A9}"/>
    <cellStyle name="Currency 5 3 2 7 3" xfId="6305" xr:uid="{00000000-0005-0000-0000-0000D90C0000}"/>
    <cellStyle name="Currency 5 3 2 7 3 2" xfId="22421" xr:uid="{0403A1F2-67D1-4C31-B622-F2AE7DAA4435}"/>
    <cellStyle name="Currency 5 3 2 7 3 3" xfId="14800" xr:uid="{B8B1B067-F8C4-4417-878B-640F6FF9397B}"/>
    <cellStyle name="Currency 5 3 2 7 4" xfId="18208" xr:uid="{ACFD05ED-C371-442C-BD26-1B86FD0BDD6A}"/>
    <cellStyle name="Currency 5 3 2 7 5" xfId="10587" xr:uid="{C268FB5E-703D-464F-AD09-AD9E0D3AC316}"/>
    <cellStyle name="Currency 5 3 2 8" xfId="2434" xr:uid="{00000000-0005-0000-0000-0000DA0C0000}"/>
    <cellStyle name="Currency 5 3 2 8 2" xfId="6718" xr:uid="{00000000-0005-0000-0000-0000DB0C0000}"/>
    <cellStyle name="Currency 5 3 2 8 2 2" xfId="22834" xr:uid="{BEB9E974-77CE-48C2-984D-46EBFDDB0EA8}"/>
    <cellStyle name="Currency 5 3 2 8 2 3" xfId="15213" xr:uid="{5B0556C2-D1AD-44CA-AF38-3DADAFA70DD8}"/>
    <cellStyle name="Currency 5 3 2 8 3" xfId="18621" xr:uid="{B39F2368-72C5-4CA6-997C-F1210F87990A}"/>
    <cellStyle name="Currency 5 3 2 8 4" xfId="11000" xr:uid="{BE0584BC-5C4E-4A08-BB12-75BBF631DF69}"/>
    <cellStyle name="Currency 5 3 2 9" xfId="2731" xr:uid="{00000000-0005-0000-0000-0000DC0C0000}"/>
    <cellStyle name="Currency 5 3 3" xfId="214" xr:uid="{00000000-0005-0000-0000-0000DD0C0000}"/>
    <cellStyle name="Currency 5 3 3 10" xfId="4656" xr:uid="{00000000-0005-0000-0000-0000DE0C0000}"/>
    <cellStyle name="Currency 5 3 3 10 2" xfId="20773" xr:uid="{C7D8B7D5-F241-4D95-8140-A2D055F52E0A}"/>
    <cellStyle name="Currency 5 3 3 10 3" xfId="13152" xr:uid="{B0CFB241-AD66-4D43-9B08-CE77CD65FC1E}"/>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23332" xr:uid="{581342AC-1C7E-44CB-858C-5D4752628247}"/>
    <cellStyle name="Currency 5 3 3 2 2 2 2 3" xfId="15711" xr:uid="{3341540D-1E80-4F60-88A8-10F5F8CA2CB7}"/>
    <cellStyle name="Currency 5 3 3 2 2 2 3" xfId="19119" xr:uid="{379ADEA4-6562-4FC7-995C-22436B6E39AC}"/>
    <cellStyle name="Currency 5 3 3 2 2 2 4" xfId="11498" xr:uid="{E3BCC4B3-963B-4A87-9665-FD4B1DCBE648}"/>
    <cellStyle name="Currency 5 3 3 2 2 3" xfId="5071" xr:uid="{00000000-0005-0000-0000-0000E30C0000}"/>
    <cellStyle name="Currency 5 3 3 2 2 3 2" xfId="21187" xr:uid="{C1B32829-E79C-4FAE-A73E-56C32D97D9D7}"/>
    <cellStyle name="Currency 5 3 3 2 2 3 3" xfId="13566" xr:uid="{2ABFEDCE-F2DA-4DBA-A63C-C37EA2720F99}"/>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23745" xr:uid="{1F311505-0624-45E6-BFFA-67EE4211A02E}"/>
    <cellStyle name="Currency 5 3 3 2 3 2 2 3" xfId="16124" xr:uid="{2AD8866C-2605-4FD8-82D7-398775C0BAB8}"/>
    <cellStyle name="Currency 5 3 3 2 3 2 3" xfId="19532" xr:uid="{9A38912C-26CA-4C9B-A344-6504ABD3F964}"/>
    <cellStyle name="Currency 5 3 3 2 3 2 4" xfId="11911" xr:uid="{7EAEDECE-7434-4974-95F9-9FD0C90E6DF6}"/>
    <cellStyle name="Currency 5 3 3 2 3 3" xfId="5484" xr:uid="{00000000-0005-0000-0000-0000E70C0000}"/>
    <cellStyle name="Currency 5 3 3 2 3 3 2" xfId="21600" xr:uid="{A9B2A88C-338B-4D1A-B42A-64848A3E43EC}"/>
    <cellStyle name="Currency 5 3 3 2 3 3 3" xfId="13979" xr:uid="{9BBD92E4-7FCC-4CAE-ADDB-99CE2B92FF46}"/>
    <cellStyle name="Currency 5 3 3 2 3 4" xfId="17387" xr:uid="{C5032920-6660-4454-9453-9DE425CFAEE3}"/>
    <cellStyle name="Currency 5 3 3 2 3 5" xfId="9766" xr:uid="{3C84E66C-9341-4FE2-8043-8EF6D929767F}"/>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24158" xr:uid="{AC9F8926-8EBB-4119-B0EE-0E602C23C348}"/>
    <cellStyle name="Currency 5 3 3 2 4 2 2 3" xfId="16537" xr:uid="{C720CE2E-849D-474E-BA9F-B04360EEACDC}"/>
    <cellStyle name="Currency 5 3 3 2 4 2 3" xfId="19945" xr:uid="{DDD6210D-4787-4531-B6A3-109BCB0523A0}"/>
    <cellStyle name="Currency 5 3 3 2 4 2 4" xfId="12324" xr:uid="{A84D7CE9-1451-4520-8A41-1FCE6213F1C4}"/>
    <cellStyle name="Currency 5 3 3 2 4 3" xfId="5897" xr:uid="{00000000-0005-0000-0000-0000EB0C0000}"/>
    <cellStyle name="Currency 5 3 3 2 4 3 2" xfId="22013" xr:uid="{28656A40-F305-4868-A985-8F51C51C2EE0}"/>
    <cellStyle name="Currency 5 3 3 2 4 3 3" xfId="14392" xr:uid="{0866E51B-1D05-477D-AC58-28F09208ECAB}"/>
    <cellStyle name="Currency 5 3 3 2 4 4" xfId="17800" xr:uid="{5A2C2982-E1B0-4545-905A-4C4430FF6990}"/>
    <cellStyle name="Currency 5 3 3 2 4 5" xfId="10179" xr:uid="{381EB08D-D8CC-47C3-97F0-72DF0939800D}"/>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24571" xr:uid="{75966EA2-E0BA-4EA5-B4E9-2B8F3F2D7331}"/>
    <cellStyle name="Currency 5 3 3 2 5 2 2 3" xfId="16950" xr:uid="{AEB26308-5CC3-4179-9804-8B1D99D8D5FB}"/>
    <cellStyle name="Currency 5 3 3 2 5 2 3" xfId="20358" xr:uid="{8D90C696-6FB6-483F-90D0-72F992858ECF}"/>
    <cellStyle name="Currency 5 3 3 2 5 2 4" xfId="12737" xr:uid="{E4564CF8-8842-4C50-977F-409082206D1C}"/>
    <cellStyle name="Currency 5 3 3 2 5 3" xfId="6310" xr:uid="{00000000-0005-0000-0000-0000EF0C0000}"/>
    <cellStyle name="Currency 5 3 3 2 5 3 2" xfId="22426" xr:uid="{A35080EA-E997-488D-A0BF-527E4E60FE76}"/>
    <cellStyle name="Currency 5 3 3 2 5 3 3" xfId="14805" xr:uid="{3BBFA869-32E5-46F4-BD6E-6824ACA55034}"/>
    <cellStyle name="Currency 5 3 3 2 5 4" xfId="18213" xr:uid="{370FAF57-FC6E-47BE-A72F-176E8E39EDDF}"/>
    <cellStyle name="Currency 5 3 3 2 5 5" xfId="10592" xr:uid="{7F697788-4535-4A91-86E2-B38CF6E16D9C}"/>
    <cellStyle name="Currency 5 3 3 2 6" xfId="2439" xr:uid="{00000000-0005-0000-0000-0000F00C0000}"/>
    <cellStyle name="Currency 5 3 3 2 6 2" xfId="6723" xr:uid="{00000000-0005-0000-0000-0000F10C0000}"/>
    <cellStyle name="Currency 5 3 3 2 6 2 2" xfId="22839" xr:uid="{44485DBC-299D-464F-8605-6D4201F9E1DC}"/>
    <cellStyle name="Currency 5 3 3 2 6 2 3" xfId="15218" xr:uid="{64ECE6F7-620A-4C9A-ABA3-BE7F442ED0ED}"/>
    <cellStyle name="Currency 5 3 3 2 6 3" xfId="18626" xr:uid="{10432C51-7C13-417B-B499-0EC350A215FB}"/>
    <cellStyle name="Currency 5 3 3 2 6 4" xfId="11005" xr:uid="{DBFA369E-B615-462D-9046-13CC835AA31D}"/>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23156" xr:uid="{5FB7F961-7461-4B23-B3DB-4741055C2CB4}"/>
    <cellStyle name="Currency 5 3 3 2 8 2 3" xfId="15535" xr:uid="{F5D5415B-4E9F-4004-8562-C4AA8E145F71}"/>
    <cellStyle name="Currency 5 3 3 2 8 3" xfId="18943" xr:uid="{2459E22B-EF2F-411D-9B48-1F6A08786558}"/>
    <cellStyle name="Currency 5 3 3 2 8 4" xfId="11322" xr:uid="{6DC7189A-3899-429A-958B-A35765630763}"/>
    <cellStyle name="Currency 5 3 3 2 9" xfId="4657" xr:uid="{00000000-0005-0000-0000-0000F50C0000}"/>
    <cellStyle name="Currency 5 3 3 2 9 2" xfId="20774" xr:uid="{2EEF4ECF-C603-4389-9EF5-170AE6A7E0A3}"/>
    <cellStyle name="Currency 5 3 3 2 9 3" xfId="13153" xr:uid="{9CC5AAC4-3E94-4B2A-B819-C638814CE5F1}"/>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23331" xr:uid="{5054F886-58C4-40D8-B2B6-FCFD25FA358D}"/>
    <cellStyle name="Currency 5 3 3 3 2 2 3" xfId="15710" xr:uid="{49AB40C3-ED80-42D8-BC68-BE1437B0698A}"/>
    <cellStyle name="Currency 5 3 3 3 2 3" xfId="19118" xr:uid="{BE2B502C-C8D6-4ED3-9D9C-A5EFC1DB857D}"/>
    <cellStyle name="Currency 5 3 3 3 2 4" xfId="11497" xr:uid="{D617E39F-AA04-4533-BCCE-2869B24E66CB}"/>
    <cellStyle name="Currency 5 3 3 3 3" xfId="5070" xr:uid="{00000000-0005-0000-0000-0000F90C0000}"/>
    <cellStyle name="Currency 5 3 3 3 3 2" xfId="21186" xr:uid="{5FB0FB2D-B699-4261-A5B5-33EB1D2A075C}"/>
    <cellStyle name="Currency 5 3 3 3 3 3" xfId="13565" xr:uid="{345AC48B-8CF1-4379-A193-4D1B1E59B092}"/>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23744" xr:uid="{F5922119-4D6B-4F25-AC4B-E1FEAA22DF96}"/>
    <cellStyle name="Currency 5 3 3 4 2 2 3" xfId="16123" xr:uid="{1E0D0BFB-A734-4C25-AF09-9B406DB9D35E}"/>
    <cellStyle name="Currency 5 3 3 4 2 3" xfId="19531" xr:uid="{DF172C9C-BADB-438D-939E-940820F00B62}"/>
    <cellStyle name="Currency 5 3 3 4 2 4" xfId="11910" xr:uid="{47A3249E-D6CE-4A4C-BB44-FC5E33EE2C3A}"/>
    <cellStyle name="Currency 5 3 3 4 3" xfId="5483" xr:uid="{00000000-0005-0000-0000-0000FD0C0000}"/>
    <cellStyle name="Currency 5 3 3 4 3 2" xfId="21599" xr:uid="{70D70720-DA95-43F6-940F-68D56A94C7FF}"/>
    <cellStyle name="Currency 5 3 3 4 3 3" xfId="13978" xr:uid="{5617EF90-A18D-4BAC-B514-39938C79E9EB}"/>
    <cellStyle name="Currency 5 3 3 4 4" xfId="17386" xr:uid="{C04578F6-D856-45E6-8AF7-4E0B0EA4DCD0}"/>
    <cellStyle name="Currency 5 3 3 4 5" xfId="9765" xr:uid="{16AF4455-4327-4BE8-A5EF-8464520AC078}"/>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24157" xr:uid="{7D34B629-2647-4BF4-A558-D8C567C37768}"/>
    <cellStyle name="Currency 5 3 3 5 2 2 3" xfId="16536" xr:uid="{C26F2685-FFA3-4AF9-90EF-3DA3514E0C03}"/>
    <cellStyle name="Currency 5 3 3 5 2 3" xfId="19944" xr:uid="{A2244087-2A97-4314-A430-2E3F2382CE6F}"/>
    <cellStyle name="Currency 5 3 3 5 2 4" xfId="12323" xr:uid="{617DA5DB-39DF-4A4B-A80C-CBC0A4BC5F0D}"/>
    <cellStyle name="Currency 5 3 3 5 3" xfId="5896" xr:uid="{00000000-0005-0000-0000-0000010D0000}"/>
    <cellStyle name="Currency 5 3 3 5 3 2" xfId="22012" xr:uid="{42A1BE36-21CB-4DE3-935A-8C6E4CBCD1BF}"/>
    <cellStyle name="Currency 5 3 3 5 3 3" xfId="14391" xr:uid="{42FAA2E6-4C8D-4E9D-91FC-2699A58B64C4}"/>
    <cellStyle name="Currency 5 3 3 5 4" xfId="17799" xr:uid="{27CBE5F2-A936-4293-B8A3-BE589CCE4D0F}"/>
    <cellStyle name="Currency 5 3 3 5 5" xfId="10178" xr:uid="{75EDFD49-6803-4529-A329-97719E016293}"/>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24570" xr:uid="{B06B4CE8-13AF-4CDC-93E0-A4565A5BA900}"/>
    <cellStyle name="Currency 5 3 3 6 2 2 3" xfId="16949" xr:uid="{431B06D4-0D8B-4648-8503-94D2D0495FE3}"/>
    <cellStyle name="Currency 5 3 3 6 2 3" xfId="20357" xr:uid="{8EE35DD3-D2DF-41E8-A4C2-1EDB4BCDBD2B}"/>
    <cellStyle name="Currency 5 3 3 6 2 4" xfId="12736" xr:uid="{0B6B7BC0-34D7-4E44-A183-84483EB65475}"/>
    <cellStyle name="Currency 5 3 3 6 3" xfId="6309" xr:uid="{00000000-0005-0000-0000-0000050D0000}"/>
    <cellStyle name="Currency 5 3 3 6 3 2" xfId="22425" xr:uid="{E43A50E3-6D09-46C1-B6C0-E3CB9B46B8AD}"/>
    <cellStyle name="Currency 5 3 3 6 3 3" xfId="14804" xr:uid="{61ED1739-A47F-46E8-A668-983AC09270E6}"/>
    <cellStyle name="Currency 5 3 3 6 4" xfId="18212" xr:uid="{05080C07-B91F-4E10-B72B-8D5CF2CC485B}"/>
    <cellStyle name="Currency 5 3 3 6 5" xfId="10591" xr:uid="{F32963A9-FA28-4D3A-82C8-AD22248DC196}"/>
    <cellStyle name="Currency 5 3 3 7" xfId="2438" xr:uid="{00000000-0005-0000-0000-0000060D0000}"/>
    <cellStyle name="Currency 5 3 3 7 2" xfId="6722" xr:uid="{00000000-0005-0000-0000-0000070D0000}"/>
    <cellStyle name="Currency 5 3 3 7 2 2" xfId="22838" xr:uid="{5A116B8A-7059-4A3A-9A88-290D12EA8EB4}"/>
    <cellStyle name="Currency 5 3 3 7 2 3" xfId="15217" xr:uid="{AEA247BE-AD9C-4D3A-92F5-6FA4EE88D70D}"/>
    <cellStyle name="Currency 5 3 3 7 3" xfId="18625" xr:uid="{4306CDDD-BDFD-4623-AF74-D207CE329CF6}"/>
    <cellStyle name="Currency 5 3 3 7 4" xfId="11004" xr:uid="{25B4A58D-0914-42BA-803A-6C4EF5311E6A}"/>
    <cellStyle name="Currency 5 3 3 8" xfId="2735" xr:uid="{00000000-0005-0000-0000-0000080D0000}"/>
    <cellStyle name="Currency 5 3 3 9" xfId="2816" xr:uid="{00000000-0005-0000-0000-0000090D0000}"/>
    <cellStyle name="Currency 5 3 3 9 2" xfId="7039" xr:uid="{00000000-0005-0000-0000-00000A0D0000}"/>
    <cellStyle name="Currency 5 3 3 9 2 2" xfId="23155" xr:uid="{0FF26383-DA47-4685-B4E6-2D7C1CEB2D82}"/>
    <cellStyle name="Currency 5 3 3 9 2 3" xfId="15534" xr:uid="{FE61F3F5-B97F-46F5-B939-0096CDFB3554}"/>
    <cellStyle name="Currency 5 3 3 9 3" xfId="18942" xr:uid="{33D82616-2DF5-4E48-A398-829BE59531FA}"/>
    <cellStyle name="Currency 5 3 3 9 4" xfId="11321" xr:uid="{2E088083-D72B-47E8-926E-CC15D2245BC2}"/>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23333" xr:uid="{E2AB495D-609D-4190-976B-F0D902120F3D}"/>
    <cellStyle name="Currency 5 3 4 2 2 2 3" xfId="15712" xr:uid="{BB519A6F-C18F-4B22-8E6B-B35F6E8ED885}"/>
    <cellStyle name="Currency 5 3 4 2 2 3" xfId="19120" xr:uid="{EB26BB64-4369-4085-A622-D23CECF46720}"/>
    <cellStyle name="Currency 5 3 4 2 2 4" xfId="11499" xr:uid="{51AD8C56-E38B-4CEC-8DD8-E9854C9DA795}"/>
    <cellStyle name="Currency 5 3 4 2 3" xfId="5072" xr:uid="{00000000-0005-0000-0000-00000F0D0000}"/>
    <cellStyle name="Currency 5 3 4 2 3 2" xfId="21188" xr:uid="{FFAB89D8-1F9E-41BB-A485-7C4A561EE445}"/>
    <cellStyle name="Currency 5 3 4 2 3 3" xfId="13567" xr:uid="{2A89FD65-A91D-4837-B377-CF3B795504F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23746" xr:uid="{49022BE0-308E-42D3-BD51-790BC8E4E9F8}"/>
    <cellStyle name="Currency 5 3 4 3 2 2 3" xfId="16125" xr:uid="{7FB97A6A-C256-425A-83B4-080F556E11C2}"/>
    <cellStyle name="Currency 5 3 4 3 2 3" xfId="19533" xr:uid="{A4627497-B910-4BA5-9ED2-F7C057E0BC50}"/>
    <cellStyle name="Currency 5 3 4 3 2 4" xfId="11912" xr:uid="{80CB9E09-1DD0-4277-A939-05BDBF8EA152}"/>
    <cellStyle name="Currency 5 3 4 3 3" xfId="5485" xr:uid="{00000000-0005-0000-0000-0000130D0000}"/>
    <cellStyle name="Currency 5 3 4 3 3 2" xfId="21601" xr:uid="{196A1D2C-EC7E-4F29-AA4E-2BDDB3E2F0C4}"/>
    <cellStyle name="Currency 5 3 4 3 3 3" xfId="13980" xr:uid="{915009F9-D67F-443E-95A6-4BD4B5890D26}"/>
    <cellStyle name="Currency 5 3 4 3 4" xfId="17388" xr:uid="{97F061AB-7EB4-4D7E-AEF6-33BD7FC67665}"/>
    <cellStyle name="Currency 5 3 4 3 5" xfId="9767" xr:uid="{B58B4235-86DD-4AF3-BFBA-7276BE1EFD20}"/>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24159" xr:uid="{82F74360-9B81-4AA9-8FCB-288CF449D351}"/>
    <cellStyle name="Currency 5 3 4 4 2 2 3" xfId="16538" xr:uid="{261BF864-53D4-4546-8B81-15765A0A01F1}"/>
    <cellStyle name="Currency 5 3 4 4 2 3" xfId="19946" xr:uid="{0F80F4CD-9FE3-4C56-A91F-09F84DD06CDE}"/>
    <cellStyle name="Currency 5 3 4 4 2 4" xfId="12325" xr:uid="{68437D95-8596-4EA3-8480-D49972246D84}"/>
    <cellStyle name="Currency 5 3 4 4 3" xfId="5898" xr:uid="{00000000-0005-0000-0000-0000170D0000}"/>
    <cellStyle name="Currency 5 3 4 4 3 2" xfId="22014" xr:uid="{E7FA8206-9D2E-4948-91FB-09C139F5A30E}"/>
    <cellStyle name="Currency 5 3 4 4 3 3" xfId="14393" xr:uid="{41B1E9B3-12EA-4F4F-B9AF-2E0B98A38568}"/>
    <cellStyle name="Currency 5 3 4 4 4" xfId="17801" xr:uid="{6632D4A9-E336-46BF-AC64-3DA39604B0FD}"/>
    <cellStyle name="Currency 5 3 4 4 5" xfId="10180" xr:uid="{10E5E373-FE8E-482A-8E0D-41DB07ACC7E1}"/>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24572" xr:uid="{ADFC8166-5427-4AE8-AE13-32FDD6F8B356}"/>
    <cellStyle name="Currency 5 3 4 5 2 2 3" xfId="16951" xr:uid="{0DFDC27B-ECE1-48E0-B94F-46CD7CE6FCE2}"/>
    <cellStyle name="Currency 5 3 4 5 2 3" xfId="20359" xr:uid="{BE3A36E8-F98D-4EED-9D2D-E07F86C9BDEF}"/>
    <cellStyle name="Currency 5 3 4 5 2 4" xfId="12738" xr:uid="{12151EE4-2C8B-46B7-A2B8-C215FC2257CD}"/>
    <cellStyle name="Currency 5 3 4 5 3" xfId="6311" xr:uid="{00000000-0005-0000-0000-00001B0D0000}"/>
    <cellStyle name="Currency 5 3 4 5 3 2" xfId="22427" xr:uid="{9E730BF3-11DD-463F-9093-C1669DFD2D27}"/>
    <cellStyle name="Currency 5 3 4 5 3 3" xfId="14806" xr:uid="{6CC7FA57-5CDD-470E-ABB1-8FFA34BE1055}"/>
    <cellStyle name="Currency 5 3 4 5 4" xfId="18214" xr:uid="{1C3F8C70-578F-4B13-A3E0-E302DB364AC6}"/>
    <cellStyle name="Currency 5 3 4 5 5" xfId="10593" xr:uid="{DEA4F1EC-071A-4CB1-BEA1-33F6F139DE2E}"/>
    <cellStyle name="Currency 5 3 4 6" xfId="2440" xr:uid="{00000000-0005-0000-0000-00001C0D0000}"/>
    <cellStyle name="Currency 5 3 4 6 2" xfId="6724" xr:uid="{00000000-0005-0000-0000-00001D0D0000}"/>
    <cellStyle name="Currency 5 3 4 6 2 2" xfId="22840" xr:uid="{C59745BC-4665-48F5-A5A7-56F960C71655}"/>
    <cellStyle name="Currency 5 3 4 6 2 3" xfId="15219" xr:uid="{B367B751-A4E8-4397-ABC0-4F04AC82AA10}"/>
    <cellStyle name="Currency 5 3 4 6 3" xfId="18627" xr:uid="{B6C8BB01-038C-4C9D-A3C5-4EE7FEFAA039}"/>
    <cellStyle name="Currency 5 3 4 6 4" xfId="11006" xr:uid="{23A5DFDE-089C-449D-9B94-48F7B15177F8}"/>
    <cellStyle name="Currency 5 3 4 7" xfId="2737" xr:uid="{00000000-0005-0000-0000-00001E0D0000}"/>
    <cellStyle name="Currency 5 3 4 8" xfId="2818" xr:uid="{00000000-0005-0000-0000-00001F0D0000}"/>
    <cellStyle name="Currency 5 3 4 8 2" xfId="7041" xr:uid="{00000000-0005-0000-0000-0000200D0000}"/>
    <cellStyle name="Currency 5 3 4 8 2 2" xfId="23157" xr:uid="{7FAECAAB-4C38-45F4-B07A-13F932E46637}"/>
    <cellStyle name="Currency 5 3 4 8 2 3" xfId="15536" xr:uid="{A7035C25-8AAC-4753-AEFA-20F3EF203692}"/>
    <cellStyle name="Currency 5 3 4 8 3" xfId="18944" xr:uid="{F278226A-8F7C-4748-8942-4E94E1179A17}"/>
    <cellStyle name="Currency 5 3 4 8 4" xfId="11323" xr:uid="{45EB65A9-CB1A-4097-86BD-4BB53EE7FE7A}"/>
    <cellStyle name="Currency 5 3 4 9" xfId="4658" xr:uid="{00000000-0005-0000-0000-0000210D0000}"/>
    <cellStyle name="Currency 5 3 4 9 2" xfId="20775" xr:uid="{EC9D1AC3-D70B-4711-A583-1BDDBEFCF00E}"/>
    <cellStyle name="Currency 5 3 4 9 3" xfId="13154" xr:uid="{C640958C-60D1-4590-B9CA-B8A76411E01E}"/>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23334" xr:uid="{A4C1F994-B639-42D9-BBAC-9F7CB741C5C1}"/>
    <cellStyle name="Currency 5 3 5 2 2 2 3" xfId="15713" xr:uid="{FC7CFAAA-27A5-430B-92C9-7234257C03DC}"/>
    <cellStyle name="Currency 5 3 5 2 2 3" xfId="19121" xr:uid="{B4881A79-D142-42D6-89FA-94E5F4785A05}"/>
    <cellStyle name="Currency 5 3 5 2 2 4" xfId="11500" xr:uid="{9CABD1E1-7FE6-41CC-B6E1-DE83415F5F27}"/>
    <cellStyle name="Currency 5 3 5 2 3" xfId="5073" xr:uid="{00000000-0005-0000-0000-0000260D0000}"/>
    <cellStyle name="Currency 5 3 5 2 3 2" xfId="21189" xr:uid="{FF751850-1EDB-43D4-8A08-861982300D1D}"/>
    <cellStyle name="Currency 5 3 5 2 3 3" xfId="13568" xr:uid="{7012D33D-EE7A-4F57-A0C0-350CA33F0385}"/>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23747" xr:uid="{CD8E4F05-EC2A-4C13-81C9-93A5220F3C9F}"/>
    <cellStyle name="Currency 5 3 5 3 2 2 3" xfId="16126" xr:uid="{CAA88482-F60F-48B0-BB6B-C0D62DBB40A9}"/>
    <cellStyle name="Currency 5 3 5 3 2 3" xfId="19534" xr:uid="{FF4BF53D-8994-4889-AA77-890383E28421}"/>
    <cellStyle name="Currency 5 3 5 3 2 4" xfId="11913" xr:uid="{0AFAC318-03D3-4D8C-BD9E-F2C7905D2FAD}"/>
    <cellStyle name="Currency 5 3 5 3 3" xfId="5486" xr:uid="{00000000-0005-0000-0000-00002A0D0000}"/>
    <cellStyle name="Currency 5 3 5 3 3 2" xfId="21602" xr:uid="{77703EF7-045D-4E65-9946-9862DCA3FC2C}"/>
    <cellStyle name="Currency 5 3 5 3 3 3" xfId="13981" xr:uid="{8990224B-AC43-4859-B049-156BDBDAA7A9}"/>
    <cellStyle name="Currency 5 3 5 3 4" xfId="17389" xr:uid="{76310753-29A0-4C68-8D7A-C26A7AF9F8B1}"/>
    <cellStyle name="Currency 5 3 5 3 5" xfId="9768" xr:uid="{52F9FB0C-57FB-432F-A2F8-315432DAC254}"/>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24160" xr:uid="{BACC88FA-4B89-4139-A966-D12F1287ED4A}"/>
    <cellStyle name="Currency 5 3 5 4 2 2 3" xfId="16539" xr:uid="{DAD67DB3-D0E4-4FA8-BAB4-C6DDB64B8DEA}"/>
    <cellStyle name="Currency 5 3 5 4 2 3" xfId="19947" xr:uid="{8B0F359D-EF79-4762-9EAE-E31736F3C01F}"/>
    <cellStyle name="Currency 5 3 5 4 2 4" xfId="12326" xr:uid="{18C2BE94-33A2-4AF2-88C6-80414F9E3AB7}"/>
    <cellStyle name="Currency 5 3 5 4 3" xfId="5899" xr:uid="{00000000-0005-0000-0000-00002E0D0000}"/>
    <cellStyle name="Currency 5 3 5 4 3 2" xfId="22015" xr:uid="{A72DB419-DF09-43FA-B5DB-EF4A70BEED42}"/>
    <cellStyle name="Currency 5 3 5 4 3 3" xfId="14394" xr:uid="{A4EF4EA5-E869-4021-9C87-06CF38A02557}"/>
    <cellStyle name="Currency 5 3 5 4 4" xfId="17802" xr:uid="{08439AB8-3F9C-4DDC-8FC4-5028269DCBCF}"/>
    <cellStyle name="Currency 5 3 5 4 5" xfId="10181" xr:uid="{CAAA2811-5DEB-4B15-993E-20E93FF9C83C}"/>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24573" xr:uid="{03D71258-7FED-4794-BB91-80FAA830C45F}"/>
    <cellStyle name="Currency 5 3 5 5 2 2 3" xfId="16952" xr:uid="{42D25960-8902-4DBE-A0C8-0CF0411E7ABF}"/>
    <cellStyle name="Currency 5 3 5 5 2 3" xfId="20360" xr:uid="{E23FFC95-F69B-41E5-9329-6EB1683215A8}"/>
    <cellStyle name="Currency 5 3 5 5 2 4" xfId="12739" xr:uid="{6309CD75-F506-461B-9291-32E56BE3C8CA}"/>
    <cellStyle name="Currency 5 3 5 5 3" xfId="6312" xr:uid="{00000000-0005-0000-0000-0000320D0000}"/>
    <cellStyle name="Currency 5 3 5 5 3 2" xfId="22428" xr:uid="{FA1396DC-BE5B-4A5B-B871-9CCDB28034BD}"/>
    <cellStyle name="Currency 5 3 5 5 3 3" xfId="14807" xr:uid="{D06A8BD1-5807-4686-8902-EE0A9C3BCF4E}"/>
    <cellStyle name="Currency 5 3 5 5 4" xfId="18215" xr:uid="{610F1338-474F-41EF-B1FB-EFAFF01983DC}"/>
    <cellStyle name="Currency 5 3 5 5 5" xfId="10594" xr:uid="{51511391-936B-4142-93B0-5B46B460DF61}"/>
    <cellStyle name="Currency 5 3 5 6" xfId="2441" xr:uid="{00000000-0005-0000-0000-0000330D0000}"/>
    <cellStyle name="Currency 5 3 5 6 2" xfId="6725" xr:uid="{00000000-0005-0000-0000-0000340D0000}"/>
    <cellStyle name="Currency 5 3 5 6 2 2" xfId="22841" xr:uid="{8DF079F7-E7DA-4D98-8C1C-94ABF64B49E1}"/>
    <cellStyle name="Currency 5 3 5 6 2 3" xfId="15220" xr:uid="{2E918AEF-5BBD-4BFB-B4E0-D059EDC1ABF8}"/>
    <cellStyle name="Currency 5 3 5 6 3" xfId="18628" xr:uid="{EB9AA34C-EACD-4920-84C5-460B938E36A3}"/>
    <cellStyle name="Currency 5 3 5 6 4" xfId="11007" xr:uid="{E90096B9-55A4-44B0-A7D5-91DFDE7D5620}"/>
    <cellStyle name="Currency 5 3 5 7" xfId="2738" xr:uid="{00000000-0005-0000-0000-0000350D0000}"/>
    <cellStyle name="Currency 5 3 5 8" xfId="2819" xr:uid="{00000000-0005-0000-0000-0000360D0000}"/>
    <cellStyle name="Currency 5 3 5 8 2" xfId="7042" xr:uid="{00000000-0005-0000-0000-0000370D0000}"/>
    <cellStyle name="Currency 5 3 5 8 2 2" xfId="23158" xr:uid="{CE4BAF62-19CE-4B16-9896-39EFBD68BEE4}"/>
    <cellStyle name="Currency 5 3 5 8 2 3" xfId="15537" xr:uid="{1DC023B6-AA12-4F96-8E5E-D5B08C62C6DE}"/>
    <cellStyle name="Currency 5 3 5 8 3" xfId="18945" xr:uid="{08977594-3A90-4A5D-8931-E14F86EDD4FF}"/>
    <cellStyle name="Currency 5 3 5 8 4" xfId="11324" xr:uid="{95A080E5-7C13-4734-9B4B-1C81985F49CB}"/>
    <cellStyle name="Currency 5 3 5 9" xfId="4659" xr:uid="{00000000-0005-0000-0000-0000380D0000}"/>
    <cellStyle name="Currency 5 3 5 9 2" xfId="20776" xr:uid="{7549FC96-CF80-437F-9E39-4624F04DD105}"/>
    <cellStyle name="Currency 5 3 5 9 3" xfId="13155" xr:uid="{F2B376F8-C783-4C03-93AB-58B4140C2AE2}"/>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20777" xr:uid="{344AF17D-0C88-4201-9CC5-F53EA258B155}"/>
    <cellStyle name="Currency 5 5 10 3" xfId="13156" xr:uid="{A5F1CC1F-9056-48CC-A6BF-4268231E60A8}"/>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23336" xr:uid="{D705C22F-3E0D-42D3-BD01-DC36C9EAA7B2}"/>
    <cellStyle name="Currency 5 5 2 2 2 2 3" xfId="15715" xr:uid="{F6620B30-9147-4D34-AA7B-3D7575750D81}"/>
    <cellStyle name="Currency 5 5 2 2 2 3" xfId="19123" xr:uid="{1B747893-4190-49E0-A73E-A1F448A22BC6}"/>
    <cellStyle name="Currency 5 5 2 2 2 4" xfId="11502" xr:uid="{2CF96D19-7C97-40F0-96A1-82AC52195AC3}"/>
    <cellStyle name="Currency 5 5 2 2 3" xfId="5075" xr:uid="{00000000-0005-0000-0000-0000410D0000}"/>
    <cellStyle name="Currency 5 5 2 2 3 2" xfId="21191" xr:uid="{E68B8A65-1DE4-4BB8-9F25-B5731F24EC2E}"/>
    <cellStyle name="Currency 5 5 2 2 3 3" xfId="13570" xr:uid="{1F61702C-BB8B-4087-8727-A91B2C2D03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23749" xr:uid="{A253F472-7B31-44B7-A692-3990C867F898}"/>
    <cellStyle name="Currency 5 5 2 3 2 2 3" xfId="16128" xr:uid="{313E62AA-0A49-4315-8998-2BE2544800B3}"/>
    <cellStyle name="Currency 5 5 2 3 2 3" xfId="19536" xr:uid="{A3CA5C12-2DC7-4EBB-BDD6-CAF1434017E7}"/>
    <cellStyle name="Currency 5 5 2 3 2 4" xfId="11915" xr:uid="{D481C61C-6D38-4D7C-9FBE-4728C87451E7}"/>
    <cellStyle name="Currency 5 5 2 3 3" xfId="5488" xr:uid="{00000000-0005-0000-0000-0000450D0000}"/>
    <cellStyle name="Currency 5 5 2 3 3 2" xfId="21604" xr:uid="{6067F662-C564-40B9-8B8C-6E8133091F25}"/>
    <cellStyle name="Currency 5 5 2 3 3 3" xfId="13983" xr:uid="{2F316DC6-F6CF-430C-B25E-5673DB1374DC}"/>
    <cellStyle name="Currency 5 5 2 3 4" xfId="17391" xr:uid="{78BF4DFE-8E3F-4EE2-9767-0B75008A297C}"/>
    <cellStyle name="Currency 5 5 2 3 5" xfId="9770" xr:uid="{2846AEAB-5896-4ACA-87E9-72C69411506E}"/>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24162" xr:uid="{DE46CD23-4FE0-4590-87D2-1482B47BC8CF}"/>
    <cellStyle name="Currency 5 5 2 4 2 2 3" xfId="16541" xr:uid="{1F65DEF8-9E8D-4953-89CE-0D213E13568A}"/>
    <cellStyle name="Currency 5 5 2 4 2 3" xfId="19949" xr:uid="{358FBB12-E413-42B8-AE59-C64F19C0573D}"/>
    <cellStyle name="Currency 5 5 2 4 2 4" xfId="12328" xr:uid="{F120D419-16F2-4026-BCF1-37CE15447C9A}"/>
    <cellStyle name="Currency 5 5 2 4 3" xfId="5901" xr:uid="{00000000-0005-0000-0000-0000490D0000}"/>
    <cellStyle name="Currency 5 5 2 4 3 2" xfId="22017" xr:uid="{C60E730E-BDC4-4EB6-B140-4AABE4B01C93}"/>
    <cellStyle name="Currency 5 5 2 4 3 3" xfId="14396" xr:uid="{392D49F8-66EB-4A22-B0C1-92C66453F02B}"/>
    <cellStyle name="Currency 5 5 2 4 4" xfId="17804" xr:uid="{2F1E444B-33C2-4716-84F8-BFB5AC8C8AF0}"/>
    <cellStyle name="Currency 5 5 2 4 5" xfId="10183" xr:uid="{5B58986D-3D2D-4FDF-B1F7-FC31AF03E8D2}"/>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24575" xr:uid="{09861F08-D005-4972-B8E4-813D9988B65D}"/>
    <cellStyle name="Currency 5 5 2 5 2 2 3" xfId="16954" xr:uid="{A31FA8E2-2FE4-467A-8184-658339A646CE}"/>
    <cellStyle name="Currency 5 5 2 5 2 3" xfId="20362" xr:uid="{1CBD65E2-1506-41D8-94A2-3EF70819445D}"/>
    <cellStyle name="Currency 5 5 2 5 2 4" xfId="12741" xr:uid="{3B932E9E-9A45-4352-A56B-88C5C14BEF87}"/>
    <cellStyle name="Currency 5 5 2 5 3" xfId="6314" xr:uid="{00000000-0005-0000-0000-00004D0D0000}"/>
    <cellStyle name="Currency 5 5 2 5 3 2" xfId="22430" xr:uid="{602C3FDB-8E43-436D-A2DE-361AA79A2D15}"/>
    <cellStyle name="Currency 5 5 2 5 3 3" xfId="14809" xr:uid="{11B5B289-DDC8-4D21-9B1A-CA33FF5CC12B}"/>
    <cellStyle name="Currency 5 5 2 5 4" xfId="18217" xr:uid="{3F18D4A8-CCE0-4EBF-B246-16653A3CA7D6}"/>
    <cellStyle name="Currency 5 5 2 5 5" xfId="10596" xr:uid="{959F907A-0FF5-46A3-90F5-F55242107C73}"/>
    <cellStyle name="Currency 5 5 2 6" xfId="2443" xr:uid="{00000000-0005-0000-0000-00004E0D0000}"/>
    <cellStyle name="Currency 5 5 2 6 2" xfId="6727" xr:uid="{00000000-0005-0000-0000-00004F0D0000}"/>
    <cellStyle name="Currency 5 5 2 6 2 2" xfId="22843" xr:uid="{327D4410-67AA-40A8-9E37-DC5CB80BD5B5}"/>
    <cellStyle name="Currency 5 5 2 6 2 3" xfId="15222" xr:uid="{AE07AC67-D1B5-45F9-B5CD-2C8FFB365556}"/>
    <cellStyle name="Currency 5 5 2 6 3" xfId="18630" xr:uid="{DC5EB3FC-72D3-42CB-9C96-4E25F72229A5}"/>
    <cellStyle name="Currency 5 5 2 6 4" xfId="11009" xr:uid="{0EFA7562-5284-4B86-9135-D84F08DB6EAF}"/>
    <cellStyle name="Currency 5 5 2 7" xfId="2740" xr:uid="{00000000-0005-0000-0000-0000500D0000}"/>
    <cellStyle name="Currency 5 5 2 8" xfId="2821" xr:uid="{00000000-0005-0000-0000-0000510D0000}"/>
    <cellStyle name="Currency 5 5 2 8 2" xfId="7044" xr:uid="{00000000-0005-0000-0000-0000520D0000}"/>
    <cellStyle name="Currency 5 5 2 8 2 2" xfId="23160" xr:uid="{6AA86E0F-46DB-4C3F-B462-742D436E59B1}"/>
    <cellStyle name="Currency 5 5 2 8 2 3" xfId="15539" xr:uid="{9F40CC5F-ED76-4593-94E1-923D82E172BE}"/>
    <cellStyle name="Currency 5 5 2 8 3" xfId="18947" xr:uid="{A05BAE2A-4D4C-456A-AEA0-B87350335ED7}"/>
    <cellStyle name="Currency 5 5 2 8 4" xfId="11326" xr:uid="{A3D4FEDE-157D-4EBF-B0FB-B8189E4FEACD}"/>
    <cellStyle name="Currency 5 5 2 9" xfId="4661" xr:uid="{00000000-0005-0000-0000-0000530D0000}"/>
    <cellStyle name="Currency 5 5 2 9 2" xfId="20778" xr:uid="{BF49CCB3-D794-48A5-B17A-D8067DD9A1BE}"/>
    <cellStyle name="Currency 5 5 2 9 3" xfId="13157" xr:uid="{0E2A9EEF-9462-4545-B1AD-DC7E3BF4E727}"/>
    <cellStyle name="Currency 5 5 3" xfId="745" xr:uid="{00000000-0005-0000-0000-0000540D0000}"/>
    <cellStyle name="Currency 5 5 3 2" xfId="2997" xr:uid="{00000000-0005-0000-0000-0000550D0000}"/>
    <cellStyle name="Currency 5 5 3 2 2" xfId="7219" xr:uid="{00000000-0005-0000-0000-0000560D0000}"/>
    <cellStyle name="Currency 5 5 3 2 2 2" xfId="23335" xr:uid="{B931EE02-B4AF-422C-AA27-BDE66A58B482}"/>
    <cellStyle name="Currency 5 5 3 2 2 3" xfId="15714" xr:uid="{33CCE969-53E9-4E4D-A787-C96DB1939C20}"/>
    <cellStyle name="Currency 5 5 3 2 3" xfId="19122" xr:uid="{97CD4321-B4CD-4FAC-BBDF-7664D01AFAE4}"/>
    <cellStyle name="Currency 5 5 3 2 4" xfId="11501" xr:uid="{57764DED-F81F-4C94-A03C-2B979EE73CA9}"/>
    <cellStyle name="Currency 5 5 3 3" xfId="5074" xr:uid="{00000000-0005-0000-0000-0000570D0000}"/>
    <cellStyle name="Currency 5 5 3 3 2" xfId="21190" xr:uid="{A7428750-EC3A-4285-B046-13BC18268672}"/>
    <cellStyle name="Currency 5 5 3 3 3" xfId="13569" xr:uid="{7C5DA226-8BC7-4F64-BD69-F5CB3C6BE015}"/>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2 2 2" xfId="23748" xr:uid="{B5278D51-1CFC-4093-8403-6E3E0AD06545}"/>
    <cellStyle name="Currency 5 5 4 2 2 3" xfId="16127" xr:uid="{02B4954D-43ED-4B71-BD39-3766FD815DAF}"/>
    <cellStyle name="Currency 5 5 4 2 3" xfId="19535" xr:uid="{641C6859-25C8-41FF-9560-BE2152EF383C}"/>
    <cellStyle name="Currency 5 5 4 2 4" xfId="11914" xr:uid="{44AF674F-31C3-432E-A54C-C1D6CBD075A2}"/>
    <cellStyle name="Currency 5 5 4 3" xfId="5487" xr:uid="{00000000-0005-0000-0000-00005B0D0000}"/>
    <cellStyle name="Currency 5 5 4 3 2" xfId="21603" xr:uid="{7108397D-6AE5-405D-A2BF-C0F21BFC4949}"/>
    <cellStyle name="Currency 5 5 4 3 3" xfId="13982" xr:uid="{21B4C425-F556-495E-9F73-9C2C6823CC0F}"/>
    <cellStyle name="Currency 5 5 4 4" xfId="17390" xr:uid="{FA1DE759-483F-4AC5-9668-8F163CCFE2A6}"/>
    <cellStyle name="Currency 5 5 4 5" xfId="9769" xr:uid="{1E0C7014-0FAF-4BFC-BD26-8F903C92A0B6}"/>
    <cellStyle name="Currency 5 5 5" xfId="1593" xr:uid="{00000000-0005-0000-0000-00005C0D0000}"/>
    <cellStyle name="Currency 5 5 5 2" xfId="3823" xr:uid="{00000000-0005-0000-0000-00005D0D0000}"/>
    <cellStyle name="Currency 5 5 5 2 2" xfId="8045" xr:uid="{00000000-0005-0000-0000-00005E0D0000}"/>
    <cellStyle name="Currency 5 5 5 2 2 2" xfId="24161" xr:uid="{3C4854FD-C393-45DD-A6D2-5EAF000D9393}"/>
    <cellStyle name="Currency 5 5 5 2 2 3" xfId="16540" xr:uid="{6396ADF4-BAAF-4A9F-A03C-F8AC66AD1E06}"/>
    <cellStyle name="Currency 5 5 5 2 3" xfId="19948" xr:uid="{A9815DB1-6DEF-4740-9CD8-EAB37F1B5685}"/>
    <cellStyle name="Currency 5 5 5 2 4" xfId="12327" xr:uid="{BA76C025-E448-4E6B-A5A0-619DD89A7945}"/>
    <cellStyle name="Currency 5 5 5 3" xfId="5900" xr:uid="{00000000-0005-0000-0000-00005F0D0000}"/>
    <cellStyle name="Currency 5 5 5 3 2" xfId="22016" xr:uid="{E4572294-FBEC-41B1-8D16-DC3C01E25F0A}"/>
    <cellStyle name="Currency 5 5 5 3 3" xfId="14395" xr:uid="{2A647E18-E224-4533-A0F5-DD2003E205BB}"/>
    <cellStyle name="Currency 5 5 5 4" xfId="17803" xr:uid="{32D77768-0B65-495B-AD4F-FC6CE30FD5B0}"/>
    <cellStyle name="Currency 5 5 5 5" xfId="10182" xr:uid="{AC79600B-FAB1-4D3D-9EC1-19C302E97417}"/>
    <cellStyle name="Currency 5 5 6" xfId="2007" xr:uid="{00000000-0005-0000-0000-0000600D0000}"/>
    <cellStyle name="Currency 5 5 6 2" xfId="4236" xr:uid="{00000000-0005-0000-0000-0000610D0000}"/>
    <cellStyle name="Currency 5 5 6 2 2" xfId="8458" xr:uid="{00000000-0005-0000-0000-0000620D0000}"/>
    <cellStyle name="Currency 5 5 6 2 2 2" xfId="24574" xr:uid="{7F2B3714-3999-4B49-875C-8FF83D021D5F}"/>
    <cellStyle name="Currency 5 5 6 2 2 3" xfId="16953" xr:uid="{A7A2BA50-610D-45A1-A6D6-9D2C5EEA62D3}"/>
    <cellStyle name="Currency 5 5 6 2 3" xfId="20361" xr:uid="{D25F3165-AE3A-4040-A0E0-3AD610C345CA}"/>
    <cellStyle name="Currency 5 5 6 2 4" xfId="12740" xr:uid="{9AD69B2F-01FD-41BA-BB6C-71B9A0B12093}"/>
    <cellStyle name="Currency 5 5 6 3" xfId="6313" xr:uid="{00000000-0005-0000-0000-0000630D0000}"/>
    <cellStyle name="Currency 5 5 6 3 2" xfId="22429" xr:uid="{7B799ED0-225C-43F3-B67E-5B5263444658}"/>
    <cellStyle name="Currency 5 5 6 3 3" xfId="14808" xr:uid="{D9F2B60F-8E00-4400-A0F5-CB0976E4D22E}"/>
    <cellStyle name="Currency 5 5 6 4" xfId="18216" xr:uid="{E6408F7C-D5CD-41C7-824D-3A11CDDA52A3}"/>
    <cellStyle name="Currency 5 5 6 5" xfId="10595" xr:uid="{211A4DEB-7F46-452E-BFF2-878B8FB8EC84}"/>
    <cellStyle name="Currency 5 5 7" xfId="2442" xr:uid="{00000000-0005-0000-0000-0000640D0000}"/>
    <cellStyle name="Currency 5 5 7 2" xfId="6726" xr:uid="{00000000-0005-0000-0000-0000650D0000}"/>
    <cellStyle name="Currency 5 5 7 2 2" xfId="22842" xr:uid="{59CDF9E1-C102-449A-AAAF-9F0DAD5371A7}"/>
    <cellStyle name="Currency 5 5 7 2 3" xfId="15221" xr:uid="{C08FC218-C074-438E-9D8E-64CAC2B91016}"/>
    <cellStyle name="Currency 5 5 7 3" xfId="18629" xr:uid="{4CD0170F-68EF-465C-B028-DBDAA02F714A}"/>
    <cellStyle name="Currency 5 5 7 4" xfId="11008" xr:uid="{A698D794-9C6A-4B4C-AE8B-451250D21138}"/>
    <cellStyle name="Currency 5 5 8" xfId="2739" xr:uid="{00000000-0005-0000-0000-0000660D0000}"/>
    <cellStyle name="Currency 5 5 9" xfId="2820" xr:uid="{00000000-0005-0000-0000-0000670D0000}"/>
    <cellStyle name="Currency 5 5 9 2" xfId="7043" xr:uid="{00000000-0005-0000-0000-0000680D0000}"/>
    <cellStyle name="Currency 5 5 9 2 2" xfId="23159" xr:uid="{09687B05-8525-44BC-AE4D-72B5AB96B718}"/>
    <cellStyle name="Currency 5 5 9 2 3" xfId="15538" xr:uid="{DEB28846-D91C-4DB4-A9D2-4C9262ED9B1F}"/>
    <cellStyle name="Currency 5 5 9 3" xfId="18946" xr:uid="{41EE5546-A470-4720-8BA2-2A0C2A5B2F5F}"/>
    <cellStyle name="Currency 5 5 9 4" xfId="11325" xr:uid="{9A44FD71-F0B9-40A8-88A5-98F38B03BC65}"/>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2 2 2" xfId="23337" xr:uid="{A451E911-6CFF-48D2-A0E9-8FB3B867D841}"/>
    <cellStyle name="Currency 5 6 2 2 2 3" xfId="15716" xr:uid="{3914DB33-57A8-4798-A52F-42643CC1FD56}"/>
    <cellStyle name="Currency 5 6 2 2 3" xfId="19124" xr:uid="{47583DD4-B8BF-4562-8AD5-11A8F6E610CE}"/>
    <cellStyle name="Currency 5 6 2 2 4" xfId="11503" xr:uid="{3C700713-9CAC-47A0-A59F-2B501370BA1B}"/>
    <cellStyle name="Currency 5 6 2 3" xfId="5076" xr:uid="{00000000-0005-0000-0000-00006D0D0000}"/>
    <cellStyle name="Currency 5 6 2 3 2" xfId="21192" xr:uid="{F93B2287-E43D-448A-8AC9-7CD11A3CF11D}"/>
    <cellStyle name="Currency 5 6 2 3 3" xfId="13571" xr:uid="{65C0E451-496E-40FE-886B-8A83F0B2B553}"/>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2 2 2" xfId="23750" xr:uid="{8576AF35-9AF4-41AC-AA34-B094E83E97C1}"/>
    <cellStyle name="Currency 5 6 3 2 2 3" xfId="16129" xr:uid="{54102E17-101A-44DE-8C91-DCAA9086BE7E}"/>
    <cellStyle name="Currency 5 6 3 2 3" xfId="19537" xr:uid="{D506D827-E0DB-47A4-899C-C99D2140E2C6}"/>
    <cellStyle name="Currency 5 6 3 2 4" xfId="11916" xr:uid="{EDE0A3E6-7A43-4EA5-AB5F-6BEE011181A6}"/>
    <cellStyle name="Currency 5 6 3 3" xfId="5489" xr:uid="{00000000-0005-0000-0000-0000710D0000}"/>
    <cellStyle name="Currency 5 6 3 3 2" xfId="21605" xr:uid="{19428DAC-4941-4AEF-9DE6-4DF5C1F15851}"/>
    <cellStyle name="Currency 5 6 3 3 3" xfId="13984" xr:uid="{9A69CFD0-9DE7-409F-AEB9-C63E75787D9F}"/>
    <cellStyle name="Currency 5 6 3 4" xfId="17392" xr:uid="{BC5F5320-786C-4EDB-A485-40CA294EFB72}"/>
    <cellStyle name="Currency 5 6 3 5" xfId="9771" xr:uid="{F99B7160-555A-4D52-92FC-3FEAE34CC363}"/>
    <cellStyle name="Currency 5 6 4" xfId="1595" xr:uid="{00000000-0005-0000-0000-0000720D0000}"/>
    <cellStyle name="Currency 5 6 4 2" xfId="3825" xr:uid="{00000000-0005-0000-0000-0000730D0000}"/>
    <cellStyle name="Currency 5 6 4 2 2" xfId="8047" xr:uid="{00000000-0005-0000-0000-0000740D0000}"/>
    <cellStyle name="Currency 5 6 4 2 2 2" xfId="24163" xr:uid="{2431A1C9-53A0-4014-9C05-C6C6391998BF}"/>
    <cellStyle name="Currency 5 6 4 2 2 3" xfId="16542" xr:uid="{9185FDF1-3FA7-467B-B468-580FE8C4D697}"/>
    <cellStyle name="Currency 5 6 4 2 3" xfId="19950" xr:uid="{66BEEB1C-DB2A-4456-ABC3-4C9FA7B247BD}"/>
    <cellStyle name="Currency 5 6 4 2 4" xfId="12329" xr:uid="{63F72603-0F7D-4F58-A1B7-49A26E87BA37}"/>
    <cellStyle name="Currency 5 6 4 3" xfId="5902" xr:uid="{00000000-0005-0000-0000-0000750D0000}"/>
    <cellStyle name="Currency 5 6 4 3 2" xfId="22018" xr:uid="{A71D0F19-8C0A-4FC1-8994-E8FAB668EB32}"/>
    <cellStyle name="Currency 5 6 4 3 3" xfId="14397" xr:uid="{0FDFAEAB-CA46-408D-843E-EE62EADE51AF}"/>
    <cellStyle name="Currency 5 6 4 4" xfId="17805" xr:uid="{F9F70E83-D056-40B3-A90D-6562A0047C26}"/>
    <cellStyle name="Currency 5 6 4 5" xfId="10184" xr:uid="{2D283A51-BA18-476D-902C-2B1655A642A4}"/>
    <cellStyle name="Currency 5 6 5" xfId="2009" xr:uid="{00000000-0005-0000-0000-0000760D0000}"/>
    <cellStyle name="Currency 5 6 5 2" xfId="4238" xr:uid="{00000000-0005-0000-0000-0000770D0000}"/>
    <cellStyle name="Currency 5 6 5 2 2" xfId="8460" xr:uid="{00000000-0005-0000-0000-0000780D0000}"/>
    <cellStyle name="Currency 5 6 5 2 2 2" xfId="24576" xr:uid="{8AF371F3-385F-4FDA-844E-BE5639E6434A}"/>
    <cellStyle name="Currency 5 6 5 2 2 3" xfId="16955" xr:uid="{49A3F07B-9E28-4432-8629-A79F34D239EA}"/>
    <cellStyle name="Currency 5 6 5 2 3" xfId="20363" xr:uid="{0EE32910-B610-4F4E-B921-071264B119C0}"/>
    <cellStyle name="Currency 5 6 5 2 4" xfId="12742" xr:uid="{AC07853D-EF97-4254-90CF-79DD364C7E67}"/>
    <cellStyle name="Currency 5 6 5 3" xfId="6315" xr:uid="{00000000-0005-0000-0000-0000790D0000}"/>
    <cellStyle name="Currency 5 6 5 3 2" xfId="22431" xr:uid="{4D0E635A-8D86-4176-B658-DE3B1783FDC1}"/>
    <cellStyle name="Currency 5 6 5 3 3" xfId="14810" xr:uid="{8D74805D-CFCD-41E0-9CFB-080D9A2633A9}"/>
    <cellStyle name="Currency 5 6 5 4" xfId="18218" xr:uid="{9F374D24-6E09-4896-92BE-33F409F1A855}"/>
    <cellStyle name="Currency 5 6 5 5" xfId="10597" xr:uid="{39955111-D371-4196-AB08-0DBD4BFC6862}"/>
    <cellStyle name="Currency 5 6 6" xfId="2444" xr:uid="{00000000-0005-0000-0000-00007A0D0000}"/>
    <cellStyle name="Currency 5 6 6 2" xfId="6728" xr:uid="{00000000-0005-0000-0000-00007B0D0000}"/>
    <cellStyle name="Currency 5 6 6 2 2" xfId="22844" xr:uid="{AA1B83BB-230B-4DDA-8DB3-888D8AA7F6E8}"/>
    <cellStyle name="Currency 5 6 6 2 3" xfId="15223" xr:uid="{466441F4-31FC-4B7F-BD4B-AD7A56050EF3}"/>
    <cellStyle name="Currency 5 6 6 3" xfId="18631" xr:uid="{6BBECB6C-4C24-41EF-AF22-337224D07B74}"/>
    <cellStyle name="Currency 5 6 6 4" xfId="11010" xr:uid="{B14CFF8C-DF5F-4110-8930-522EBD2F345A}"/>
    <cellStyle name="Currency 5 6 7" xfId="2741" xr:uid="{00000000-0005-0000-0000-00007C0D0000}"/>
    <cellStyle name="Currency 5 6 8" xfId="2822" xr:uid="{00000000-0005-0000-0000-00007D0D0000}"/>
    <cellStyle name="Currency 5 6 8 2" xfId="7045" xr:uid="{00000000-0005-0000-0000-00007E0D0000}"/>
    <cellStyle name="Currency 5 6 8 2 2" xfId="23161" xr:uid="{2B515A90-A4D6-43E9-8D1E-9563C53A50ED}"/>
    <cellStyle name="Currency 5 6 8 2 3" xfId="15540" xr:uid="{7876C0E0-A535-43F3-AB37-8FB8DDE0A891}"/>
    <cellStyle name="Currency 5 6 8 3" xfId="18948" xr:uid="{B3A62C29-D811-4E57-BD1D-E4EB75E1243C}"/>
    <cellStyle name="Currency 5 6 8 4" xfId="11327" xr:uid="{58EDE173-6A6E-4433-987E-B5C695F164D1}"/>
    <cellStyle name="Currency 5 6 9" xfId="4662" xr:uid="{00000000-0005-0000-0000-00007F0D0000}"/>
    <cellStyle name="Currency 5 6 9 2" xfId="20779" xr:uid="{D1A44804-15C0-462F-9D2A-65D4D0607702}"/>
    <cellStyle name="Currency 5 6 9 3" xfId="13158" xr:uid="{3E5168F3-47B4-4937-BB77-0C9C5685A16D}"/>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2 2 2" xfId="23338" xr:uid="{A0C6BE65-E32B-49E9-B42C-36E5C7ACA09E}"/>
    <cellStyle name="Currency 5 7 2 2 2 3" xfId="15717" xr:uid="{1BAF2C72-4B96-49ED-A058-303D922C8D19}"/>
    <cellStyle name="Currency 5 7 2 2 3" xfId="19125" xr:uid="{AF19BE22-453C-4ED6-9275-65D5FC0B06D9}"/>
    <cellStyle name="Currency 5 7 2 2 4" xfId="11504" xr:uid="{922511CD-48CD-4361-8B44-40FB63E8EA0C}"/>
    <cellStyle name="Currency 5 7 2 3" xfId="5077" xr:uid="{00000000-0005-0000-0000-0000840D0000}"/>
    <cellStyle name="Currency 5 7 2 3 2" xfId="21193" xr:uid="{4EF2D7D0-5705-4D3A-969A-DBEE30A5DB72}"/>
    <cellStyle name="Currency 5 7 2 3 3" xfId="13572" xr:uid="{A66500FF-A89A-4A17-96EB-AEBC636699A1}"/>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2 2 2" xfId="23751" xr:uid="{9B54B031-EC60-4C40-B650-128420A4D74E}"/>
    <cellStyle name="Currency 5 7 3 2 2 3" xfId="16130" xr:uid="{4FDC85F3-D00D-492B-81B5-9F0686267668}"/>
    <cellStyle name="Currency 5 7 3 2 3" xfId="19538" xr:uid="{F83B34DA-3E7C-4FA9-8217-9D827AF914D4}"/>
    <cellStyle name="Currency 5 7 3 2 4" xfId="11917" xr:uid="{AB4CD5D5-C7AA-4007-BD8D-D8160D3BDEA2}"/>
    <cellStyle name="Currency 5 7 3 3" xfId="5490" xr:uid="{00000000-0005-0000-0000-0000880D0000}"/>
    <cellStyle name="Currency 5 7 3 3 2" xfId="21606" xr:uid="{DDFAD2F7-1D02-45B7-ABBC-4EFF568B8EEA}"/>
    <cellStyle name="Currency 5 7 3 3 3" xfId="13985" xr:uid="{909AA1AB-AA0E-41BC-873F-D027EA9A0B2B}"/>
    <cellStyle name="Currency 5 7 3 4" xfId="17393" xr:uid="{510373D0-D8EA-46E8-B645-2879EB782E1B}"/>
    <cellStyle name="Currency 5 7 3 5" xfId="9772" xr:uid="{E1D26F77-D0EA-4647-960C-27420A760D12}"/>
    <cellStyle name="Currency 5 7 4" xfId="1596" xr:uid="{00000000-0005-0000-0000-0000890D0000}"/>
    <cellStyle name="Currency 5 7 4 2" xfId="3826" xr:uid="{00000000-0005-0000-0000-00008A0D0000}"/>
    <cellStyle name="Currency 5 7 4 2 2" xfId="8048" xr:uid="{00000000-0005-0000-0000-00008B0D0000}"/>
    <cellStyle name="Currency 5 7 4 2 2 2" xfId="24164" xr:uid="{F72C8418-BFE6-4A22-8CA8-25184DEF2EE6}"/>
    <cellStyle name="Currency 5 7 4 2 2 3" xfId="16543" xr:uid="{1681C54F-837A-4B44-AA79-AECAECCEA7C6}"/>
    <cellStyle name="Currency 5 7 4 2 3" xfId="19951" xr:uid="{187EBE93-1BA4-4027-BBE7-DAA73DE48203}"/>
    <cellStyle name="Currency 5 7 4 2 4" xfId="12330" xr:uid="{070C255C-BC2C-4933-A0C6-4D1FAC3CA8C9}"/>
    <cellStyle name="Currency 5 7 4 3" xfId="5903" xr:uid="{00000000-0005-0000-0000-00008C0D0000}"/>
    <cellStyle name="Currency 5 7 4 3 2" xfId="22019" xr:uid="{B6B7260D-67B5-4042-8E1B-755A637805DD}"/>
    <cellStyle name="Currency 5 7 4 3 3" xfId="14398" xr:uid="{C6CCF922-C887-4ED6-8537-4EBEF8D72756}"/>
    <cellStyle name="Currency 5 7 4 4" xfId="17806" xr:uid="{C31DD839-05FD-4E1E-AF40-E732E0432ABF}"/>
    <cellStyle name="Currency 5 7 4 5" xfId="10185" xr:uid="{B2438AF9-2FF5-4444-B8C0-AB8BA132050B}"/>
    <cellStyle name="Currency 5 7 5" xfId="2010" xr:uid="{00000000-0005-0000-0000-00008D0D0000}"/>
    <cellStyle name="Currency 5 7 5 2" xfId="4239" xr:uid="{00000000-0005-0000-0000-00008E0D0000}"/>
    <cellStyle name="Currency 5 7 5 2 2" xfId="8461" xr:uid="{00000000-0005-0000-0000-00008F0D0000}"/>
    <cellStyle name="Currency 5 7 5 2 2 2" xfId="24577" xr:uid="{2AFF075F-340D-440D-9E71-54A7144E085D}"/>
    <cellStyle name="Currency 5 7 5 2 2 3" xfId="16956" xr:uid="{4D0A1D80-E453-4D18-8BF6-E3F206AF7D70}"/>
    <cellStyle name="Currency 5 7 5 2 3" xfId="20364" xr:uid="{1606DA87-B03D-4B67-9E12-57577F9327F3}"/>
    <cellStyle name="Currency 5 7 5 2 4" xfId="12743" xr:uid="{150B636D-C2E5-4018-A5ED-4F05525972E3}"/>
    <cellStyle name="Currency 5 7 5 3" xfId="6316" xr:uid="{00000000-0005-0000-0000-0000900D0000}"/>
    <cellStyle name="Currency 5 7 5 3 2" xfId="22432" xr:uid="{2F02327F-4659-461E-9105-271AB77FE128}"/>
    <cellStyle name="Currency 5 7 5 3 3" xfId="14811" xr:uid="{630569D5-703B-484C-8FEA-2A2730BC0B2E}"/>
    <cellStyle name="Currency 5 7 5 4" xfId="18219" xr:uid="{4404D269-FEB6-4557-9CA7-4435F44195C7}"/>
    <cellStyle name="Currency 5 7 5 5" xfId="10598" xr:uid="{814FB673-13F3-4A4C-8633-FA7482D093B7}"/>
    <cellStyle name="Currency 5 7 6" xfId="2445" xr:uid="{00000000-0005-0000-0000-0000910D0000}"/>
    <cellStyle name="Currency 5 7 6 2" xfId="6729" xr:uid="{00000000-0005-0000-0000-0000920D0000}"/>
    <cellStyle name="Currency 5 7 6 2 2" xfId="22845" xr:uid="{A5A927BE-BBE0-4A48-8721-F02B44830BAF}"/>
    <cellStyle name="Currency 5 7 6 2 3" xfId="15224" xr:uid="{07C6BBF0-58A1-40CF-BD66-5A7383E48D3C}"/>
    <cellStyle name="Currency 5 7 6 3" xfId="18632" xr:uid="{1C1F02EF-C110-4DD9-8D97-E3D6D18EFA14}"/>
    <cellStyle name="Currency 5 7 6 4" xfId="11011" xr:uid="{D94B24AC-CA52-42FD-84BF-31B5CB979754}"/>
    <cellStyle name="Currency 5 7 7" xfId="2742" xr:uid="{00000000-0005-0000-0000-0000930D0000}"/>
    <cellStyle name="Currency 5 7 8" xfId="2823" xr:uid="{00000000-0005-0000-0000-0000940D0000}"/>
    <cellStyle name="Currency 5 7 8 2" xfId="7046" xr:uid="{00000000-0005-0000-0000-0000950D0000}"/>
    <cellStyle name="Currency 5 7 8 2 2" xfId="23162" xr:uid="{0BE5D7EC-70D3-4C5E-AE52-5D14CE412D81}"/>
    <cellStyle name="Currency 5 7 8 2 3" xfId="15541" xr:uid="{BC35BCA9-8AD3-4E83-B529-91B5152054AC}"/>
    <cellStyle name="Currency 5 7 8 3" xfId="18949" xr:uid="{4E97A596-9751-413D-97ED-67CDF3820CEF}"/>
    <cellStyle name="Currency 5 7 8 4" xfId="11328" xr:uid="{D5F5A749-4339-4C0B-92A0-B0FF6194C97E}"/>
    <cellStyle name="Currency 5 7 9" xfId="4663" xr:uid="{00000000-0005-0000-0000-0000960D0000}"/>
    <cellStyle name="Currency 5 7 9 2" xfId="20780" xr:uid="{B5990C51-E85D-4956-9C05-69A5E69C20CA}"/>
    <cellStyle name="Currency 5 7 9 3" xfId="13159" xr:uid="{7C6106B4-4E08-4FA4-B423-B4EA2F1A2C7F}"/>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22846" xr:uid="{B231C355-7AC4-4F5A-85D9-BDEF5DBE767F}"/>
    <cellStyle name="Normal 12 10 2 3" xfId="15225" xr:uid="{2A58E130-E39A-4DAA-87B5-8CE79F4A87A1}"/>
    <cellStyle name="Normal 12 10 3" xfId="18633" xr:uid="{884DBE7C-221D-49DB-ADE2-8007A7045FF9}"/>
    <cellStyle name="Normal 12 10 4" xfId="11012" xr:uid="{EFD9C44E-9CA9-4D65-87D6-7CCF0ABBE4C4}"/>
    <cellStyle name="Normal 12 11" xfId="4664" xr:uid="{00000000-0005-0000-0000-0000CC0D0000}"/>
    <cellStyle name="Normal 12 11 2" xfId="20781" xr:uid="{35284FCC-7660-477E-865D-CE43B438ADC1}"/>
    <cellStyle name="Normal 12 11 3" xfId="13160" xr:uid="{77CEE845-B153-45BA-8C4D-75FF0E1BCA09}"/>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23342" xr:uid="{701DEF49-9347-4B8F-905E-CEC9B9EF63F3}"/>
    <cellStyle name="Normal 12 2 2 2 2 2 2 3" xfId="15721" xr:uid="{531B9C67-E0A3-4E83-9748-E9F99072B0D2}"/>
    <cellStyle name="Normal 12 2 2 2 2 2 3" xfId="19129" xr:uid="{D339DA4D-9AD9-4A23-99CB-6D6B1C926E54}"/>
    <cellStyle name="Normal 12 2 2 2 2 2 4" xfId="11508" xr:uid="{58BA8768-5CB0-48C3-ACD9-FCB1D643A228}"/>
    <cellStyle name="Normal 12 2 2 2 2 3" xfId="5081" xr:uid="{00000000-0005-0000-0000-0000D30D0000}"/>
    <cellStyle name="Normal 12 2 2 2 2 3 2" xfId="21197" xr:uid="{2935CE3B-71C6-4365-9E14-8E4D84B4AD51}"/>
    <cellStyle name="Normal 12 2 2 2 2 3 3" xfId="13576" xr:uid="{A483DED6-ADED-4971-8DD2-4F772BCCB337}"/>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23755" xr:uid="{70B50A10-0493-441F-9ABF-D800F388ECC2}"/>
    <cellStyle name="Normal 12 2 2 2 3 2 2 3" xfId="16134" xr:uid="{F26E15F2-3091-4B93-9492-DD8DF977C973}"/>
    <cellStyle name="Normal 12 2 2 2 3 2 3" xfId="19542" xr:uid="{0F8E76ED-489C-46A5-9DD9-86203AF01112}"/>
    <cellStyle name="Normal 12 2 2 2 3 2 4" xfId="11921" xr:uid="{708ED916-1D3D-4077-9D4B-214D8D664BBA}"/>
    <cellStyle name="Normal 12 2 2 2 3 3" xfId="5494" xr:uid="{00000000-0005-0000-0000-0000D70D0000}"/>
    <cellStyle name="Normal 12 2 2 2 3 3 2" xfId="21610" xr:uid="{07561D6E-8780-49FD-9440-EA656109E333}"/>
    <cellStyle name="Normal 12 2 2 2 3 3 3" xfId="13989" xr:uid="{7DBF3896-0EDC-4ECE-B8D1-8C5897BC625D}"/>
    <cellStyle name="Normal 12 2 2 2 3 4" xfId="17397" xr:uid="{E9D69376-3CBD-4B03-8B50-31870E48C6AC}"/>
    <cellStyle name="Normal 12 2 2 2 3 5" xfId="9776" xr:uid="{E39F9903-AE28-44A9-B091-41E09769E371}"/>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24168" xr:uid="{1C2DE613-6EFC-43E4-8DA8-F7EB94724C59}"/>
    <cellStyle name="Normal 12 2 2 2 4 2 2 3" xfId="16547" xr:uid="{5BF51DBE-BAFC-4090-A206-A7EEEADF0DD9}"/>
    <cellStyle name="Normal 12 2 2 2 4 2 3" xfId="19955" xr:uid="{45C50246-D090-45B1-8AB1-68D2517A6B1C}"/>
    <cellStyle name="Normal 12 2 2 2 4 2 4" xfId="12334" xr:uid="{B075A6F5-12E4-43AB-8B14-FB351EC7C0FA}"/>
    <cellStyle name="Normal 12 2 2 2 4 3" xfId="5907" xr:uid="{00000000-0005-0000-0000-0000DB0D0000}"/>
    <cellStyle name="Normal 12 2 2 2 4 3 2" xfId="22023" xr:uid="{501A6C78-3EC7-4BB4-83A1-895B5B46BA71}"/>
    <cellStyle name="Normal 12 2 2 2 4 3 3" xfId="14402" xr:uid="{D84BC4DD-AFB0-4934-A0C3-207948F610BE}"/>
    <cellStyle name="Normal 12 2 2 2 4 4" xfId="17810" xr:uid="{28F3207A-EE26-44B4-B593-C00BC008DADB}"/>
    <cellStyle name="Normal 12 2 2 2 4 5" xfId="10189" xr:uid="{2DA3BE5C-1F39-49DD-8A2F-8693E0AC5DF7}"/>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24581" xr:uid="{9829BD90-E288-4047-8098-B903ACDA0A09}"/>
    <cellStyle name="Normal 12 2 2 2 5 2 2 3" xfId="16960" xr:uid="{5C5CC99F-E09A-4348-B4FD-516601B9A727}"/>
    <cellStyle name="Normal 12 2 2 2 5 2 3" xfId="20368" xr:uid="{05C4EC23-597B-4C5D-B2BE-DE20BB1323A0}"/>
    <cellStyle name="Normal 12 2 2 2 5 2 4" xfId="12747" xr:uid="{7B41631E-9CE3-480E-B9DB-BF92CB5D10AD}"/>
    <cellStyle name="Normal 12 2 2 2 5 3" xfId="6320" xr:uid="{00000000-0005-0000-0000-0000DF0D0000}"/>
    <cellStyle name="Normal 12 2 2 2 5 3 2" xfId="22436" xr:uid="{9BCF3D6E-A9A8-4FE3-B5D8-9AEC3F072393}"/>
    <cellStyle name="Normal 12 2 2 2 5 3 3" xfId="14815" xr:uid="{FE03B611-842A-4D12-AE97-00D4A856C22E}"/>
    <cellStyle name="Normal 12 2 2 2 5 4" xfId="18223" xr:uid="{B8E84C9E-6A60-4248-817C-F79FCF3BB459}"/>
    <cellStyle name="Normal 12 2 2 2 5 5" xfId="10602" xr:uid="{CBBC7D4E-2CFA-4519-A09A-8EA01DA126D0}"/>
    <cellStyle name="Normal 12 2 2 2 6" xfId="2450" xr:uid="{00000000-0005-0000-0000-0000E00D0000}"/>
    <cellStyle name="Normal 12 2 2 2 6 2" xfId="6733" xr:uid="{00000000-0005-0000-0000-0000E10D0000}"/>
    <cellStyle name="Normal 12 2 2 2 6 2 2" xfId="22849" xr:uid="{37651C31-4FE6-4051-A63D-EBDBE9F5DCC3}"/>
    <cellStyle name="Normal 12 2 2 2 6 2 3" xfId="15228" xr:uid="{584B83EF-AB3E-4F85-89A4-23E8BF92C164}"/>
    <cellStyle name="Normal 12 2 2 2 6 3" xfId="18636" xr:uid="{A8DB415F-F5B6-4BEE-ADFC-2F11DE488A59}"/>
    <cellStyle name="Normal 12 2 2 2 6 4" xfId="11015" xr:uid="{AF260776-BD28-470E-A1BB-0EEF29B1D440}"/>
    <cellStyle name="Normal 12 2 2 2 7" xfId="4667" xr:uid="{00000000-0005-0000-0000-0000E20D0000}"/>
    <cellStyle name="Normal 12 2 2 2 7 2" xfId="20784" xr:uid="{B2C535D5-6F5F-450F-9F4A-C6704CEB301F}"/>
    <cellStyle name="Normal 12 2 2 2 7 3" xfId="13163" xr:uid="{CC2C3743-E58E-4827-8D1C-0F68058B18A9}"/>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2 2 2" xfId="23341" xr:uid="{0D8367AD-7FA1-4D16-8220-D8AC42838F7B}"/>
    <cellStyle name="Normal 12 2 2 3 2 2 3" xfId="15720" xr:uid="{F7F94817-B092-46FA-92FB-008281B2653D}"/>
    <cellStyle name="Normal 12 2 2 3 2 3" xfId="19128" xr:uid="{75713D76-74B6-4D77-8BC4-A9ADC153CA3E}"/>
    <cellStyle name="Normal 12 2 2 3 2 4" xfId="11507" xr:uid="{DFC49B9D-EA7D-42BD-BE79-87327CAE9E34}"/>
    <cellStyle name="Normal 12 2 2 3 3" xfId="5080" xr:uid="{00000000-0005-0000-0000-0000E60D0000}"/>
    <cellStyle name="Normal 12 2 2 3 3 2" xfId="21196" xr:uid="{C7AFE4B4-2851-42F8-80D7-D0A1E3EBB3C7}"/>
    <cellStyle name="Normal 12 2 2 3 3 3" xfId="13575" xr:uid="{55AA29E4-DFAD-4067-9E9B-F072E6175DD6}"/>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2 2 2" xfId="23754" xr:uid="{C6E2D1C7-E68A-47AA-8F6E-004690C7146D}"/>
    <cellStyle name="Normal 12 2 2 4 2 2 3" xfId="16133" xr:uid="{C7C957CD-CB34-438C-88D2-6A4BA4999BE8}"/>
    <cellStyle name="Normal 12 2 2 4 2 3" xfId="19541" xr:uid="{9C8ABC87-A874-4C7E-9D5D-32F3FF17F2C4}"/>
    <cellStyle name="Normal 12 2 2 4 2 4" xfId="11920" xr:uid="{20B068DD-41CF-4F7F-B0C9-3C0F5FC58165}"/>
    <cellStyle name="Normal 12 2 2 4 3" xfId="5493" xr:uid="{00000000-0005-0000-0000-0000EA0D0000}"/>
    <cellStyle name="Normal 12 2 2 4 3 2" xfId="21609" xr:uid="{A4FD0CC0-2B3B-41C7-BFA2-1B80B6238B80}"/>
    <cellStyle name="Normal 12 2 2 4 3 3" xfId="13988" xr:uid="{733973D5-0408-46D0-A966-97B2059B00A9}"/>
    <cellStyle name="Normal 12 2 2 4 4" xfId="17396" xr:uid="{A82A2CE3-EDC4-4721-A121-B632FB294FCA}"/>
    <cellStyle name="Normal 12 2 2 4 5" xfId="9775" xr:uid="{4F9875D9-AD07-44E0-9136-98AAE6603B88}"/>
    <cellStyle name="Normal 12 2 2 5" xfId="1599" xr:uid="{00000000-0005-0000-0000-0000EB0D0000}"/>
    <cellStyle name="Normal 12 2 2 5 2" xfId="3829" xr:uid="{00000000-0005-0000-0000-0000EC0D0000}"/>
    <cellStyle name="Normal 12 2 2 5 2 2" xfId="8051" xr:uid="{00000000-0005-0000-0000-0000ED0D0000}"/>
    <cellStyle name="Normal 12 2 2 5 2 2 2" xfId="24167" xr:uid="{57DEAA8C-949F-4B33-AC5E-81F5BBBEE08E}"/>
    <cellStyle name="Normal 12 2 2 5 2 2 3" xfId="16546" xr:uid="{E10DD7C0-2BC0-46AD-B8B6-CB5A7B2CA014}"/>
    <cellStyle name="Normal 12 2 2 5 2 3" xfId="19954" xr:uid="{734EF03C-DD4B-4470-A6D9-55DFFEF9E41B}"/>
    <cellStyle name="Normal 12 2 2 5 2 4" xfId="12333" xr:uid="{E8D449F3-F02E-4174-9AED-8F6FAB1AA831}"/>
    <cellStyle name="Normal 12 2 2 5 3" xfId="5906" xr:uid="{00000000-0005-0000-0000-0000EE0D0000}"/>
    <cellStyle name="Normal 12 2 2 5 3 2" xfId="22022" xr:uid="{85B356C2-E0E7-49C2-837A-A9C58F8C7DA4}"/>
    <cellStyle name="Normal 12 2 2 5 3 3" xfId="14401" xr:uid="{113C5CF8-BE5C-40B6-9CB6-983AD71B741B}"/>
    <cellStyle name="Normal 12 2 2 5 4" xfId="17809" xr:uid="{45A29498-71B9-4221-9607-4C3E1B4D09F4}"/>
    <cellStyle name="Normal 12 2 2 5 5" xfId="10188" xr:uid="{F32A3E88-7EDB-4DB6-87D4-587408B5A319}"/>
    <cellStyle name="Normal 12 2 2 6" xfId="2013" xr:uid="{00000000-0005-0000-0000-0000EF0D0000}"/>
    <cellStyle name="Normal 12 2 2 6 2" xfId="4242" xr:uid="{00000000-0005-0000-0000-0000F00D0000}"/>
    <cellStyle name="Normal 12 2 2 6 2 2" xfId="8464" xr:uid="{00000000-0005-0000-0000-0000F10D0000}"/>
    <cellStyle name="Normal 12 2 2 6 2 2 2" xfId="24580" xr:uid="{E9DFD2B5-D177-4E40-8830-7B1C47E31B86}"/>
    <cellStyle name="Normal 12 2 2 6 2 2 3" xfId="16959" xr:uid="{E8F7ABD4-A0B1-4852-9B90-8B511AEF8B1C}"/>
    <cellStyle name="Normal 12 2 2 6 2 3" xfId="20367" xr:uid="{B4ADEB21-1A2A-47FF-80B5-2144F313724A}"/>
    <cellStyle name="Normal 12 2 2 6 2 4" xfId="12746" xr:uid="{C1589218-9FB3-4953-99B7-4216DD6B6135}"/>
    <cellStyle name="Normal 12 2 2 6 3" xfId="6319" xr:uid="{00000000-0005-0000-0000-0000F20D0000}"/>
    <cellStyle name="Normal 12 2 2 6 3 2" xfId="22435" xr:uid="{9E49F376-A04E-420B-8A45-A158AFD2D35D}"/>
    <cellStyle name="Normal 12 2 2 6 3 3" xfId="14814" xr:uid="{3A1F134A-8017-496B-BC5D-2ABE7554AD92}"/>
    <cellStyle name="Normal 12 2 2 6 4" xfId="18222" xr:uid="{B14C4AE3-C36F-49CD-8322-78B193C64E98}"/>
    <cellStyle name="Normal 12 2 2 6 5" xfId="10601" xr:uid="{D647C348-E43F-4E4E-914E-E4D4FE956968}"/>
    <cellStyle name="Normal 12 2 2 7" xfId="2449" xr:uid="{00000000-0005-0000-0000-0000F30D0000}"/>
    <cellStyle name="Normal 12 2 2 7 2" xfId="6732" xr:uid="{00000000-0005-0000-0000-0000F40D0000}"/>
    <cellStyle name="Normal 12 2 2 7 2 2" xfId="22848" xr:uid="{01F9A4A6-0292-400D-8994-AEF1E86C49E2}"/>
    <cellStyle name="Normal 12 2 2 7 2 3" xfId="15227" xr:uid="{60ECE5B6-828A-4B21-806F-4158D47E4605}"/>
    <cellStyle name="Normal 12 2 2 7 3" xfId="18635" xr:uid="{273C5722-87DE-45BE-AF6E-615293F0F2F9}"/>
    <cellStyle name="Normal 12 2 2 7 4" xfId="11014" xr:uid="{5D4C4088-6737-4EFA-8210-E0AC643E55D4}"/>
    <cellStyle name="Normal 12 2 2 8" xfId="4666" xr:uid="{00000000-0005-0000-0000-0000F50D0000}"/>
    <cellStyle name="Normal 12 2 2 8 2" xfId="20783" xr:uid="{725550BC-8930-44F7-B9D3-1E9E7F1ED67B}"/>
    <cellStyle name="Normal 12 2 2 8 3" xfId="13162" xr:uid="{A300E089-FEE7-4015-9828-C568B1C50CB5}"/>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23343" xr:uid="{68D64693-156E-406C-AE8D-FA8FBEB488DE}"/>
    <cellStyle name="Normal 12 2 3 2 2 2 3" xfId="15722" xr:uid="{975EF571-FBBA-4446-A1C5-7FB5AB812E61}"/>
    <cellStyle name="Normal 12 2 3 2 2 3" xfId="19130" xr:uid="{9CAFEFB1-A4DE-4A97-94CF-5F0451DF92BC}"/>
    <cellStyle name="Normal 12 2 3 2 2 4" xfId="11509" xr:uid="{F6742CF3-10DF-49DF-B315-2C3C40FE3233}"/>
    <cellStyle name="Normal 12 2 3 2 3" xfId="5082" xr:uid="{00000000-0005-0000-0000-0000FA0D0000}"/>
    <cellStyle name="Normal 12 2 3 2 3 2" xfId="21198" xr:uid="{08CCFA31-9114-4BC8-BAAF-BD04A41435CD}"/>
    <cellStyle name="Normal 12 2 3 2 3 3" xfId="13577" xr:uid="{E76B06CC-F748-4F59-BFA8-6FF148BC0B22}"/>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2 2 2" xfId="23756" xr:uid="{90795DA2-6B37-4528-9C1B-B6746EB709CE}"/>
    <cellStyle name="Normal 12 2 3 3 2 2 3" xfId="16135" xr:uid="{3E19DF0B-43E2-434A-B410-BD3605BCBED3}"/>
    <cellStyle name="Normal 12 2 3 3 2 3" xfId="19543" xr:uid="{C7713CBA-1413-427D-B053-1D52E389472A}"/>
    <cellStyle name="Normal 12 2 3 3 2 4" xfId="11922" xr:uid="{43C2F73C-2DE6-493B-9DEF-4F90D16A9B9C}"/>
    <cellStyle name="Normal 12 2 3 3 3" xfId="5495" xr:uid="{00000000-0005-0000-0000-0000FE0D0000}"/>
    <cellStyle name="Normal 12 2 3 3 3 2" xfId="21611" xr:uid="{0716358C-4DF6-4843-BADC-0DD3BB069347}"/>
    <cellStyle name="Normal 12 2 3 3 3 3" xfId="13990" xr:uid="{545DF481-F28E-4119-B226-56AE0BB5CEDA}"/>
    <cellStyle name="Normal 12 2 3 3 4" xfId="17398" xr:uid="{B7A0F2F0-D5F7-4485-AAB1-311BCCBBA18C}"/>
    <cellStyle name="Normal 12 2 3 3 5" xfId="9777" xr:uid="{AF29ABFF-80A7-48AC-AA2F-8BB5838BF9FD}"/>
    <cellStyle name="Normal 12 2 3 4" xfId="1601" xr:uid="{00000000-0005-0000-0000-0000FF0D0000}"/>
    <cellStyle name="Normal 12 2 3 4 2" xfId="3831" xr:uid="{00000000-0005-0000-0000-0000000E0000}"/>
    <cellStyle name="Normal 12 2 3 4 2 2" xfId="8053" xr:uid="{00000000-0005-0000-0000-0000010E0000}"/>
    <cellStyle name="Normal 12 2 3 4 2 2 2" xfId="24169" xr:uid="{6CF9FC91-5926-4535-8646-C236957793DC}"/>
    <cellStyle name="Normal 12 2 3 4 2 2 3" xfId="16548" xr:uid="{BFBE1121-1719-42AF-BE58-91B0FD6A828A}"/>
    <cellStyle name="Normal 12 2 3 4 2 3" xfId="19956" xr:uid="{84CCE6B3-BA73-401B-A74A-07C0ED605980}"/>
    <cellStyle name="Normal 12 2 3 4 2 4" xfId="12335" xr:uid="{74E79F23-36D7-47EA-A192-126CBEF7F501}"/>
    <cellStyle name="Normal 12 2 3 4 3" xfId="5908" xr:uid="{00000000-0005-0000-0000-0000020E0000}"/>
    <cellStyle name="Normal 12 2 3 4 3 2" xfId="22024" xr:uid="{6A5AC21A-9F17-4009-B0C7-EEF2B02276A2}"/>
    <cellStyle name="Normal 12 2 3 4 3 3" xfId="14403" xr:uid="{5092248A-9B52-4295-A925-FAEA04719603}"/>
    <cellStyle name="Normal 12 2 3 4 4" xfId="17811" xr:uid="{AFADA803-5C8E-4059-88BB-AAEB3267BD00}"/>
    <cellStyle name="Normal 12 2 3 4 5" xfId="10190" xr:uid="{3B3CFF86-99FC-43CD-98E2-43A271B4DEAA}"/>
    <cellStyle name="Normal 12 2 3 5" xfId="2015" xr:uid="{00000000-0005-0000-0000-0000030E0000}"/>
    <cellStyle name="Normal 12 2 3 5 2" xfId="4244" xr:uid="{00000000-0005-0000-0000-0000040E0000}"/>
    <cellStyle name="Normal 12 2 3 5 2 2" xfId="8466" xr:uid="{00000000-0005-0000-0000-0000050E0000}"/>
    <cellStyle name="Normal 12 2 3 5 2 2 2" xfId="24582" xr:uid="{2AB45223-7224-4C34-8D91-238C93A255BC}"/>
    <cellStyle name="Normal 12 2 3 5 2 2 3" xfId="16961" xr:uid="{F345459C-56FA-40CB-8BDF-FC93DC56FD4B}"/>
    <cellStyle name="Normal 12 2 3 5 2 3" xfId="20369" xr:uid="{762C71DC-DB3D-4EC0-AA98-8C9A35E5966F}"/>
    <cellStyle name="Normal 12 2 3 5 2 4" xfId="12748" xr:uid="{4E545F4B-E5D4-445D-9B22-3B4447910B92}"/>
    <cellStyle name="Normal 12 2 3 5 3" xfId="6321" xr:uid="{00000000-0005-0000-0000-0000060E0000}"/>
    <cellStyle name="Normal 12 2 3 5 3 2" xfId="22437" xr:uid="{D8262065-F9BC-45F5-B003-DDCAE67C038A}"/>
    <cellStyle name="Normal 12 2 3 5 3 3" xfId="14816" xr:uid="{258A7C60-D077-4A90-95D0-09BED7096A88}"/>
    <cellStyle name="Normal 12 2 3 5 4" xfId="18224" xr:uid="{8572D3BE-2330-4950-AE2E-2AF66AC99636}"/>
    <cellStyle name="Normal 12 2 3 5 5" xfId="10603" xr:uid="{672FD00B-5953-422D-93C0-A0E527C22DE6}"/>
    <cellStyle name="Normal 12 2 3 6" xfId="2451" xr:uid="{00000000-0005-0000-0000-0000070E0000}"/>
    <cellStyle name="Normal 12 2 3 6 2" xfId="6734" xr:uid="{00000000-0005-0000-0000-0000080E0000}"/>
    <cellStyle name="Normal 12 2 3 6 2 2" xfId="22850" xr:uid="{9743EE16-E517-4CAD-9A1A-B120FB013080}"/>
    <cellStyle name="Normal 12 2 3 6 2 3" xfId="15229" xr:uid="{2C331AAC-3C4A-4949-993E-E15CFF82B6D0}"/>
    <cellStyle name="Normal 12 2 3 6 3" xfId="18637" xr:uid="{66DA15F8-9F5E-458E-94FE-0D8E474B2B3C}"/>
    <cellStyle name="Normal 12 2 3 6 4" xfId="11016" xr:uid="{AA1779A0-FC9F-4261-934E-AAC2C1631533}"/>
    <cellStyle name="Normal 12 2 3 7" xfId="4668" xr:uid="{00000000-0005-0000-0000-0000090E0000}"/>
    <cellStyle name="Normal 12 2 3 7 2" xfId="20785" xr:uid="{6DF860A0-A5F5-4CFE-9D38-938886EABA62}"/>
    <cellStyle name="Normal 12 2 3 7 3" xfId="13164" xr:uid="{C54769EE-5CAD-4A13-B302-CD6BE193894C}"/>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2 2 2" xfId="23340" xr:uid="{14AAB6AB-BE92-4D1C-BFD0-9DC75536E5E2}"/>
    <cellStyle name="Normal 12 2 4 2 2 3" xfId="15719" xr:uid="{2B23076B-3CD9-4324-85F4-4DCD626C10D0}"/>
    <cellStyle name="Normal 12 2 4 2 3" xfId="19127" xr:uid="{CAC75D90-78B0-4D9F-89F1-457920F4BB51}"/>
    <cellStyle name="Normal 12 2 4 2 4" xfId="11506" xr:uid="{4AD05BFA-EA25-4F8B-BDF4-CA465EA5C5AB}"/>
    <cellStyle name="Normal 12 2 4 3" xfId="5079" xr:uid="{00000000-0005-0000-0000-00000D0E0000}"/>
    <cellStyle name="Normal 12 2 4 3 2" xfId="21195" xr:uid="{D3C15042-8281-479C-9D68-75E1B031D1EF}"/>
    <cellStyle name="Normal 12 2 4 3 3" xfId="13574" xr:uid="{460FD241-6BEB-49FA-B0E8-028B193B6CC6}"/>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2 2 2" xfId="23753" xr:uid="{ACC85324-EE0F-475D-B280-4783AC4D2628}"/>
    <cellStyle name="Normal 12 2 5 2 2 3" xfId="16132" xr:uid="{AF04FAE8-D69B-4924-B4B6-B5FD86631878}"/>
    <cellStyle name="Normal 12 2 5 2 3" xfId="19540" xr:uid="{35910C2C-EA9B-4FE6-80F3-4448C6DDA418}"/>
    <cellStyle name="Normal 12 2 5 2 4" xfId="11919" xr:uid="{7E7F9C92-C831-45B8-A277-DBC22923294B}"/>
    <cellStyle name="Normal 12 2 5 3" xfId="5492" xr:uid="{00000000-0005-0000-0000-0000110E0000}"/>
    <cellStyle name="Normal 12 2 5 3 2" xfId="21608" xr:uid="{FC65646B-92C4-4490-AB82-E41904830586}"/>
    <cellStyle name="Normal 12 2 5 3 3" xfId="13987" xr:uid="{07FF1C19-1CF6-43AA-9DDF-BFD53F7E75F9}"/>
    <cellStyle name="Normal 12 2 5 4" xfId="17395" xr:uid="{D66DF2ED-F38C-4159-8A4A-40984784B9D5}"/>
    <cellStyle name="Normal 12 2 5 5" xfId="9774" xr:uid="{38BE5148-F0FB-486D-9C7A-D3B83170799D}"/>
    <cellStyle name="Normal 12 2 6" xfId="1598" xr:uid="{00000000-0005-0000-0000-0000120E0000}"/>
    <cellStyle name="Normal 12 2 6 2" xfId="3828" xr:uid="{00000000-0005-0000-0000-0000130E0000}"/>
    <cellStyle name="Normal 12 2 6 2 2" xfId="8050" xr:uid="{00000000-0005-0000-0000-0000140E0000}"/>
    <cellStyle name="Normal 12 2 6 2 2 2" xfId="24166" xr:uid="{596C0AF0-6FA4-4016-9EBE-424F606F41F7}"/>
    <cellStyle name="Normal 12 2 6 2 2 3" xfId="16545" xr:uid="{5845D2D7-3A1E-4FF3-AA41-0D22E5770267}"/>
    <cellStyle name="Normal 12 2 6 2 3" xfId="19953" xr:uid="{983C70F6-43C5-4B48-AB39-4CCC10C987B6}"/>
    <cellStyle name="Normal 12 2 6 2 4" xfId="12332" xr:uid="{E78A51E6-EE82-4A84-A23E-1ED0BD70E2AD}"/>
    <cellStyle name="Normal 12 2 6 3" xfId="5905" xr:uid="{00000000-0005-0000-0000-0000150E0000}"/>
    <cellStyle name="Normal 12 2 6 3 2" xfId="22021" xr:uid="{915B2CC8-5C5B-4BB0-AE99-FCE3F8C6B044}"/>
    <cellStyle name="Normal 12 2 6 3 3" xfId="14400" xr:uid="{0A5BEB9A-0035-4A30-8AB2-2CFB75D0BE61}"/>
    <cellStyle name="Normal 12 2 6 4" xfId="17808" xr:uid="{A69A038D-EC75-47C1-8E8B-005D6051843E}"/>
    <cellStyle name="Normal 12 2 6 5" xfId="10187" xr:uid="{CF1B2C03-8A40-4662-B8DF-416148E8A91F}"/>
    <cellStyle name="Normal 12 2 7" xfId="2012" xr:uid="{00000000-0005-0000-0000-0000160E0000}"/>
    <cellStyle name="Normal 12 2 7 2" xfId="4241" xr:uid="{00000000-0005-0000-0000-0000170E0000}"/>
    <cellStyle name="Normal 12 2 7 2 2" xfId="8463" xr:uid="{00000000-0005-0000-0000-0000180E0000}"/>
    <cellStyle name="Normal 12 2 7 2 2 2" xfId="24579" xr:uid="{C499E71A-F6A9-4472-BB6D-F69E1B4DD35A}"/>
    <cellStyle name="Normal 12 2 7 2 2 3" xfId="16958" xr:uid="{624022B0-3B46-4FF5-92D5-E278435D1C6F}"/>
    <cellStyle name="Normal 12 2 7 2 3" xfId="20366" xr:uid="{DBADE0EE-5B74-486C-8A41-7B2574E23965}"/>
    <cellStyle name="Normal 12 2 7 2 4" xfId="12745" xr:uid="{1230C7B7-0D78-4647-A08A-159987129105}"/>
    <cellStyle name="Normal 12 2 7 3" xfId="6318" xr:uid="{00000000-0005-0000-0000-0000190E0000}"/>
    <cellStyle name="Normal 12 2 7 3 2" xfId="22434" xr:uid="{9A7B8D92-BDF6-4BFE-AEBD-91B1E65A64EB}"/>
    <cellStyle name="Normal 12 2 7 3 3" xfId="14813" xr:uid="{42AE0817-0D43-4544-B2CA-F74CA6C35ABB}"/>
    <cellStyle name="Normal 12 2 7 4" xfId="18221" xr:uid="{3555570F-B6C9-495C-972E-6D8EB6906A5A}"/>
    <cellStyle name="Normal 12 2 7 5" xfId="10600" xr:uid="{221D2E6B-8B12-456B-A06B-80071D2173CA}"/>
    <cellStyle name="Normal 12 2 8" xfId="2448" xr:uid="{00000000-0005-0000-0000-00001A0E0000}"/>
    <cellStyle name="Normal 12 2 8 2" xfId="6731" xr:uid="{00000000-0005-0000-0000-00001B0E0000}"/>
    <cellStyle name="Normal 12 2 8 2 2" xfId="22847" xr:uid="{CC2D1EC3-81A9-4205-8BFE-0F008084A4BD}"/>
    <cellStyle name="Normal 12 2 8 2 3" xfId="15226" xr:uid="{D38083CB-4CAD-4E42-99F7-2E29CA55DD19}"/>
    <cellStyle name="Normal 12 2 8 3" xfId="18634" xr:uid="{C923E1FC-E301-4474-BDE8-FFB9985CF901}"/>
    <cellStyle name="Normal 12 2 8 4" xfId="11013" xr:uid="{4DB1B550-20F1-46B8-B9A4-AABB9E532EF9}"/>
    <cellStyle name="Normal 12 2 9" xfId="4665" xr:uid="{00000000-0005-0000-0000-00001C0E0000}"/>
    <cellStyle name="Normal 12 2 9 2" xfId="20782" xr:uid="{991302BB-DDEB-4D23-A5D1-37FC6CA9514D}"/>
    <cellStyle name="Normal 12 2 9 3" xfId="13161" xr:uid="{30DB37F9-5A4E-44C6-A85E-44C9C3F77CF8}"/>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23345" xr:uid="{4F383DFC-7D7C-46B2-8246-381823E94B8E}"/>
    <cellStyle name="Normal 12 3 2 2 2 2 3" xfId="15724" xr:uid="{019C22D5-FD57-412B-AC22-4D6DA8DA5923}"/>
    <cellStyle name="Normal 12 3 2 2 2 3" xfId="19132" xr:uid="{F80F2F32-41C6-4F8C-BF81-E645599B61D0}"/>
    <cellStyle name="Normal 12 3 2 2 2 4" xfId="11511" xr:uid="{00FDB995-4323-4A33-A0F5-068236C97085}"/>
    <cellStyle name="Normal 12 3 2 2 3" xfId="5084" xr:uid="{00000000-0005-0000-0000-0000220E0000}"/>
    <cellStyle name="Normal 12 3 2 2 3 2" xfId="21200" xr:uid="{71FA0E9D-746C-47E8-9951-F89C83DC0C28}"/>
    <cellStyle name="Normal 12 3 2 2 3 3" xfId="13579" xr:uid="{2316A868-B2C8-4A14-B882-784716586432}"/>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2 2 2" xfId="23758" xr:uid="{22AE5336-823A-441A-8DA5-2BC19FD9062E}"/>
    <cellStyle name="Normal 12 3 2 3 2 2 3" xfId="16137" xr:uid="{C4015D91-DF8D-4808-A8CA-6AB0E5C47320}"/>
    <cellStyle name="Normal 12 3 2 3 2 3" xfId="19545" xr:uid="{8A83F5D1-4732-4C38-875D-95B84C639E32}"/>
    <cellStyle name="Normal 12 3 2 3 2 4" xfId="11924" xr:uid="{8C4393F5-0692-4A49-AAD6-8E93D3DA95DF}"/>
    <cellStyle name="Normal 12 3 2 3 3" xfId="5497" xr:uid="{00000000-0005-0000-0000-0000260E0000}"/>
    <cellStyle name="Normal 12 3 2 3 3 2" xfId="21613" xr:uid="{C371E62F-9EF3-4174-AEFB-76767530D46E}"/>
    <cellStyle name="Normal 12 3 2 3 3 3" xfId="13992" xr:uid="{1E8FF914-7742-4A03-BC63-42E6808B2549}"/>
    <cellStyle name="Normal 12 3 2 3 4" xfId="17400" xr:uid="{C1B47AD7-9E4A-4A94-B43E-CCF335D8ED4B}"/>
    <cellStyle name="Normal 12 3 2 3 5" xfId="9779" xr:uid="{9CECBADF-3881-458F-9296-C01856B9774C}"/>
    <cellStyle name="Normal 12 3 2 4" xfId="1603" xr:uid="{00000000-0005-0000-0000-0000270E0000}"/>
    <cellStyle name="Normal 12 3 2 4 2" xfId="3833" xr:uid="{00000000-0005-0000-0000-0000280E0000}"/>
    <cellStyle name="Normal 12 3 2 4 2 2" xfId="8055" xr:uid="{00000000-0005-0000-0000-0000290E0000}"/>
    <cellStyle name="Normal 12 3 2 4 2 2 2" xfId="24171" xr:uid="{DAD33EF2-B929-4C70-AD85-D2A5A3405674}"/>
    <cellStyle name="Normal 12 3 2 4 2 2 3" xfId="16550" xr:uid="{0B937406-97A7-4632-AAF2-4B1A9149E3E4}"/>
    <cellStyle name="Normal 12 3 2 4 2 3" xfId="19958" xr:uid="{60B0BD69-BBA0-48B6-8CCA-B5A444016A15}"/>
    <cellStyle name="Normal 12 3 2 4 2 4" xfId="12337" xr:uid="{6557615B-1A14-4A3D-8929-402174BED54F}"/>
    <cellStyle name="Normal 12 3 2 4 3" xfId="5910" xr:uid="{00000000-0005-0000-0000-00002A0E0000}"/>
    <cellStyle name="Normal 12 3 2 4 3 2" xfId="22026" xr:uid="{37241101-0E32-46FD-A14F-B100E5515D50}"/>
    <cellStyle name="Normal 12 3 2 4 3 3" xfId="14405" xr:uid="{28C5B622-6DB7-483E-9E61-F8B13A1F873F}"/>
    <cellStyle name="Normal 12 3 2 4 4" xfId="17813" xr:uid="{83CC56A2-390B-4B77-B149-0F93BD6FBF17}"/>
    <cellStyle name="Normal 12 3 2 4 5" xfId="10192" xr:uid="{FF85F00A-E1D0-4875-9000-0CA4B92D0328}"/>
    <cellStyle name="Normal 12 3 2 5" xfId="2017" xr:uid="{00000000-0005-0000-0000-00002B0E0000}"/>
    <cellStyle name="Normal 12 3 2 5 2" xfId="4246" xr:uid="{00000000-0005-0000-0000-00002C0E0000}"/>
    <cellStyle name="Normal 12 3 2 5 2 2" xfId="8468" xr:uid="{00000000-0005-0000-0000-00002D0E0000}"/>
    <cellStyle name="Normal 12 3 2 5 2 2 2" xfId="24584" xr:uid="{2D30B423-193C-445C-AFB7-8D82736CD6F2}"/>
    <cellStyle name="Normal 12 3 2 5 2 2 3" xfId="16963" xr:uid="{266D2652-9D8C-40E4-8B52-56F7D22917D1}"/>
    <cellStyle name="Normal 12 3 2 5 2 3" xfId="20371" xr:uid="{9ECE3142-4627-4E1E-AE96-E82835DC286C}"/>
    <cellStyle name="Normal 12 3 2 5 2 4" xfId="12750" xr:uid="{5FC30F5F-EC3E-4A51-90E2-AE1A18308A61}"/>
    <cellStyle name="Normal 12 3 2 5 3" xfId="6323" xr:uid="{00000000-0005-0000-0000-00002E0E0000}"/>
    <cellStyle name="Normal 12 3 2 5 3 2" xfId="22439" xr:uid="{E33EF627-9574-4D9A-86C4-035127BCB09D}"/>
    <cellStyle name="Normal 12 3 2 5 3 3" xfId="14818" xr:uid="{AF12A91E-23A5-4067-A5BE-188BCF97731A}"/>
    <cellStyle name="Normal 12 3 2 5 4" xfId="18226" xr:uid="{53223929-FE2B-4572-BE77-D7C9F573EC7D}"/>
    <cellStyle name="Normal 12 3 2 5 5" xfId="10605" xr:uid="{7D47F7B9-0DD9-4DAF-948F-58B4F22707EB}"/>
    <cellStyle name="Normal 12 3 2 6" xfId="2453" xr:uid="{00000000-0005-0000-0000-00002F0E0000}"/>
    <cellStyle name="Normal 12 3 2 6 2" xfId="6736" xr:uid="{00000000-0005-0000-0000-0000300E0000}"/>
    <cellStyle name="Normal 12 3 2 6 2 2" xfId="22852" xr:uid="{2DC34408-2F09-4CB7-85BA-252FD10AE771}"/>
    <cellStyle name="Normal 12 3 2 6 2 3" xfId="15231" xr:uid="{E5C03149-26C4-4208-BCDF-309C97B74376}"/>
    <cellStyle name="Normal 12 3 2 6 3" xfId="18639" xr:uid="{80DB56C7-A88B-43B8-962E-8BF221381FB0}"/>
    <cellStyle name="Normal 12 3 2 6 4" xfId="11018" xr:uid="{02DD88FA-1945-4FF7-B406-5970EE299634}"/>
    <cellStyle name="Normal 12 3 2 7" xfId="4670" xr:uid="{00000000-0005-0000-0000-0000310E0000}"/>
    <cellStyle name="Normal 12 3 2 7 2" xfId="20787" xr:uid="{C91A8338-BF63-464A-94EA-8051EEA6F1CB}"/>
    <cellStyle name="Normal 12 3 2 7 3" xfId="13166" xr:uid="{1C1E3F44-F79E-4879-BE3B-4ABAA66C3223}"/>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2 2 2" xfId="23344" xr:uid="{0ED9CA84-FD8E-4F39-8A6B-958EF340FCF6}"/>
    <cellStyle name="Normal 12 3 3 2 2 3" xfId="15723" xr:uid="{1A687A01-C889-4AF2-AD9F-3BAA7133607F}"/>
    <cellStyle name="Normal 12 3 3 2 3" xfId="19131" xr:uid="{348589A8-C0F6-40CC-A886-C6F6C8FEAD1B}"/>
    <cellStyle name="Normal 12 3 3 2 4" xfId="11510" xr:uid="{B0AEEA84-9A10-4092-9BD9-0780F4B72E00}"/>
    <cellStyle name="Normal 12 3 3 3" xfId="5083" xr:uid="{00000000-0005-0000-0000-0000350E0000}"/>
    <cellStyle name="Normal 12 3 3 3 2" xfId="21199" xr:uid="{0F554615-8C12-410F-B9A4-73A4126BDBD2}"/>
    <cellStyle name="Normal 12 3 3 3 3" xfId="13578" xr:uid="{5B640BE0-97B8-479F-968F-9ACFDA30F8D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2 2 2" xfId="23757" xr:uid="{2DC65749-3804-4149-9CA6-03FA65C25676}"/>
    <cellStyle name="Normal 12 3 4 2 2 3" xfId="16136" xr:uid="{25C7E71F-10B0-4994-8B73-A2FB80A771BA}"/>
    <cellStyle name="Normal 12 3 4 2 3" xfId="19544" xr:uid="{F7E570C2-2A00-42F4-BF0C-AF03392DFC53}"/>
    <cellStyle name="Normal 12 3 4 2 4" xfId="11923" xr:uid="{C6720D3A-DA46-447B-A98C-57BDC305E9E8}"/>
    <cellStyle name="Normal 12 3 4 3" xfId="5496" xr:uid="{00000000-0005-0000-0000-0000390E0000}"/>
    <cellStyle name="Normal 12 3 4 3 2" xfId="21612" xr:uid="{28EFD061-059B-45B7-B508-6B8EB7AC286F}"/>
    <cellStyle name="Normal 12 3 4 3 3" xfId="13991" xr:uid="{DCC757FC-196E-4F47-8A9C-05976B8F3340}"/>
    <cellStyle name="Normal 12 3 4 4" xfId="17399" xr:uid="{67431BB5-4D3C-40AC-BF0E-29C4BDF164FB}"/>
    <cellStyle name="Normal 12 3 4 5" xfId="9778" xr:uid="{29D72A66-9A58-48ED-86A8-C932B50C04F1}"/>
    <cellStyle name="Normal 12 3 5" xfId="1602" xr:uid="{00000000-0005-0000-0000-00003A0E0000}"/>
    <cellStyle name="Normal 12 3 5 2" xfId="3832" xr:uid="{00000000-0005-0000-0000-00003B0E0000}"/>
    <cellStyle name="Normal 12 3 5 2 2" xfId="8054" xr:uid="{00000000-0005-0000-0000-00003C0E0000}"/>
    <cellStyle name="Normal 12 3 5 2 2 2" xfId="24170" xr:uid="{C71B4261-A28E-4186-9641-48F196366E9E}"/>
    <cellStyle name="Normal 12 3 5 2 2 3" xfId="16549" xr:uid="{C01AF13C-47EE-499B-9DB8-0A8204DF4B43}"/>
    <cellStyle name="Normal 12 3 5 2 3" xfId="19957" xr:uid="{DB368ED9-9CFF-44F3-8C99-339AEC0F2D4F}"/>
    <cellStyle name="Normal 12 3 5 2 4" xfId="12336" xr:uid="{24AD5449-0787-49A2-9B5D-DC07AF751C52}"/>
    <cellStyle name="Normal 12 3 5 3" xfId="5909" xr:uid="{00000000-0005-0000-0000-00003D0E0000}"/>
    <cellStyle name="Normal 12 3 5 3 2" xfId="22025" xr:uid="{7CD58108-ABA7-4D35-9FB0-6309E4ECA40F}"/>
    <cellStyle name="Normal 12 3 5 3 3" xfId="14404" xr:uid="{F5E918D3-6AD7-4BF7-B32D-C1BFA47DCEB2}"/>
    <cellStyle name="Normal 12 3 5 4" xfId="17812" xr:uid="{C890B7A7-87D3-42C7-BACC-DD1E228D9762}"/>
    <cellStyle name="Normal 12 3 5 5" xfId="10191" xr:uid="{EB011D0F-F42F-4008-B2D3-B718FD814DFC}"/>
    <cellStyle name="Normal 12 3 6" xfId="2016" xr:uid="{00000000-0005-0000-0000-00003E0E0000}"/>
    <cellStyle name="Normal 12 3 6 2" xfId="4245" xr:uid="{00000000-0005-0000-0000-00003F0E0000}"/>
    <cellStyle name="Normal 12 3 6 2 2" xfId="8467" xr:uid="{00000000-0005-0000-0000-0000400E0000}"/>
    <cellStyle name="Normal 12 3 6 2 2 2" xfId="24583" xr:uid="{B4C84909-7C83-45C4-8D95-CF00D0AA2F70}"/>
    <cellStyle name="Normal 12 3 6 2 2 3" xfId="16962" xr:uid="{EB59CE49-CE5A-4E6B-AE45-339D509F5AEB}"/>
    <cellStyle name="Normal 12 3 6 2 3" xfId="20370" xr:uid="{B9D634AA-9095-4C80-A501-4CEF178B08DC}"/>
    <cellStyle name="Normal 12 3 6 2 4" xfId="12749" xr:uid="{7C99560C-E414-4461-A28C-C1EAF2744D70}"/>
    <cellStyle name="Normal 12 3 6 3" xfId="6322" xr:uid="{00000000-0005-0000-0000-0000410E0000}"/>
    <cellStyle name="Normal 12 3 6 3 2" xfId="22438" xr:uid="{6677091F-A513-40BC-B20C-62AAF7766D1B}"/>
    <cellStyle name="Normal 12 3 6 3 3" xfId="14817" xr:uid="{D24507AC-60F6-4123-8F6D-F4FD3811260C}"/>
    <cellStyle name="Normal 12 3 6 4" xfId="18225" xr:uid="{24EB390D-5A83-4094-96C0-15ED98E0388D}"/>
    <cellStyle name="Normal 12 3 6 5" xfId="10604" xr:uid="{5F3AB604-E473-4512-9CEB-BC1AC52DE58E}"/>
    <cellStyle name="Normal 12 3 7" xfId="2452" xr:uid="{00000000-0005-0000-0000-0000420E0000}"/>
    <cellStyle name="Normal 12 3 7 2" xfId="6735" xr:uid="{00000000-0005-0000-0000-0000430E0000}"/>
    <cellStyle name="Normal 12 3 7 2 2" xfId="22851" xr:uid="{9F658739-F59C-4389-9875-41CB85535B17}"/>
    <cellStyle name="Normal 12 3 7 2 3" xfId="15230" xr:uid="{CFDBC36C-489F-49FA-BC4B-0F6B527C9E97}"/>
    <cellStyle name="Normal 12 3 7 3" xfId="18638" xr:uid="{0DB79173-CC9F-49ED-9198-B5EE7234E07B}"/>
    <cellStyle name="Normal 12 3 7 4" xfId="11017" xr:uid="{1FE81746-75F2-4283-8012-5110607909FB}"/>
    <cellStyle name="Normal 12 3 8" xfId="4669" xr:uid="{00000000-0005-0000-0000-0000440E0000}"/>
    <cellStyle name="Normal 12 3 8 2" xfId="20786" xr:uid="{D79CD432-B9BC-4007-934F-6D16B8B25CE9}"/>
    <cellStyle name="Normal 12 3 8 3" xfId="13165" xr:uid="{485C381A-38BC-4CE2-97BC-BD1844EB1FC4}"/>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23346" xr:uid="{8B648A70-62DC-4E1F-ABE2-4EE53631A9FB}"/>
    <cellStyle name="Normal 12 4 2 2 2 3" xfId="15725" xr:uid="{578D1C16-820D-425D-89FD-4EDA7890F296}"/>
    <cellStyle name="Normal 12 4 2 2 3" xfId="19133" xr:uid="{7C5C3316-DF53-4230-8DAA-5EC463FE3A2E}"/>
    <cellStyle name="Normal 12 4 2 2 4" xfId="11512" xr:uid="{28EAC3DD-790B-4B05-9FB7-FC56947EAEDF}"/>
    <cellStyle name="Normal 12 4 2 3" xfId="5085" xr:uid="{00000000-0005-0000-0000-0000490E0000}"/>
    <cellStyle name="Normal 12 4 2 3 2" xfId="21201" xr:uid="{9B627D96-2781-46E8-AAAE-7E3468D9DDF6}"/>
    <cellStyle name="Normal 12 4 2 3 3" xfId="13580" xr:uid="{18D42C74-B992-49EB-B8C5-76AD5BED8C6A}"/>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2 2 2" xfId="23759" xr:uid="{BC71208A-A727-4D0B-B2B8-EF429E68272A}"/>
    <cellStyle name="Normal 12 4 3 2 2 3" xfId="16138" xr:uid="{1E207260-DC58-434D-A195-096C43AA938A}"/>
    <cellStyle name="Normal 12 4 3 2 3" xfId="19546" xr:uid="{A35B2A72-AD2C-419B-B791-1DF0311181B9}"/>
    <cellStyle name="Normal 12 4 3 2 4" xfId="11925" xr:uid="{1627C209-8763-4919-A69E-7B1D190DC6EA}"/>
    <cellStyle name="Normal 12 4 3 3" xfId="5498" xr:uid="{00000000-0005-0000-0000-00004D0E0000}"/>
    <cellStyle name="Normal 12 4 3 3 2" xfId="21614" xr:uid="{703E99E9-42FF-4362-B3E7-FA7152712809}"/>
    <cellStyle name="Normal 12 4 3 3 3" xfId="13993" xr:uid="{F31AAADC-B6EB-417E-8E5A-C97152A75DDB}"/>
    <cellStyle name="Normal 12 4 3 4" xfId="17401" xr:uid="{BB83A5F7-C5CD-4E0F-927A-4071C5E7EE7C}"/>
    <cellStyle name="Normal 12 4 3 5" xfId="9780" xr:uid="{4B6470DF-0B45-42F1-A7CF-66DEA9CB810F}"/>
    <cellStyle name="Normal 12 4 4" xfId="1604" xr:uid="{00000000-0005-0000-0000-00004E0E0000}"/>
    <cellStyle name="Normal 12 4 4 2" xfId="3834" xr:uid="{00000000-0005-0000-0000-00004F0E0000}"/>
    <cellStyle name="Normal 12 4 4 2 2" xfId="8056" xr:uid="{00000000-0005-0000-0000-0000500E0000}"/>
    <cellStyle name="Normal 12 4 4 2 2 2" xfId="24172" xr:uid="{1297098B-2836-4592-85CC-A58324B80D93}"/>
    <cellStyle name="Normal 12 4 4 2 2 3" xfId="16551" xr:uid="{5DDD15A1-252A-4EDE-A95E-251CC215D12F}"/>
    <cellStyle name="Normal 12 4 4 2 3" xfId="19959" xr:uid="{CE2B9000-4492-4941-AEB8-244A40CC7DB8}"/>
    <cellStyle name="Normal 12 4 4 2 4" xfId="12338" xr:uid="{C827F758-D77D-43AB-B028-0B04A456078F}"/>
    <cellStyle name="Normal 12 4 4 3" xfId="5911" xr:uid="{00000000-0005-0000-0000-0000510E0000}"/>
    <cellStyle name="Normal 12 4 4 3 2" xfId="22027" xr:uid="{8A3AA3A3-F033-4BEA-BA23-893FCA043641}"/>
    <cellStyle name="Normal 12 4 4 3 3" xfId="14406" xr:uid="{075A7D10-10DD-4AB8-B6A0-2196760CD17C}"/>
    <cellStyle name="Normal 12 4 4 4" xfId="17814" xr:uid="{E1F3582A-152F-42DA-A7E1-940261917848}"/>
    <cellStyle name="Normal 12 4 4 5" xfId="10193" xr:uid="{A435E2F1-F9DC-4E5F-B6B0-87B9A3994796}"/>
    <cellStyle name="Normal 12 4 5" xfId="2018" xr:uid="{00000000-0005-0000-0000-0000520E0000}"/>
    <cellStyle name="Normal 12 4 5 2" xfId="4247" xr:uid="{00000000-0005-0000-0000-0000530E0000}"/>
    <cellStyle name="Normal 12 4 5 2 2" xfId="8469" xr:uid="{00000000-0005-0000-0000-0000540E0000}"/>
    <cellStyle name="Normal 12 4 5 2 2 2" xfId="24585" xr:uid="{7AA5EC88-E6CC-4F6D-B604-1EABCE15C649}"/>
    <cellStyle name="Normal 12 4 5 2 2 3" xfId="16964" xr:uid="{31D50707-75F7-448F-8BC7-527A382B79FF}"/>
    <cellStyle name="Normal 12 4 5 2 3" xfId="20372" xr:uid="{FF6D309A-9A73-4E1A-BC6F-0E828FDE9C2B}"/>
    <cellStyle name="Normal 12 4 5 2 4" xfId="12751" xr:uid="{BA6E215A-83CD-4FEE-9FDB-3C1E7FA9D7E9}"/>
    <cellStyle name="Normal 12 4 5 3" xfId="6324" xr:uid="{00000000-0005-0000-0000-0000550E0000}"/>
    <cellStyle name="Normal 12 4 5 3 2" xfId="22440" xr:uid="{F8166B45-78D0-44A7-B50C-886E1529FE77}"/>
    <cellStyle name="Normal 12 4 5 3 3" xfId="14819" xr:uid="{505CDCF9-4769-4634-9F00-FB4B4085BB4E}"/>
    <cellStyle name="Normal 12 4 5 4" xfId="18227" xr:uid="{97D0703D-22FE-429B-A4BC-05BA057C1DFC}"/>
    <cellStyle name="Normal 12 4 5 5" xfId="10606" xr:uid="{ADE14A66-908A-4DC4-BFBD-20E1E3809F53}"/>
    <cellStyle name="Normal 12 4 6" xfId="2454" xr:uid="{00000000-0005-0000-0000-0000560E0000}"/>
    <cellStyle name="Normal 12 4 6 2" xfId="6737" xr:uid="{00000000-0005-0000-0000-0000570E0000}"/>
    <cellStyle name="Normal 12 4 6 2 2" xfId="22853" xr:uid="{DCC93217-26C2-49AB-B167-490E1F980C55}"/>
    <cellStyle name="Normal 12 4 6 2 3" xfId="15232" xr:uid="{6D2E7881-1373-48F8-A8D0-A05EE97283F1}"/>
    <cellStyle name="Normal 12 4 6 3" xfId="18640" xr:uid="{19444510-81E2-4B60-9942-2005CF4CD9C0}"/>
    <cellStyle name="Normal 12 4 6 4" xfId="11019" xr:uid="{D6DB95EE-8B6A-41BE-8651-408A476815AB}"/>
    <cellStyle name="Normal 12 4 7" xfId="4671" xr:uid="{00000000-0005-0000-0000-0000580E0000}"/>
    <cellStyle name="Normal 12 4 7 2" xfId="20788" xr:uid="{5153C707-9E05-439B-8252-5EB6FFD297B9}"/>
    <cellStyle name="Normal 12 4 7 3" xfId="13167" xr:uid="{9BF4327F-B577-468C-B356-3213BE691961}"/>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2 2 2" xfId="23339" xr:uid="{CFF2639B-683C-41AD-B934-162993109B9D}"/>
    <cellStyle name="Normal 12 6 2 2 3" xfId="15718" xr:uid="{A5DBF228-A2EC-44F2-82A6-B34C748DA79C}"/>
    <cellStyle name="Normal 12 6 2 3" xfId="19126" xr:uid="{DEABA77C-5CA4-4DEF-B844-574AF6EC9ED5}"/>
    <cellStyle name="Normal 12 6 2 4" xfId="11505" xr:uid="{5136B97C-FEC4-47BE-837C-5CD4F03A36D7}"/>
    <cellStyle name="Normal 12 6 3" xfId="5078" xr:uid="{00000000-0005-0000-0000-00005D0E0000}"/>
    <cellStyle name="Normal 12 6 3 2" xfId="21194" xr:uid="{4F0CC7E9-C412-44E8-945E-9D63ED769C5D}"/>
    <cellStyle name="Normal 12 6 3 3" xfId="13573" xr:uid="{35862BA3-48BF-4DC0-A89E-2301E6D83758}"/>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2 2 2" xfId="23752" xr:uid="{E6E4E078-C8E3-4FB9-BCF7-9FF7DFE52D02}"/>
    <cellStyle name="Normal 12 7 2 2 3" xfId="16131" xr:uid="{E4F69322-8688-4231-8A1A-D6DAA59AA10C}"/>
    <cellStyle name="Normal 12 7 2 3" xfId="19539" xr:uid="{4041818B-E6A2-4B09-A8ED-34D6449432EB}"/>
    <cellStyle name="Normal 12 7 2 4" xfId="11918" xr:uid="{CD79C9D6-B2F3-456E-A953-C169E6AF50EC}"/>
    <cellStyle name="Normal 12 7 3" xfId="5491" xr:uid="{00000000-0005-0000-0000-0000610E0000}"/>
    <cellStyle name="Normal 12 7 3 2" xfId="21607" xr:uid="{82C75FB6-3F5B-435B-B83D-94DB7FA58B16}"/>
    <cellStyle name="Normal 12 7 3 3" xfId="13986" xr:uid="{EE29D45A-D057-4EF9-8E5A-9AD277966282}"/>
    <cellStyle name="Normal 12 7 4" xfId="17394" xr:uid="{342B7277-67A6-4E2B-BF6B-179D3C4524A8}"/>
    <cellStyle name="Normal 12 7 5" xfId="9773" xr:uid="{5D914F4E-533B-4074-B99B-0C90A7982313}"/>
    <cellStyle name="Normal 12 8" xfId="1597" xr:uid="{00000000-0005-0000-0000-0000620E0000}"/>
    <cellStyle name="Normal 12 8 2" xfId="3827" xr:uid="{00000000-0005-0000-0000-0000630E0000}"/>
    <cellStyle name="Normal 12 8 2 2" xfId="8049" xr:uid="{00000000-0005-0000-0000-0000640E0000}"/>
    <cellStyle name="Normal 12 8 2 2 2" xfId="24165" xr:uid="{28F5D20E-2476-455D-9D67-1EF9ED8C5C6D}"/>
    <cellStyle name="Normal 12 8 2 2 3" xfId="16544" xr:uid="{CD26232C-1C2F-4A41-B328-EC7DED7FA007}"/>
    <cellStyle name="Normal 12 8 2 3" xfId="19952" xr:uid="{A7A3AD48-501E-4C06-8580-A12DC019A173}"/>
    <cellStyle name="Normal 12 8 2 4" xfId="12331" xr:uid="{611E6C82-22E3-4BC9-A93D-4EEA9D9BEAC1}"/>
    <cellStyle name="Normal 12 8 3" xfId="5904" xr:uid="{00000000-0005-0000-0000-0000650E0000}"/>
    <cellStyle name="Normal 12 8 3 2" xfId="22020" xr:uid="{2B3C3BAB-90AC-420C-8F9C-3EF475F4826A}"/>
    <cellStyle name="Normal 12 8 3 3" xfId="14399" xr:uid="{9F076688-B863-4C11-AECA-8A7DD2795A95}"/>
    <cellStyle name="Normal 12 8 4" xfId="17807" xr:uid="{25E15B82-30B6-46BD-AED5-8C2CB69FB763}"/>
    <cellStyle name="Normal 12 8 5" xfId="10186" xr:uid="{4F97EE28-EEDD-44C9-8D02-F0DD94FF17C6}"/>
    <cellStyle name="Normal 12 9" xfId="2011" xr:uid="{00000000-0005-0000-0000-0000660E0000}"/>
    <cellStyle name="Normal 12 9 2" xfId="4240" xr:uid="{00000000-0005-0000-0000-0000670E0000}"/>
    <cellStyle name="Normal 12 9 2 2" xfId="8462" xr:uid="{00000000-0005-0000-0000-0000680E0000}"/>
    <cellStyle name="Normal 12 9 2 2 2" xfId="24578" xr:uid="{ACD9CB5D-B52A-4619-8074-705589C0E54F}"/>
    <cellStyle name="Normal 12 9 2 2 3" xfId="16957" xr:uid="{3C9DEEAF-24CB-437F-8C17-250CF2BE3514}"/>
    <cellStyle name="Normal 12 9 2 3" xfId="20365" xr:uid="{2EC1B907-3F8F-4216-AFE2-4376CB0816B0}"/>
    <cellStyle name="Normal 12 9 2 4" xfId="12744" xr:uid="{E80BC462-F8B1-49A3-B2A6-A5D96C74DFD3}"/>
    <cellStyle name="Normal 12 9 3" xfId="6317" xr:uid="{00000000-0005-0000-0000-0000690E0000}"/>
    <cellStyle name="Normal 12 9 3 2" xfId="22433" xr:uid="{EA3F88D4-AD6E-4563-9C3A-BF37D6DF78E7}"/>
    <cellStyle name="Normal 12 9 3 3" xfId="14812" xr:uid="{6AB8581E-132A-4B23-83F1-12B8C99C6481}"/>
    <cellStyle name="Normal 12 9 4" xfId="18220" xr:uid="{C918FF42-C9D3-43F8-93A8-203ADB36C917}"/>
    <cellStyle name="Normal 12 9 5" xfId="10599" xr:uid="{B8EBD812-5D28-487E-AA21-52F9CB170014}"/>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23347" xr:uid="{E7AED587-E2EF-40DF-AC59-625BAA920873}"/>
    <cellStyle name="Normal 14 2 2 2 3" xfId="15726" xr:uid="{82C7F807-CBBB-4B2E-8A5C-1616A8197D74}"/>
    <cellStyle name="Normal 14 2 2 3" xfId="19134" xr:uid="{530B0BC9-2333-4679-AF71-AFB272910C6F}"/>
    <cellStyle name="Normal 14 2 2 4" xfId="11513" xr:uid="{90D9DCE5-2BBE-409F-91C7-D89CDE8B70C7}"/>
    <cellStyle name="Normal 14 2 3" xfId="5086" xr:uid="{00000000-0005-0000-0000-0000700E0000}"/>
    <cellStyle name="Normal 14 2 3 2" xfId="21202" xr:uid="{3768BD71-FB21-48A7-B302-7C1FA22515D8}"/>
    <cellStyle name="Normal 14 2 3 3" xfId="13581" xr:uid="{6C785FCE-3203-4FAB-B35F-882AA8CCC32D}"/>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2 2 2" xfId="23760" xr:uid="{6B490484-8000-4761-A60C-3D686F0A6C42}"/>
    <cellStyle name="Normal 14 3 2 2 3" xfId="16139" xr:uid="{C4CC9F33-C89F-4371-AE5A-B12843906182}"/>
    <cellStyle name="Normal 14 3 2 3" xfId="19547" xr:uid="{D68E050C-56F6-4417-8E54-FC872D5A2CC7}"/>
    <cellStyle name="Normal 14 3 2 4" xfId="11926" xr:uid="{8709C8F0-7DA7-469C-8F03-FC3876BF3878}"/>
    <cellStyle name="Normal 14 3 3" xfId="5499" xr:uid="{00000000-0005-0000-0000-0000740E0000}"/>
    <cellStyle name="Normal 14 3 3 2" xfId="21615" xr:uid="{C0BCA09E-009D-4E8F-BB93-6E78894FD1A4}"/>
    <cellStyle name="Normal 14 3 3 3" xfId="13994" xr:uid="{1329FADE-169C-44F9-B4E0-BAA2A795DC52}"/>
    <cellStyle name="Normal 14 3 4" xfId="17402" xr:uid="{C00BE5F7-235A-4438-ADE7-CCE457B0B295}"/>
    <cellStyle name="Normal 14 3 5" xfId="9781" xr:uid="{24246BE4-11F5-4BFC-B19F-FD78ACF614D3}"/>
    <cellStyle name="Normal 14 4" xfId="1605" xr:uid="{00000000-0005-0000-0000-0000750E0000}"/>
    <cellStyle name="Normal 14 4 2" xfId="3835" xr:uid="{00000000-0005-0000-0000-0000760E0000}"/>
    <cellStyle name="Normal 14 4 2 2" xfId="8057" xr:uid="{00000000-0005-0000-0000-0000770E0000}"/>
    <cellStyle name="Normal 14 4 2 2 2" xfId="24173" xr:uid="{53E38DD6-BE51-48C6-AEC3-E0A2BC5FB640}"/>
    <cellStyle name="Normal 14 4 2 2 3" xfId="16552" xr:uid="{52EB261D-607C-4BF9-A1D3-43BC0E6D6282}"/>
    <cellStyle name="Normal 14 4 2 3" xfId="19960" xr:uid="{60A703D5-7CF6-46C0-A4AC-CB0A2B7995BE}"/>
    <cellStyle name="Normal 14 4 2 4" xfId="12339" xr:uid="{96684AF6-3E9B-4631-8F98-FC1598E553B7}"/>
    <cellStyle name="Normal 14 4 3" xfId="5912" xr:uid="{00000000-0005-0000-0000-0000780E0000}"/>
    <cellStyle name="Normal 14 4 3 2" xfId="22028" xr:uid="{0D1F37CE-12EF-4D79-BFE0-0E5DC14FC041}"/>
    <cellStyle name="Normal 14 4 3 3" xfId="14407" xr:uid="{699EE31A-7A4C-4D16-B2DE-35FBFC361447}"/>
    <cellStyle name="Normal 14 4 4" xfId="17815" xr:uid="{CEB69EE9-446C-4620-9336-689B542519E6}"/>
    <cellStyle name="Normal 14 4 5" xfId="10194" xr:uid="{43EE8A47-5306-4C27-8FF1-B881CF62E67A}"/>
    <cellStyle name="Normal 14 5" xfId="2019" xr:uid="{00000000-0005-0000-0000-0000790E0000}"/>
    <cellStyle name="Normal 14 5 2" xfId="4248" xr:uid="{00000000-0005-0000-0000-00007A0E0000}"/>
    <cellStyle name="Normal 14 5 2 2" xfId="8470" xr:uid="{00000000-0005-0000-0000-00007B0E0000}"/>
    <cellStyle name="Normal 14 5 2 2 2" xfId="24586" xr:uid="{BB7B2740-CCFD-4211-A3A4-3B28BC11C0A8}"/>
    <cellStyle name="Normal 14 5 2 2 3" xfId="16965" xr:uid="{009D859E-4393-4DAD-BD0E-1C07D5C79A65}"/>
    <cellStyle name="Normal 14 5 2 3" xfId="20373" xr:uid="{64A5404D-25D9-48A5-ABA6-23012BEDC612}"/>
    <cellStyle name="Normal 14 5 2 4" xfId="12752" xr:uid="{A1A35932-F7E1-4BE3-8B0C-C5AD003B39AA}"/>
    <cellStyle name="Normal 14 5 3" xfId="6325" xr:uid="{00000000-0005-0000-0000-00007C0E0000}"/>
    <cellStyle name="Normal 14 5 3 2" xfId="22441" xr:uid="{C2C8F310-A11D-4276-9286-15C3227ED46A}"/>
    <cellStyle name="Normal 14 5 3 3" xfId="14820" xr:uid="{A21C945A-EEC1-4DBF-BBD0-8A0DBB94CCEB}"/>
    <cellStyle name="Normal 14 5 4" xfId="18228" xr:uid="{3FC507E6-AAE0-4A89-ADE4-487E6DDAE1AE}"/>
    <cellStyle name="Normal 14 5 5" xfId="10607" xr:uid="{9AAC18BF-C34C-42BE-9CEA-E53FEB69EA2B}"/>
    <cellStyle name="Normal 14 6" xfId="2455" xr:uid="{00000000-0005-0000-0000-00007D0E0000}"/>
    <cellStyle name="Normal 14 6 2" xfId="6738" xr:uid="{00000000-0005-0000-0000-00007E0E0000}"/>
    <cellStyle name="Normal 14 6 2 2" xfId="22854" xr:uid="{8684C687-7550-42CD-B6AF-3D9E1D7122EF}"/>
    <cellStyle name="Normal 14 6 2 3" xfId="15233" xr:uid="{90CEA6ED-2704-44D3-9ED3-E28DE2F8D152}"/>
    <cellStyle name="Normal 14 6 3" xfId="18641" xr:uid="{9F950ADB-060B-4301-B1D6-2D5717068FAB}"/>
    <cellStyle name="Normal 14 6 4" xfId="11020" xr:uid="{8650F013-BB80-4E5A-B840-B88AF35E0A8A}"/>
    <cellStyle name="Normal 14 7" xfId="4672" xr:uid="{00000000-0005-0000-0000-00007F0E0000}"/>
    <cellStyle name="Normal 14 7 2" xfId="20789" xr:uid="{9D18730F-7037-44C0-A112-30BEF35A111F}"/>
    <cellStyle name="Normal 14 7 3" xfId="13168" xr:uid="{89FECEBE-ED52-48A2-B208-4D275EA71849}"/>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2 2" xfId="24831" xr:uid="{A24951D9-D43A-4DB7-B635-95135598EE42}"/>
    <cellStyle name="Normal 16 2 3" xfId="17210" xr:uid="{C14B4624-9CD4-4C46-A5EB-824AF8E5F903}"/>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2 2" xfId="17229" xr:uid="{2511CC75-9245-4251-B394-18F39D3F560A}"/>
    <cellStyle name="Normal 16 3 2 2 2 2 3" xfId="24847" xr:uid="{C95D6CE0-EC91-44C0-8E3E-FA1F284D1FFB}"/>
    <cellStyle name="Normal 16 3 2 2 2 2 4" xfId="17226" xr:uid="{653AF9E2-5C6D-4A80-AEAC-CAE2D34E97EE}"/>
    <cellStyle name="Normal 16 3 2 2 2 3" xfId="24844" xr:uid="{ED0BAAA2-2761-4FA8-AD0D-51607EA6C13C}"/>
    <cellStyle name="Normal 16 3 2 2 2 4" xfId="17223" xr:uid="{73367137-6063-44CE-880D-CF4D114FE4EA}"/>
    <cellStyle name="Normal 16 3 2 2 3" xfId="24840" xr:uid="{7C852867-EFE8-48D1-80EE-C94BF61BA848}"/>
    <cellStyle name="Normal 16 3 2 2 4" xfId="17219" xr:uid="{972BF772-4979-4DF5-B6F6-F6C46DA490E2}"/>
    <cellStyle name="Normal 16 3 2 3" xfId="24837" xr:uid="{006F36CD-3FF4-40DB-AED3-8F1C23A0E564}"/>
    <cellStyle name="Normal 16 3 2 4" xfId="17216" xr:uid="{A493769D-E1F3-42E3-96DD-3101A760FB38}"/>
    <cellStyle name="Normal 16 3 3" xfId="24834" xr:uid="{74B62786-3426-432E-8790-16D0DFF4F2FC}"/>
    <cellStyle name="Normal 16 3 4" xfId="17213" xr:uid="{7BCFC951-92CD-4A5C-895C-6D4E86C4B250}"/>
    <cellStyle name="Normal 16 4" xfId="9612" xr:uid="{8729F6E8-3534-4DAE-B0B2-B2AF3CDCD313}"/>
    <cellStyle name="Normal 16 5" xfId="20618" xr:uid="{86F3CF21-1538-4A47-87A2-6F128CC00AD1}"/>
    <cellStyle name="Normal 16 6" xfId="12997" xr:uid="{7899607B-E1C6-48A6-90E2-CE47BF34AB13}"/>
    <cellStyle name="Normal 17" xfId="8728" xr:uid="{3FF0972C-833B-4475-99D8-1A6907499E71}"/>
    <cellStyle name="Normal 17 2" xfId="9157" xr:uid="{6C872296-5E17-4821-9139-E52AD113B06C}"/>
    <cellStyle name="Normal 17 3" xfId="9154" xr:uid="{DC3FF210-EC1F-47CE-8CCE-F8F5460671B1}"/>
    <cellStyle name="Normal 17 4" xfId="24843" xr:uid="{C9E971CA-A264-4BC4-8590-DB07F6F459CA}"/>
    <cellStyle name="Normal 17 5" xfId="17222" xr:uid="{3268ADB9-40F3-4D04-80B4-D1574A746753}"/>
    <cellStyle name="Normal 18" xfId="9153" xr:uid="{EF04732C-9519-4C21-BD73-A108E18EA17F}"/>
    <cellStyle name="Normal 19" xfId="8739" xr:uid="{D907EBA7-1F94-4726-9ABB-7E7835FFF57E}"/>
    <cellStyle name="Normal 19 2" xfId="17232" xr:uid="{F1264425-35B7-4245-9907-4EAF83D60F0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24587" xr:uid="{CA4ED141-B31F-4EBE-BA51-6EBC817D5B57}"/>
    <cellStyle name="Normal 2 4 2 10 2 2 3" xfId="16966" xr:uid="{A3F55B24-ECEA-4596-A9A4-D9635C03B8CA}"/>
    <cellStyle name="Normal 2 4 2 10 2 3" xfId="20374" xr:uid="{D758B3F3-2683-4EB7-8452-8830AFFDE815}"/>
    <cellStyle name="Normal 2 4 2 10 2 4" xfId="12753" xr:uid="{29C2172B-22F6-420F-94D8-2071A47DE48A}"/>
    <cellStyle name="Normal 2 4 2 10 3" xfId="6326" xr:uid="{00000000-0005-0000-0000-0000910E0000}"/>
    <cellStyle name="Normal 2 4 2 10 3 2" xfId="22442" xr:uid="{9F01A7BA-6159-40E8-9DA0-37400E9CC2D9}"/>
    <cellStyle name="Normal 2 4 2 10 3 3" xfId="14821" xr:uid="{8E8D9568-2CFD-4318-A0ED-A3F3FD47CE4B}"/>
    <cellStyle name="Normal 2 4 2 10 4" xfId="18229" xr:uid="{35761C06-33FF-42B3-8B1B-8368F121FE8B}"/>
    <cellStyle name="Normal 2 4 2 10 5" xfId="10608" xr:uid="{CC6B99B0-F063-458B-B64B-561171C06B8C}"/>
    <cellStyle name="Normal 2 4 2 11" xfId="2456" xr:uid="{00000000-0005-0000-0000-0000920E0000}"/>
    <cellStyle name="Normal 2 4 2 11 2" xfId="6739" xr:uid="{00000000-0005-0000-0000-0000930E0000}"/>
    <cellStyle name="Normal 2 4 2 11 2 2" xfId="22855" xr:uid="{155B48D7-4317-4A94-8C4A-E24355BD2573}"/>
    <cellStyle name="Normal 2 4 2 11 2 3" xfId="15234" xr:uid="{0014F24A-AC49-4513-993B-524F27EDF4B8}"/>
    <cellStyle name="Normal 2 4 2 11 3" xfId="18642" xr:uid="{B8A90125-91FE-421E-9B5C-0087F80296FE}"/>
    <cellStyle name="Normal 2 4 2 11 4" xfId="11021" xr:uid="{A20D8B2C-50F5-48F0-B18B-8CC78104423E}"/>
    <cellStyle name="Normal 2 4 2 12" xfId="4673" xr:uid="{00000000-0005-0000-0000-0000940E0000}"/>
    <cellStyle name="Normal 2 4 2 12 2" xfId="20790" xr:uid="{360DF582-5540-44DF-95C5-B1B659A0F188}"/>
    <cellStyle name="Normal 2 4 2 12 3" xfId="13169" xr:uid="{47DB25F1-8498-4F67-BF36-B9642D5AD7EC}"/>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0 2" xfId="20791" xr:uid="{FB74E0B1-5AB4-4371-A80B-EAE23FB0C2F7}"/>
    <cellStyle name="Normal 2 4 2 3 10 3" xfId="13170" xr:uid="{4E17FB86-9BE6-4FC2-9AE2-3E28442CB421}"/>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23352" xr:uid="{0398DB45-A1C4-42CC-B2EA-ACE0EA62140B}"/>
    <cellStyle name="Normal 2 4 2 3 2 2 2 2 2 2 3" xfId="15731" xr:uid="{DC45C611-E899-4EC0-A1A7-CC412A882701}"/>
    <cellStyle name="Normal 2 4 2 3 2 2 2 2 2 3" xfId="19139" xr:uid="{D68306E6-445D-47CA-88C3-03108E4497E5}"/>
    <cellStyle name="Normal 2 4 2 3 2 2 2 2 2 4" xfId="11518" xr:uid="{EC8BB512-6978-49A4-91D1-6582E4AF84C3}"/>
    <cellStyle name="Normal 2 4 2 3 2 2 2 2 3" xfId="5091" xr:uid="{00000000-0005-0000-0000-00009E0E0000}"/>
    <cellStyle name="Normal 2 4 2 3 2 2 2 2 3 2" xfId="21207" xr:uid="{C172CF00-9CB1-4CA3-B608-E01C283713D6}"/>
    <cellStyle name="Normal 2 4 2 3 2 2 2 2 3 3" xfId="13586" xr:uid="{E7425DF4-8343-4D2F-9D5A-C0C54B7C841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23765" xr:uid="{1070A38E-E1C4-4F76-AD6A-701234E2B7EB}"/>
    <cellStyle name="Normal 2 4 2 3 2 2 2 3 2 2 3" xfId="16144" xr:uid="{D478F32D-044F-4963-A2EC-4F2A781C0941}"/>
    <cellStyle name="Normal 2 4 2 3 2 2 2 3 2 3" xfId="19552" xr:uid="{9B0C3753-AEBB-4629-BE24-0F14ACC32078}"/>
    <cellStyle name="Normal 2 4 2 3 2 2 2 3 2 4" xfId="11931" xr:uid="{EA8CB63A-7C79-459E-86BB-8C6888338786}"/>
    <cellStyle name="Normal 2 4 2 3 2 2 2 3 3" xfId="5504" xr:uid="{00000000-0005-0000-0000-0000A20E0000}"/>
    <cellStyle name="Normal 2 4 2 3 2 2 2 3 3 2" xfId="21620" xr:uid="{01315B56-F981-461C-874B-24146CBD42D8}"/>
    <cellStyle name="Normal 2 4 2 3 2 2 2 3 3 3" xfId="13999" xr:uid="{40451183-24C1-4C57-A2AF-93EE5ADC51A8}"/>
    <cellStyle name="Normal 2 4 2 3 2 2 2 3 4" xfId="17407" xr:uid="{BEC0B043-5DB2-4CF4-A401-DA2C76E7FBEF}"/>
    <cellStyle name="Normal 2 4 2 3 2 2 2 3 5" xfId="9786" xr:uid="{9340217C-0966-401A-A029-F5D7D848A64E}"/>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24178" xr:uid="{B96EFF18-4F5C-4ADA-BF25-9D058EFE8141}"/>
    <cellStyle name="Normal 2 4 2 3 2 2 2 4 2 2 3" xfId="16557" xr:uid="{B215944B-0318-4F24-9ECD-F763C487FD7E}"/>
    <cellStyle name="Normal 2 4 2 3 2 2 2 4 2 3" xfId="19965" xr:uid="{5BD0A857-88BF-4E01-ADAB-2D04E564059B}"/>
    <cellStyle name="Normal 2 4 2 3 2 2 2 4 2 4" xfId="12344" xr:uid="{A5249BA4-E349-4322-8FAA-6F5C4A7BD770}"/>
    <cellStyle name="Normal 2 4 2 3 2 2 2 4 3" xfId="5917" xr:uid="{00000000-0005-0000-0000-0000A60E0000}"/>
    <cellStyle name="Normal 2 4 2 3 2 2 2 4 3 2" xfId="22033" xr:uid="{824685D7-C06D-427A-902A-257E099852E6}"/>
    <cellStyle name="Normal 2 4 2 3 2 2 2 4 3 3" xfId="14412" xr:uid="{B004E14F-A1D3-461E-A6A0-2D18C6C044A2}"/>
    <cellStyle name="Normal 2 4 2 3 2 2 2 4 4" xfId="17820" xr:uid="{27AE508E-F746-4BEF-89D5-97F71FCD7879}"/>
    <cellStyle name="Normal 2 4 2 3 2 2 2 4 5" xfId="10199" xr:uid="{3FB8E7EC-5361-47F2-B475-4225EB6F41C7}"/>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24591" xr:uid="{A06031E8-9138-43B0-B6B1-37B276AA7272}"/>
    <cellStyle name="Normal 2 4 2 3 2 2 2 5 2 2 3" xfId="16970" xr:uid="{F4ECBA10-4D8E-4C46-BB97-E595857748DB}"/>
    <cellStyle name="Normal 2 4 2 3 2 2 2 5 2 3" xfId="20378" xr:uid="{160EEF8F-182F-4367-AC01-4ACBBFC38C39}"/>
    <cellStyle name="Normal 2 4 2 3 2 2 2 5 2 4" xfId="12757" xr:uid="{8888CAE1-2A4F-4C28-9989-4298E03661F0}"/>
    <cellStyle name="Normal 2 4 2 3 2 2 2 5 3" xfId="6330" xr:uid="{00000000-0005-0000-0000-0000AA0E0000}"/>
    <cellStyle name="Normal 2 4 2 3 2 2 2 5 3 2" xfId="22446" xr:uid="{7CF0646D-A1C7-4C74-A168-0F4DB592FC3A}"/>
    <cellStyle name="Normal 2 4 2 3 2 2 2 5 3 3" xfId="14825" xr:uid="{0CCDEC87-13A0-4970-9151-E787FC42EA43}"/>
    <cellStyle name="Normal 2 4 2 3 2 2 2 5 4" xfId="18233" xr:uid="{03710B71-3411-4145-8875-E62E8ADB26D2}"/>
    <cellStyle name="Normal 2 4 2 3 2 2 2 5 5" xfId="10612" xr:uid="{B1CF9530-4232-4BC8-A345-9EDA87FA793B}"/>
    <cellStyle name="Normal 2 4 2 3 2 2 2 6" xfId="2460" xr:uid="{00000000-0005-0000-0000-0000AB0E0000}"/>
    <cellStyle name="Normal 2 4 2 3 2 2 2 6 2" xfId="6743" xr:uid="{00000000-0005-0000-0000-0000AC0E0000}"/>
    <cellStyle name="Normal 2 4 2 3 2 2 2 6 2 2" xfId="22859" xr:uid="{9DEBF704-86F8-4D13-ABA0-9C9812C21911}"/>
    <cellStyle name="Normal 2 4 2 3 2 2 2 6 2 3" xfId="15238" xr:uid="{7B296B2C-0153-498F-9C66-C883870D7ED0}"/>
    <cellStyle name="Normal 2 4 2 3 2 2 2 6 3" xfId="18646" xr:uid="{9FF3B670-0190-4384-B090-8AB91E5E8B0E}"/>
    <cellStyle name="Normal 2 4 2 3 2 2 2 6 4" xfId="11025" xr:uid="{3AF14D7C-3D5A-453C-B98D-41CEF6FC914F}"/>
    <cellStyle name="Normal 2 4 2 3 2 2 2 7" xfId="4677" xr:uid="{00000000-0005-0000-0000-0000AD0E0000}"/>
    <cellStyle name="Normal 2 4 2 3 2 2 2 7 2" xfId="20794" xr:uid="{7C0401F3-599E-4AA7-B5C0-BE7B0FB00654}"/>
    <cellStyle name="Normal 2 4 2 3 2 2 2 7 3" xfId="13173" xr:uid="{B03642EA-EA80-4936-A5EC-3EB10CAFA77E}"/>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23351" xr:uid="{28F6DDD5-5DB9-42C5-83DB-5CF8BCB176EA}"/>
    <cellStyle name="Normal 2 4 2 3 2 2 3 2 2 3" xfId="15730" xr:uid="{DD413E6B-E616-47B7-9BAD-5150BBAC718B}"/>
    <cellStyle name="Normal 2 4 2 3 2 2 3 2 3" xfId="19138" xr:uid="{C688FD2F-3728-4554-8EBF-27074884A0BB}"/>
    <cellStyle name="Normal 2 4 2 3 2 2 3 2 4" xfId="11517" xr:uid="{451C5F3C-9F7F-4B7D-A343-AB15AF3036DD}"/>
    <cellStyle name="Normal 2 4 2 3 2 2 3 3" xfId="5090" xr:uid="{00000000-0005-0000-0000-0000B10E0000}"/>
    <cellStyle name="Normal 2 4 2 3 2 2 3 3 2" xfId="21206" xr:uid="{52CDCCC5-6489-4178-B986-AED10EF587DF}"/>
    <cellStyle name="Normal 2 4 2 3 2 2 3 3 3" xfId="13585" xr:uid="{7E8A06F3-B90F-47D5-A97B-63D9C7E3C835}"/>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23764" xr:uid="{D0972414-BB46-46FA-A01C-B680ED4398D6}"/>
    <cellStyle name="Normal 2 4 2 3 2 2 4 2 2 3" xfId="16143" xr:uid="{F00BCBF6-FB06-46CF-AE10-CE8AA8364DD4}"/>
    <cellStyle name="Normal 2 4 2 3 2 2 4 2 3" xfId="19551" xr:uid="{66CF120A-693A-486E-9EEF-676A5D0412A1}"/>
    <cellStyle name="Normal 2 4 2 3 2 2 4 2 4" xfId="11930" xr:uid="{A31E152D-7BA9-48ED-8716-8CED1ECACC7B}"/>
    <cellStyle name="Normal 2 4 2 3 2 2 4 3" xfId="5503" xr:uid="{00000000-0005-0000-0000-0000B50E0000}"/>
    <cellStyle name="Normal 2 4 2 3 2 2 4 3 2" xfId="21619" xr:uid="{A6B285CF-EBA9-4A91-BCFD-83880D90242B}"/>
    <cellStyle name="Normal 2 4 2 3 2 2 4 3 3" xfId="13998" xr:uid="{5B21F82B-8B40-4DC6-B9C4-ECEFD3A876F5}"/>
    <cellStyle name="Normal 2 4 2 3 2 2 4 4" xfId="17406" xr:uid="{2A6AB4F9-82A1-4B52-9807-5369951CA622}"/>
    <cellStyle name="Normal 2 4 2 3 2 2 4 5" xfId="9785" xr:uid="{EBE25F12-C74C-4F52-9060-58E654546333}"/>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24177" xr:uid="{A73CAB50-A433-460F-929E-B134378DCB35}"/>
    <cellStyle name="Normal 2 4 2 3 2 2 5 2 2 3" xfId="16556" xr:uid="{38F8CCAD-64F3-4353-A02C-30B100242D84}"/>
    <cellStyle name="Normal 2 4 2 3 2 2 5 2 3" xfId="19964" xr:uid="{216971CD-6D05-4D7F-8750-7967739B9368}"/>
    <cellStyle name="Normal 2 4 2 3 2 2 5 2 4" xfId="12343" xr:uid="{FEB7BA94-8663-48BD-AA75-BEAF2F51A936}"/>
    <cellStyle name="Normal 2 4 2 3 2 2 5 3" xfId="5916" xr:uid="{00000000-0005-0000-0000-0000B90E0000}"/>
    <cellStyle name="Normal 2 4 2 3 2 2 5 3 2" xfId="22032" xr:uid="{22ADAC3D-8AF7-4F3A-85C8-2919AB6154B8}"/>
    <cellStyle name="Normal 2 4 2 3 2 2 5 3 3" xfId="14411" xr:uid="{6409D012-74C4-4354-B40E-92B89121ABB1}"/>
    <cellStyle name="Normal 2 4 2 3 2 2 5 4" xfId="17819" xr:uid="{B11950EE-1F80-4EBE-879F-B9538908A20B}"/>
    <cellStyle name="Normal 2 4 2 3 2 2 5 5" xfId="10198" xr:uid="{593FF157-373B-4E2A-83EB-E1AE7A48C87B}"/>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24590" xr:uid="{875245D2-F0FD-4A5A-AD06-3DFF8D2A829C}"/>
    <cellStyle name="Normal 2 4 2 3 2 2 6 2 2 3" xfId="16969" xr:uid="{AED05E04-C226-4224-81B6-73829F5B8B1E}"/>
    <cellStyle name="Normal 2 4 2 3 2 2 6 2 3" xfId="20377" xr:uid="{2E89FE9A-0C2B-4928-9DF5-BD5DA31BA787}"/>
    <cellStyle name="Normal 2 4 2 3 2 2 6 2 4" xfId="12756" xr:uid="{CD6E4B8D-099A-4342-AF93-83F1BF65B1F4}"/>
    <cellStyle name="Normal 2 4 2 3 2 2 6 3" xfId="6329" xr:uid="{00000000-0005-0000-0000-0000BD0E0000}"/>
    <cellStyle name="Normal 2 4 2 3 2 2 6 3 2" xfId="22445" xr:uid="{32E8C12C-4C25-4FEF-886A-424F4A8E3711}"/>
    <cellStyle name="Normal 2 4 2 3 2 2 6 3 3" xfId="14824" xr:uid="{280F429A-1063-48F7-B42B-A12C334F5DEC}"/>
    <cellStyle name="Normal 2 4 2 3 2 2 6 4" xfId="18232" xr:uid="{9BBC752F-BC2E-4FA1-B267-74BC29746366}"/>
    <cellStyle name="Normal 2 4 2 3 2 2 6 5" xfId="10611" xr:uid="{7B7C88D0-D7F6-4C88-A9EE-CC4FBAF4391A}"/>
    <cellStyle name="Normal 2 4 2 3 2 2 7" xfId="2459" xr:uid="{00000000-0005-0000-0000-0000BE0E0000}"/>
    <cellStyle name="Normal 2 4 2 3 2 2 7 2" xfId="6742" xr:uid="{00000000-0005-0000-0000-0000BF0E0000}"/>
    <cellStyle name="Normal 2 4 2 3 2 2 7 2 2" xfId="22858" xr:uid="{E9A2A7B9-0CE1-4F1B-84D1-9BEE13483D3A}"/>
    <cellStyle name="Normal 2 4 2 3 2 2 7 2 3" xfId="15237" xr:uid="{E581DC37-6142-4D37-9478-C84997899D90}"/>
    <cellStyle name="Normal 2 4 2 3 2 2 7 3" xfId="18645" xr:uid="{FA4CF989-B601-48C9-8873-7920CC95F095}"/>
    <cellStyle name="Normal 2 4 2 3 2 2 7 4" xfId="11024" xr:uid="{A7426E98-D905-441D-8D9E-204F0CA6CECD}"/>
    <cellStyle name="Normal 2 4 2 3 2 2 8" xfId="4676" xr:uid="{00000000-0005-0000-0000-0000C00E0000}"/>
    <cellStyle name="Normal 2 4 2 3 2 2 8 2" xfId="20793" xr:uid="{42ADF3B4-B4F5-4E80-AD79-DA03E58CBF14}"/>
    <cellStyle name="Normal 2 4 2 3 2 2 8 3" xfId="13172" xr:uid="{E92973F8-2483-404D-ACFF-A9D3EB76F457}"/>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23353" xr:uid="{3050081E-0EA5-4A79-B4DE-20F3AA452AA8}"/>
    <cellStyle name="Normal 2 4 2 3 2 3 2 2 2 3" xfId="15732" xr:uid="{496650AE-CA30-4D8F-91ED-BAA2569F389E}"/>
    <cellStyle name="Normal 2 4 2 3 2 3 2 2 3" xfId="19140" xr:uid="{0AB6E784-8775-4784-843C-A8125708585F}"/>
    <cellStyle name="Normal 2 4 2 3 2 3 2 2 4" xfId="11519" xr:uid="{131C146E-2B8B-4CB6-9B88-789C36B5C2CB}"/>
    <cellStyle name="Normal 2 4 2 3 2 3 2 3" xfId="5092" xr:uid="{00000000-0005-0000-0000-0000C50E0000}"/>
    <cellStyle name="Normal 2 4 2 3 2 3 2 3 2" xfId="21208" xr:uid="{DDF22D25-71F9-4AAF-AB31-9C6F104B66B6}"/>
    <cellStyle name="Normal 2 4 2 3 2 3 2 3 3" xfId="13587" xr:uid="{B1EE60D6-A04C-49AF-94C7-844007A305F8}"/>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23766" xr:uid="{583970D4-E69D-406D-8B59-48D66C5BD7D5}"/>
    <cellStyle name="Normal 2 4 2 3 2 3 3 2 2 3" xfId="16145" xr:uid="{19F04B14-AF63-4829-8A01-45B2FB4A7AC4}"/>
    <cellStyle name="Normal 2 4 2 3 2 3 3 2 3" xfId="19553" xr:uid="{1E62C9E8-02EF-4095-8255-3BFF90B4F660}"/>
    <cellStyle name="Normal 2 4 2 3 2 3 3 2 4" xfId="11932" xr:uid="{17ED8092-0D94-4251-87D4-7458FD9AE1D3}"/>
    <cellStyle name="Normal 2 4 2 3 2 3 3 3" xfId="5505" xr:uid="{00000000-0005-0000-0000-0000C90E0000}"/>
    <cellStyle name="Normal 2 4 2 3 2 3 3 3 2" xfId="21621" xr:uid="{01E40DA3-4D48-4D33-AFEA-06C4FA88BD55}"/>
    <cellStyle name="Normal 2 4 2 3 2 3 3 3 3" xfId="14000" xr:uid="{35290F0C-F8A4-4AAB-B85B-C3E39583BCAA}"/>
    <cellStyle name="Normal 2 4 2 3 2 3 3 4" xfId="17408" xr:uid="{38790AE6-1507-4E2A-BEDC-C6ED52D7AA4D}"/>
    <cellStyle name="Normal 2 4 2 3 2 3 3 5" xfId="9787" xr:uid="{53D455D6-CADF-43C7-961F-AB2B458B8921}"/>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24179" xr:uid="{08210BDF-ADD8-438F-8204-BCA1512C5CEE}"/>
    <cellStyle name="Normal 2 4 2 3 2 3 4 2 2 3" xfId="16558" xr:uid="{F20BF5AE-B470-46C5-83AB-80A085A70960}"/>
    <cellStyle name="Normal 2 4 2 3 2 3 4 2 3" xfId="19966" xr:uid="{A45B7AE8-AFFE-48FE-89F2-24DBBD42915B}"/>
    <cellStyle name="Normal 2 4 2 3 2 3 4 2 4" xfId="12345" xr:uid="{BF2C1105-B808-4ED6-AA92-FEAC84379454}"/>
    <cellStyle name="Normal 2 4 2 3 2 3 4 3" xfId="5918" xr:uid="{00000000-0005-0000-0000-0000CD0E0000}"/>
    <cellStyle name="Normal 2 4 2 3 2 3 4 3 2" xfId="22034" xr:uid="{BE85358F-20C6-4B0C-B88A-061D2C613125}"/>
    <cellStyle name="Normal 2 4 2 3 2 3 4 3 3" xfId="14413" xr:uid="{1D8583E8-A4E0-4434-A3D7-5C15635C9D7F}"/>
    <cellStyle name="Normal 2 4 2 3 2 3 4 4" xfId="17821" xr:uid="{696CC921-85A9-43ED-8015-0C306116D5D2}"/>
    <cellStyle name="Normal 2 4 2 3 2 3 4 5" xfId="10200" xr:uid="{B5912E76-39CE-47C8-B6D7-2918C9E5939F}"/>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24592" xr:uid="{1FE3B5C2-50D3-479C-9D8C-90CD82141427}"/>
    <cellStyle name="Normal 2 4 2 3 2 3 5 2 2 3" xfId="16971" xr:uid="{4F5B8A1E-C362-4A61-8C3E-341E8A2F5B70}"/>
    <cellStyle name="Normal 2 4 2 3 2 3 5 2 3" xfId="20379" xr:uid="{E1980432-1FCC-4196-9DD2-9C72E476117F}"/>
    <cellStyle name="Normal 2 4 2 3 2 3 5 2 4" xfId="12758" xr:uid="{3EBBDA0B-E978-4A12-9AD4-AC8506546490}"/>
    <cellStyle name="Normal 2 4 2 3 2 3 5 3" xfId="6331" xr:uid="{00000000-0005-0000-0000-0000D10E0000}"/>
    <cellStyle name="Normal 2 4 2 3 2 3 5 3 2" xfId="22447" xr:uid="{D56136DB-E356-4FF7-85AD-F0C9B416DBA7}"/>
    <cellStyle name="Normal 2 4 2 3 2 3 5 3 3" xfId="14826" xr:uid="{09E3171F-D782-4605-8FE9-9A40A84E762F}"/>
    <cellStyle name="Normal 2 4 2 3 2 3 5 4" xfId="18234" xr:uid="{2A04A2D9-5B87-4121-9C55-1BC8228DFAA5}"/>
    <cellStyle name="Normal 2 4 2 3 2 3 5 5" xfId="10613" xr:uid="{4B4C8C7F-4F1C-4931-A457-999C2500C0F7}"/>
    <cellStyle name="Normal 2 4 2 3 2 3 6" xfId="2461" xr:uid="{00000000-0005-0000-0000-0000D20E0000}"/>
    <cellStyle name="Normal 2 4 2 3 2 3 6 2" xfId="6744" xr:uid="{00000000-0005-0000-0000-0000D30E0000}"/>
    <cellStyle name="Normal 2 4 2 3 2 3 6 2 2" xfId="22860" xr:uid="{0DEFC373-215A-46BC-BEB0-EAC330E690E1}"/>
    <cellStyle name="Normal 2 4 2 3 2 3 6 2 3" xfId="15239" xr:uid="{E210AC39-0B6D-4A82-832D-EC59B8827287}"/>
    <cellStyle name="Normal 2 4 2 3 2 3 6 3" xfId="18647" xr:uid="{F39D27D2-4546-48FD-8040-40348490BD0B}"/>
    <cellStyle name="Normal 2 4 2 3 2 3 6 4" xfId="11026" xr:uid="{D57689C8-9BAB-4360-B30D-B1F84A7BB1EE}"/>
    <cellStyle name="Normal 2 4 2 3 2 3 7" xfId="4678" xr:uid="{00000000-0005-0000-0000-0000D40E0000}"/>
    <cellStyle name="Normal 2 4 2 3 2 3 7 2" xfId="20795" xr:uid="{87F344CD-4E8E-4CA9-A316-B3CB5D2A73C3}"/>
    <cellStyle name="Normal 2 4 2 3 2 3 7 3" xfId="13174" xr:uid="{37478A57-EBCB-46AB-AAB3-4ECCFE1A808B}"/>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23350" xr:uid="{C97AB915-9ED4-4A35-86E1-2F4BF028945B}"/>
    <cellStyle name="Normal 2 4 2 3 2 4 2 2 3" xfId="15729" xr:uid="{7897C40E-D8D7-48D4-9D8F-DCB1DC1C8F65}"/>
    <cellStyle name="Normal 2 4 2 3 2 4 2 3" xfId="19137" xr:uid="{A7901A5E-8231-49B2-8208-55789055C217}"/>
    <cellStyle name="Normal 2 4 2 3 2 4 2 4" xfId="11516" xr:uid="{E3B89963-01B3-47F2-8D41-FE51D9F95069}"/>
    <cellStyle name="Normal 2 4 2 3 2 4 3" xfId="5089" xr:uid="{00000000-0005-0000-0000-0000D80E0000}"/>
    <cellStyle name="Normal 2 4 2 3 2 4 3 2" xfId="21205" xr:uid="{B795DE26-4FF1-4912-8166-68DA439F58FD}"/>
    <cellStyle name="Normal 2 4 2 3 2 4 3 3" xfId="13584" xr:uid="{F727A20A-5881-49C4-AD13-766AA835392C}"/>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23763" xr:uid="{A71ECEA2-A531-490E-9CDA-002E045FEB9E}"/>
    <cellStyle name="Normal 2 4 2 3 2 5 2 2 3" xfId="16142" xr:uid="{3479DEF9-6A29-4725-9079-783C859BA94F}"/>
    <cellStyle name="Normal 2 4 2 3 2 5 2 3" xfId="19550" xr:uid="{354B984D-902B-4ED5-A84B-AC9F6B2063FA}"/>
    <cellStyle name="Normal 2 4 2 3 2 5 2 4" xfId="11929" xr:uid="{E3C25DAF-2EC3-4887-AA7B-29B64F823658}"/>
    <cellStyle name="Normal 2 4 2 3 2 5 3" xfId="5502" xr:uid="{00000000-0005-0000-0000-0000DC0E0000}"/>
    <cellStyle name="Normal 2 4 2 3 2 5 3 2" xfId="21618" xr:uid="{DD101BAF-AC9B-42AD-8879-7EA62ED818C2}"/>
    <cellStyle name="Normal 2 4 2 3 2 5 3 3" xfId="13997" xr:uid="{2AC7631E-1AFB-44B6-B08B-DA2A39166753}"/>
    <cellStyle name="Normal 2 4 2 3 2 5 4" xfId="17405" xr:uid="{171EA6E5-DE45-4538-888B-D179A5CC5FC5}"/>
    <cellStyle name="Normal 2 4 2 3 2 5 5" xfId="9784" xr:uid="{483B1274-AAA2-4FEC-B070-C2F9208FF90F}"/>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24176" xr:uid="{0FFC9DBA-0FD6-4BE0-9F17-0089E907BDB7}"/>
    <cellStyle name="Normal 2 4 2 3 2 6 2 2 3" xfId="16555" xr:uid="{83B55797-9292-4388-B4CE-FC89BB3595B1}"/>
    <cellStyle name="Normal 2 4 2 3 2 6 2 3" xfId="19963" xr:uid="{C4D16E3E-7743-4BAB-8C54-02F69926306A}"/>
    <cellStyle name="Normal 2 4 2 3 2 6 2 4" xfId="12342" xr:uid="{BA511E7A-3D23-4BB9-9B18-AF1AE89F53B1}"/>
    <cellStyle name="Normal 2 4 2 3 2 6 3" xfId="5915" xr:uid="{00000000-0005-0000-0000-0000E00E0000}"/>
    <cellStyle name="Normal 2 4 2 3 2 6 3 2" xfId="22031" xr:uid="{4B433D32-6AA2-4D7B-8C9C-D60FC0ACF6FE}"/>
    <cellStyle name="Normal 2 4 2 3 2 6 3 3" xfId="14410" xr:uid="{C7738982-B023-4E5C-B987-137DCBCFBD96}"/>
    <cellStyle name="Normal 2 4 2 3 2 6 4" xfId="17818" xr:uid="{B8214036-EE2E-45C9-9EAA-97972FCD9DB8}"/>
    <cellStyle name="Normal 2 4 2 3 2 6 5" xfId="10197" xr:uid="{ADA8641A-247A-4543-9E8A-EF1E3163883B}"/>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24589" xr:uid="{69D608B6-588E-4498-8C81-AC1F6818A6C9}"/>
    <cellStyle name="Normal 2 4 2 3 2 7 2 2 3" xfId="16968" xr:uid="{9A90B46F-A64B-4BF1-8956-45B5AE3A6776}"/>
    <cellStyle name="Normal 2 4 2 3 2 7 2 3" xfId="20376" xr:uid="{E5C8C1FB-65E4-41E0-AAE1-79F5A727BFB0}"/>
    <cellStyle name="Normal 2 4 2 3 2 7 2 4" xfId="12755" xr:uid="{291BF255-1B5C-4482-886D-3AB4F777C426}"/>
    <cellStyle name="Normal 2 4 2 3 2 7 3" xfId="6328" xr:uid="{00000000-0005-0000-0000-0000E40E0000}"/>
    <cellStyle name="Normal 2 4 2 3 2 7 3 2" xfId="22444" xr:uid="{8AED6852-7750-4E21-886A-38E9D2B74F46}"/>
    <cellStyle name="Normal 2 4 2 3 2 7 3 3" xfId="14823" xr:uid="{D5D037EC-C6C2-4CA8-B313-D62871A36C5A}"/>
    <cellStyle name="Normal 2 4 2 3 2 7 4" xfId="18231" xr:uid="{BFC1458B-876E-49BD-BAB7-B5347ACFA821}"/>
    <cellStyle name="Normal 2 4 2 3 2 7 5" xfId="10610" xr:uid="{758F8294-A1E7-4952-911E-011C6D95007D}"/>
    <cellStyle name="Normal 2 4 2 3 2 8" xfId="2458" xr:uid="{00000000-0005-0000-0000-0000E50E0000}"/>
    <cellStyle name="Normal 2 4 2 3 2 8 2" xfId="6741" xr:uid="{00000000-0005-0000-0000-0000E60E0000}"/>
    <cellStyle name="Normal 2 4 2 3 2 8 2 2" xfId="22857" xr:uid="{7F6733D9-3057-4000-A660-C90026387494}"/>
    <cellStyle name="Normal 2 4 2 3 2 8 2 3" xfId="15236" xr:uid="{D0E75CA1-C518-4C67-8A5A-0E0346227580}"/>
    <cellStyle name="Normal 2 4 2 3 2 8 3" xfId="18644" xr:uid="{762240BB-080D-4CDB-824B-8D8D566F43AD}"/>
    <cellStyle name="Normal 2 4 2 3 2 8 4" xfId="11023" xr:uid="{03F93BBD-9160-493F-99BA-24EC42AABA9A}"/>
    <cellStyle name="Normal 2 4 2 3 2 9" xfId="4675" xr:uid="{00000000-0005-0000-0000-0000E70E0000}"/>
    <cellStyle name="Normal 2 4 2 3 2 9 2" xfId="20792" xr:uid="{08F0209F-7259-4B53-A9F7-70CC9CE55260}"/>
    <cellStyle name="Normal 2 4 2 3 2 9 3" xfId="13171" xr:uid="{11D4F94C-077B-4E57-AD3B-7EB7F6D03414}"/>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23355" xr:uid="{7B4EF679-2880-41A6-B129-3DB5DFD17E4D}"/>
    <cellStyle name="Normal 2 4 2 3 3 2 2 2 2 3" xfId="15734" xr:uid="{838E8C29-65E8-4966-A52D-0E37754365B7}"/>
    <cellStyle name="Normal 2 4 2 3 3 2 2 2 3" xfId="19142" xr:uid="{2FC92C27-BEB8-4797-9E45-88FFFA845D6A}"/>
    <cellStyle name="Normal 2 4 2 3 3 2 2 2 4" xfId="11521" xr:uid="{77147CC1-C6DA-42FF-A349-9DE30AA2F5AB}"/>
    <cellStyle name="Normal 2 4 2 3 3 2 2 3" xfId="5094" xr:uid="{00000000-0005-0000-0000-0000ED0E0000}"/>
    <cellStyle name="Normal 2 4 2 3 3 2 2 3 2" xfId="21210" xr:uid="{9E427220-8251-4C68-9DEF-CBAFDE555717}"/>
    <cellStyle name="Normal 2 4 2 3 3 2 2 3 3" xfId="13589" xr:uid="{885FEEC0-CA18-4D11-BD38-30AC1E15DBC8}"/>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23768" xr:uid="{F70D01EC-3CF1-43E9-8E0C-5873DF398120}"/>
    <cellStyle name="Normal 2 4 2 3 3 2 3 2 2 3" xfId="16147" xr:uid="{4738F943-AEFC-4182-A4F0-77F7FD0D48E8}"/>
    <cellStyle name="Normal 2 4 2 3 3 2 3 2 3" xfId="19555" xr:uid="{16C23F97-7EDC-4FA5-88F1-78FB3BFF1628}"/>
    <cellStyle name="Normal 2 4 2 3 3 2 3 2 4" xfId="11934" xr:uid="{B29FE66D-C4DD-41E5-914D-91DA0A70CAAC}"/>
    <cellStyle name="Normal 2 4 2 3 3 2 3 3" xfId="5507" xr:uid="{00000000-0005-0000-0000-0000F10E0000}"/>
    <cellStyle name="Normal 2 4 2 3 3 2 3 3 2" xfId="21623" xr:uid="{AFB2E463-3406-4431-BF29-FFF16C9CE06C}"/>
    <cellStyle name="Normal 2 4 2 3 3 2 3 3 3" xfId="14002" xr:uid="{C45C966A-870A-44E8-973F-7B7C72255E6D}"/>
    <cellStyle name="Normal 2 4 2 3 3 2 3 4" xfId="17410" xr:uid="{D9ACF428-9951-4937-AD3C-F521A773DECF}"/>
    <cellStyle name="Normal 2 4 2 3 3 2 3 5" xfId="9789" xr:uid="{A804E15E-25CB-4ED6-B9C8-F6B7636BB757}"/>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24181" xr:uid="{22BCB878-95F0-4132-846D-C677284B9ADA}"/>
    <cellStyle name="Normal 2 4 2 3 3 2 4 2 2 3" xfId="16560" xr:uid="{9574CC2D-29D9-460A-B1D2-1DD41A4FC511}"/>
    <cellStyle name="Normal 2 4 2 3 3 2 4 2 3" xfId="19968" xr:uid="{40CD98C1-CB84-46BF-84B5-886372BC5681}"/>
    <cellStyle name="Normal 2 4 2 3 3 2 4 2 4" xfId="12347" xr:uid="{294EB9FB-A872-418E-9DF0-9EC1BA64274C}"/>
    <cellStyle name="Normal 2 4 2 3 3 2 4 3" xfId="5920" xr:uid="{00000000-0005-0000-0000-0000F50E0000}"/>
    <cellStyle name="Normal 2 4 2 3 3 2 4 3 2" xfId="22036" xr:uid="{BFA85197-D14A-4EB4-BCA0-0DD2EB208A2A}"/>
    <cellStyle name="Normal 2 4 2 3 3 2 4 3 3" xfId="14415" xr:uid="{3CD081F2-D4F6-48F1-9001-4927B2D19A1D}"/>
    <cellStyle name="Normal 2 4 2 3 3 2 4 4" xfId="17823" xr:uid="{379ACD82-5859-400C-8E54-E3016C96DADF}"/>
    <cellStyle name="Normal 2 4 2 3 3 2 4 5" xfId="10202" xr:uid="{223ECFF8-DB7F-4121-BA68-88812FA6BD91}"/>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24594" xr:uid="{714E9144-E2BE-4A4F-ADFB-2D6D908F5468}"/>
    <cellStyle name="Normal 2 4 2 3 3 2 5 2 2 3" xfId="16973" xr:uid="{6D5B6B0E-309F-49F0-B63F-5796CE91F516}"/>
    <cellStyle name="Normal 2 4 2 3 3 2 5 2 3" xfId="20381" xr:uid="{B03220B4-73E3-453B-857B-786AC0E7584B}"/>
    <cellStyle name="Normal 2 4 2 3 3 2 5 2 4" xfId="12760" xr:uid="{2FB080EA-3F43-4B6F-B01E-50290BF3D3B5}"/>
    <cellStyle name="Normal 2 4 2 3 3 2 5 3" xfId="6333" xr:uid="{00000000-0005-0000-0000-0000F90E0000}"/>
    <cellStyle name="Normal 2 4 2 3 3 2 5 3 2" xfId="22449" xr:uid="{28BFD776-1A1A-4C2A-A9E4-B99D7C02D84C}"/>
    <cellStyle name="Normal 2 4 2 3 3 2 5 3 3" xfId="14828" xr:uid="{13205D26-BC74-4A42-8967-B03B038FC155}"/>
    <cellStyle name="Normal 2 4 2 3 3 2 5 4" xfId="18236" xr:uid="{5E159E82-9F6B-449C-BB61-6AE02EE32931}"/>
    <cellStyle name="Normal 2 4 2 3 3 2 5 5" xfId="10615" xr:uid="{C2516E3D-D760-4A1B-A142-938D2654FFF6}"/>
    <cellStyle name="Normal 2 4 2 3 3 2 6" xfId="2463" xr:uid="{00000000-0005-0000-0000-0000FA0E0000}"/>
    <cellStyle name="Normal 2 4 2 3 3 2 6 2" xfId="6746" xr:uid="{00000000-0005-0000-0000-0000FB0E0000}"/>
    <cellStyle name="Normal 2 4 2 3 3 2 6 2 2" xfId="22862" xr:uid="{0D6F85C0-BD37-4127-961C-7DB9F8E24445}"/>
    <cellStyle name="Normal 2 4 2 3 3 2 6 2 3" xfId="15241" xr:uid="{EB0B69CE-DA74-4732-9882-126F483F7C20}"/>
    <cellStyle name="Normal 2 4 2 3 3 2 6 3" xfId="18649" xr:uid="{B7BFD933-48C3-412D-925B-8BBF2DA55B25}"/>
    <cellStyle name="Normal 2 4 2 3 3 2 6 4" xfId="11028" xr:uid="{4FA34F53-3A4A-421E-9AE6-EE39187D088D}"/>
    <cellStyle name="Normal 2 4 2 3 3 2 7" xfId="4680" xr:uid="{00000000-0005-0000-0000-0000FC0E0000}"/>
    <cellStyle name="Normal 2 4 2 3 3 2 7 2" xfId="20797" xr:uid="{41495298-0ADD-42BC-8270-2D1A71F18E33}"/>
    <cellStyle name="Normal 2 4 2 3 3 2 7 3" xfId="13176" xr:uid="{FE4D738F-7B22-4667-B625-C79DE87F11F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23354" xr:uid="{6BE34092-1D21-45C7-871C-0CAD16829BD6}"/>
    <cellStyle name="Normal 2 4 2 3 3 3 2 2 3" xfId="15733" xr:uid="{3DAF2F40-4DD0-43FF-B841-8CF05C4B112C}"/>
    <cellStyle name="Normal 2 4 2 3 3 3 2 3" xfId="19141" xr:uid="{60FEB3EA-05A1-4A02-AE64-EBEDC96EE9DA}"/>
    <cellStyle name="Normal 2 4 2 3 3 3 2 4" xfId="11520" xr:uid="{14D45BA6-FAF8-4415-B9CC-7100C411319D}"/>
    <cellStyle name="Normal 2 4 2 3 3 3 3" xfId="5093" xr:uid="{00000000-0005-0000-0000-0000000F0000}"/>
    <cellStyle name="Normal 2 4 2 3 3 3 3 2" xfId="21209" xr:uid="{1EE97712-289C-48FC-989A-4DF8286E56D1}"/>
    <cellStyle name="Normal 2 4 2 3 3 3 3 3" xfId="13588" xr:uid="{98430FF1-E32B-408A-B3BA-3811B3EE089B}"/>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23767" xr:uid="{E440AC8D-3657-4B4E-8FF0-3A4F7E3DEFB5}"/>
    <cellStyle name="Normal 2 4 2 3 3 4 2 2 3" xfId="16146" xr:uid="{6C3A4A65-97C9-4C96-97FE-F37D9A991067}"/>
    <cellStyle name="Normal 2 4 2 3 3 4 2 3" xfId="19554" xr:uid="{A8B893B9-828B-4353-84A6-4AE7855AD0CD}"/>
    <cellStyle name="Normal 2 4 2 3 3 4 2 4" xfId="11933" xr:uid="{F8D86813-DDC2-4F56-A0AC-D0052AC0CFC2}"/>
    <cellStyle name="Normal 2 4 2 3 3 4 3" xfId="5506" xr:uid="{00000000-0005-0000-0000-0000040F0000}"/>
    <cellStyle name="Normal 2 4 2 3 3 4 3 2" xfId="21622" xr:uid="{10887D58-C86A-4D83-9AB3-C987B0FC6D44}"/>
    <cellStyle name="Normal 2 4 2 3 3 4 3 3" xfId="14001" xr:uid="{606E3C7E-4E78-4F33-AF9A-5C46C150689C}"/>
    <cellStyle name="Normal 2 4 2 3 3 4 4" xfId="17409" xr:uid="{56D8F6D9-6D41-4A55-8170-ECFAA4BC682B}"/>
    <cellStyle name="Normal 2 4 2 3 3 4 5" xfId="9788" xr:uid="{1239F04C-BFE7-421A-8C2F-96A093C5B3ED}"/>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24180" xr:uid="{81E4F868-89DD-4B9F-A237-A6A45B5B0991}"/>
    <cellStyle name="Normal 2 4 2 3 3 5 2 2 3" xfId="16559" xr:uid="{5E63AE40-4BEE-42A7-A3EE-076DB9142192}"/>
    <cellStyle name="Normal 2 4 2 3 3 5 2 3" xfId="19967" xr:uid="{852B24A3-E79B-4E48-B07C-1230E924C56E}"/>
    <cellStyle name="Normal 2 4 2 3 3 5 2 4" xfId="12346" xr:uid="{6C1DF9C1-C71B-4773-A033-341C1AAD15AC}"/>
    <cellStyle name="Normal 2 4 2 3 3 5 3" xfId="5919" xr:uid="{00000000-0005-0000-0000-0000080F0000}"/>
    <cellStyle name="Normal 2 4 2 3 3 5 3 2" xfId="22035" xr:uid="{D5E09C98-5415-4769-8C48-FE53FAF95927}"/>
    <cellStyle name="Normal 2 4 2 3 3 5 3 3" xfId="14414" xr:uid="{3E9A7FAB-FE83-4F2A-9B0C-F62976661FED}"/>
    <cellStyle name="Normal 2 4 2 3 3 5 4" xfId="17822" xr:uid="{24C08022-7027-497E-9797-5E06FCD82921}"/>
    <cellStyle name="Normal 2 4 2 3 3 5 5" xfId="10201" xr:uid="{8D8E7A67-5E93-4FB1-8377-82E09CD1298E}"/>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24593" xr:uid="{DE3A87E2-32FE-46D4-B000-661D140C2915}"/>
    <cellStyle name="Normal 2 4 2 3 3 6 2 2 3" xfId="16972" xr:uid="{94495CBF-12D7-4FE6-A95B-69D548786539}"/>
    <cellStyle name="Normal 2 4 2 3 3 6 2 3" xfId="20380" xr:uid="{26C7CBD7-A63E-4DA6-ABD3-2D985A9952A7}"/>
    <cellStyle name="Normal 2 4 2 3 3 6 2 4" xfId="12759" xr:uid="{97FF26EC-1CDE-48F9-9372-840D06BA0A03}"/>
    <cellStyle name="Normal 2 4 2 3 3 6 3" xfId="6332" xr:uid="{00000000-0005-0000-0000-00000C0F0000}"/>
    <cellStyle name="Normal 2 4 2 3 3 6 3 2" xfId="22448" xr:uid="{54D139B3-0331-411F-ADDF-2D865049D28B}"/>
    <cellStyle name="Normal 2 4 2 3 3 6 3 3" xfId="14827" xr:uid="{B5C273F3-E428-49CC-914B-95561854B3D6}"/>
    <cellStyle name="Normal 2 4 2 3 3 6 4" xfId="18235" xr:uid="{3E2DBD78-3D2C-4369-924C-A17452049748}"/>
    <cellStyle name="Normal 2 4 2 3 3 6 5" xfId="10614" xr:uid="{35D6365C-0001-496B-80E7-539DDEFBA073}"/>
    <cellStyle name="Normal 2 4 2 3 3 7" xfId="2462" xr:uid="{00000000-0005-0000-0000-00000D0F0000}"/>
    <cellStyle name="Normal 2 4 2 3 3 7 2" xfId="6745" xr:uid="{00000000-0005-0000-0000-00000E0F0000}"/>
    <cellStyle name="Normal 2 4 2 3 3 7 2 2" xfId="22861" xr:uid="{244A4D72-C3C8-4AC0-9628-EB26FEFCE36E}"/>
    <cellStyle name="Normal 2 4 2 3 3 7 2 3" xfId="15240" xr:uid="{764A3CF6-FCF0-47CF-9CE7-0316B981C4A3}"/>
    <cellStyle name="Normal 2 4 2 3 3 7 3" xfId="18648" xr:uid="{2A0438F2-A7EA-4103-806C-0161B3226954}"/>
    <cellStyle name="Normal 2 4 2 3 3 7 4" xfId="11027" xr:uid="{8B83EE06-7657-4BF3-8A8A-3EFC2AB83D4D}"/>
    <cellStyle name="Normal 2 4 2 3 3 8" xfId="4679" xr:uid="{00000000-0005-0000-0000-00000F0F0000}"/>
    <cellStyle name="Normal 2 4 2 3 3 8 2" xfId="20796" xr:uid="{D976C1E1-F6C6-4308-9B97-55AA094CC089}"/>
    <cellStyle name="Normal 2 4 2 3 3 8 3" xfId="13175" xr:uid="{F49730DD-B59D-4693-96A2-5945FCD5D886}"/>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23356" xr:uid="{121CE544-A905-4892-9010-9EEA0E5E92F0}"/>
    <cellStyle name="Normal 2 4 2 3 4 2 2 2 3" xfId="15735" xr:uid="{DCFD5350-C8B1-4499-82C3-865B9F8D210B}"/>
    <cellStyle name="Normal 2 4 2 3 4 2 2 3" xfId="19143" xr:uid="{5C59B867-5551-4D9B-A248-576F3C7C6245}"/>
    <cellStyle name="Normal 2 4 2 3 4 2 2 4" xfId="11522" xr:uid="{578AA59C-9545-4DDB-90FE-543EA9FA32CF}"/>
    <cellStyle name="Normal 2 4 2 3 4 2 3" xfId="5095" xr:uid="{00000000-0005-0000-0000-0000140F0000}"/>
    <cellStyle name="Normal 2 4 2 3 4 2 3 2" xfId="21211" xr:uid="{9FC6E84A-F744-4BE0-96E0-FE32F9F0859F}"/>
    <cellStyle name="Normal 2 4 2 3 4 2 3 3" xfId="13590" xr:uid="{3BB87EEB-F32D-4E69-803F-A594D546E673}"/>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23769" xr:uid="{D5D456F6-6F37-4302-97C0-E02203AD3EDE}"/>
    <cellStyle name="Normal 2 4 2 3 4 3 2 2 3" xfId="16148" xr:uid="{2DB02B11-2E31-4CC0-9350-ABD1183E3795}"/>
    <cellStyle name="Normal 2 4 2 3 4 3 2 3" xfId="19556" xr:uid="{04E7B71D-EB6F-4AF1-89F0-9C1AA6823030}"/>
    <cellStyle name="Normal 2 4 2 3 4 3 2 4" xfId="11935" xr:uid="{6E39B898-88EF-4E5E-8F87-42DBF582A819}"/>
    <cellStyle name="Normal 2 4 2 3 4 3 3" xfId="5508" xr:uid="{00000000-0005-0000-0000-0000180F0000}"/>
    <cellStyle name="Normal 2 4 2 3 4 3 3 2" xfId="21624" xr:uid="{2BF1377C-0EBF-4F79-9686-ABB595AAB6DF}"/>
    <cellStyle name="Normal 2 4 2 3 4 3 3 3" xfId="14003" xr:uid="{2DBC9586-6A97-4132-AAD1-95F3C71676E9}"/>
    <cellStyle name="Normal 2 4 2 3 4 3 4" xfId="17411" xr:uid="{29E49128-CD43-4009-BD95-89FE61E716D7}"/>
    <cellStyle name="Normal 2 4 2 3 4 3 5" xfId="9790" xr:uid="{78DFAF62-4904-4538-A007-A48789D75CB4}"/>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24182" xr:uid="{5A949F76-DFB9-4D4F-B615-F5709740A33E}"/>
    <cellStyle name="Normal 2 4 2 3 4 4 2 2 3" xfId="16561" xr:uid="{629B1557-5596-4DF0-B244-C66B52C2D527}"/>
    <cellStyle name="Normal 2 4 2 3 4 4 2 3" xfId="19969" xr:uid="{DF94FCFB-D2DB-4814-91FB-64E2A7F14E0A}"/>
    <cellStyle name="Normal 2 4 2 3 4 4 2 4" xfId="12348" xr:uid="{CDC16353-B00B-4D63-A92F-4922A3FE1059}"/>
    <cellStyle name="Normal 2 4 2 3 4 4 3" xfId="5921" xr:uid="{00000000-0005-0000-0000-00001C0F0000}"/>
    <cellStyle name="Normal 2 4 2 3 4 4 3 2" xfId="22037" xr:uid="{5AA9D184-978C-4EDC-A77E-80D8536C8D54}"/>
    <cellStyle name="Normal 2 4 2 3 4 4 3 3" xfId="14416" xr:uid="{5F671860-91BE-4122-8F33-3BEBD06FE3F8}"/>
    <cellStyle name="Normal 2 4 2 3 4 4 4" xfId="17824" xr:uid="{657C7F96-9B8E-4EF1-A5D0-F2E3269B8D19}"/>
    <cellStyle name="Normal 2 4 2 3 4 4 5" xfId="10203" xr:uid="{47A4E38F-2F5C-41E2-8C0D-0E276B81BB1B}"/>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24595" xr:uid="{E2074457-D2FB-46D4-81DF-D5B9E4C06F3B}"/>
    <cellStyle name="Normal 2 4 2 3 4 5 2 2 3" xfId="16974" xr:uid="{6A9B462B-A329-4608-B407-D23D88022B27}"/>
    <cellStyle name="Normal 2 4 2 3 4 5 2 3" xfId="20382" xr:uid="{F6D238B3-671F-4A5C-BDD2-D2F5E457766B}"/>
    <cellStyle name="Normal 2 4 2 3 4 5 2 4" xfId="12761" xr:uid="{FE35AB6C-9D43-4B03-A403-4E4799573188}"/>
    <cellStyle name="Normal 2 4 2 3 4 5 3" xfId="6334" xr:uid="{00000000-0005-0000-0000-0000200F0000}"/>
    <cellStyle name="Normal 2 4 2 3 4 5 3 2" xfId="22450" xr:uid="{74DF7A56-CD28-42D5-BB03-B277E59B621E}"/>
    <cellStyle name="Normal 2 4 2 3 4 5 3 3" xfId="14829" xr:uid="{A44AD893-2D4B-4413-BFB7-D0DCA0F2B5F4}"/>
    <cellStyle name="Normal 2 4 2 3 4 5 4" xfId="18237" xr:uid="{C9C0D9B9-1822-450A-81BB-CF554808A664}"/>
    <cellStyle name="Normal 2 4 2 3 4 5 5" xfId="10616" xr:uid="{30C10E4E-5181-46FC-B4E2-FBCDAEF2BBE9}"/>
    <cellStyle name="Normal 2 4 2 3 4 6" xfId="2464" xr:uid="{00000000-0005-0000-0000-0000210F0000}"/>
    <cellStyle name="Normal 2 4 2 3 4 6 2" xfId="6747" xr:uid="{00000000-0005-0000-0000-0000220F0000}"/>
    <cellStyle name="Normal 2 4 2 3 4 6 2 2" xfId="22863" xr:uid="{19576AF6-2B8B-4DAB-A1CF-B8A88C9E40C3}"/>
    <cellStyle name="Normal 2 4 2 3 4 6 2 3" xfId="15242" xr:uid="{8E72FAD4-D393-48F9-937A-EDF05084A3B8}"/>
    <cellStyle name="Normal 2 4 2 3 4 6 3" xfId="18650" xr:uid="{A49E14A4-206D-4F88-B010-EA71E7BD1661}"/>
    <cellStyle name="Normal 2 4 2 3 4 6 4" xfId="11029" xr:uid="{1D8EED6F-7686-4D97-89A1-A2F7DF554A45}"/>
    <cellStyle name="Normal 2 4 2 3 4 7" xfId="4681" xr:uid="{00000000-0005-0000-0000-0000230F0000}"/>
    <cellStyle name="Normal 2 4 2 3 4 7 2" xfId="20798" xr:uid="{58FF9119-0128-4D82-80BD-5A333C9A2B7D}"/>
    <cellStyle name="Normal 2 4 2 3 4 7 3" xfId="13177" xr:uid="{8862A78F-3BE7-4BDF-8375-DD2189DCF519}"/>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23349" xr:uid="{A3405CD0-DC52-40C4-B5CC-967DE3201966}"/>
    <cellStyle name="Normal 2 4 2 3 5 2 2 3" xfId="15728" xr:uid="{D29FB80C-6B36-4E30-9C6B-8818541B059A}"/>
    <cellStyle name="Normal 2 4 2 3 5 2 3" xfId="19136" xr:uid="{09061BF4-60A9-4D0E-9EE7-5B0A95196694}"/>
    <cellStyle name="Normal 2 4 2 3 5 2 4" xfId="11515" xr:uid="{73EDBA86-ACF6-49D4-AC1E-6C21E1A8F93D}"/>
    <cellStyle name="Normal 2 4 2 3 5 3" xfId="5088" xr:uid="{00000000-0005-0000-0000-0000270F0000}"/>
    <cellStyle name="Normal 2 4 2 3 5 3 2" xfId="21204" xr:uid="{008BE02E-AA20-4024-8413-C9CC9EA0EDC1}"/>
    <cellStyle name="Normal 2 4 2 3 5 3 3" xfId="13583" xr:uid="{E8598533-062C-4AAF-AFDA-AFF291D53C2E}"/>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23762" xr:uid="{3D69B7C0-EFF6-4B85-90B0-965D534B657C}"/>
    <cellStyle name="Normal 2 4 2 3 6 2 2 3" xfId="16141" xr:uid="{1E2D1570-87F7-4CB6-9571-A1A847E64AAA}"/>
    <cellStyle name="Normal 2 4 2 3 6 2 3" xfId="19549" xr:uid="{A616C9EE-2913-494B-AC0C-09CD5B92A4BF}"/>
    <cellStyle name="Normal 2 4 2 3 6 2 4" xfId="11928" xr:uid="{AC4CD1C1-37EE-4F0A-9C74-99D1B23E8E9A}"/>
    <cellStyle name="Normal 2 4 2 3 6 3" xfId="5501" xr:uid="{00000000-0005-0000-0000-00002B0F0000}"/>
    <cellStyle name="Normal 2 4 2 3 6 3 2" xfId="21617" xr:uid="{554653B9-B1A5-4A21-A284-801A42E69BE5}"/>
    <cellStyle name="Normal 2 4 2 3 6 3 3" xfId="13996" xr:uid="{8972D082-C6AC-4E8C-97E6-34950ECC0999}"/>
    <cellStyle name="Normal 2 4 2 3 6 4" xfId="17404" xr:uid="{373FD914-0E00-4BD7-9F86-28943BD39D94}"/>
    <cellStyle name="Normal 2 4 2 3 6 5" xfId="9783" xr:uid="{BBB3E35E-0117-4134-A9AD-2AD1D9EFB252}"/>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24175" xr:uid="{3F889C01-C3DC-42FC-B3BC-3C3A882C0AA5}"/>
    <cellStyle name="Normal 2 4 2 3 7 2 2 3" xfId="16554" xr:uid="{39BFE1E9-7613-4C71-8CA3-5DB97FD55291}"/>
    <cellStyle name="Normal 2 4 2 3 7 2 3" xfId="19962" xr:uid="{CB28B688-4122-4448-A433-47562DFF114C}"/>
    <cellStyle name="Normal 2 4 2 3 7 2 4" xfId="12341" xr:uid="{635060EF-6204-493C-8F1A-5BD35952607D}"/>
    <cellStyle name="Normal 2 4 2 3 7 3" xfId="5914" xr:uid="{00000000-0005-0000-0000-00002F0F0000}"/>
    <cellStyle name="Normal 2 4 2 3 7 3 2" xfId="22030" xr:uid="{527552A1-7F64-49E9-8943-D43AC10E3E3F}"/>
    <cellStyle name="Normal 2 4 2 3 7 3 3" xfId="14409" xr:uid="{3CBC052A-8D2A-4556-A554-9264CA99C4D3}"/>
    <cellStyle name="Normal 2 4 2 3 7 4" xfId="17817" xr:uid="{5CC945B8-BCAC-4DA1-B1EA-E29DD26AE8B0}"/>
    <cellStyle name="Normal 2 4 2 3 7 5" xfId="10196" xr:uid="{7D2B0F82-7261-46B2-AD6C-310D7917D300}"/>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24588" xr:uid="{CF00475C-5E44-428A-B442-9216018FE46D}"/>
    <cellStyle name="Normal 2 4 2 3 8 2 2 3" xfId="16967" xr:uid="{9C8FE134-6028-4886-A820-C4FA1EF462D3}"/>
    <cellStyle name="Normal 2 4 2 3 8 2 3" xfId="20375" xr:uid="{C34EF12C-3AC4-402A-9CCC-A5CA2861C7FC}"/>
    <cellStyle name="Normal 2 4 2 3 8 2 4" xfId="12754" xr:uid="{6F536730-0010-4AC2-87F9-65F5E2B5764B}"/>
    <cellStyle name="Normal 2 4 2 3 8 3" xfId="6327" xr:uid="{00000000-0005-0000-0000-0000330F0000}"/>
    <cellStyle name="Normal 2 4 2 3 8 3 2" xfId="22443" xr:uid="{E377E6F1-FB25-4A32-8C6C-F069E623939B}"/>
    <cellStyle name="Normal 2 4 2 3 8 3 3" xfId="14822" xr:uid="{17EDFA54-A921-4B6C-A78E-51AFE5C44B7B}"/>
    <cellStyle name="Normal 2 4 2 3 8 4" xfId="18230" xr:uid="{D98CE11B-B8A9-4DBE-A429-95930DEEAC57}"/>
    <cellStyle name="Normal 2 4 2 3 8 5" xfId="10609" xr:uid="{C4B2E366-BB9F-41B0-B19A-7D8623668124}"/>
    <cellStyle name="Normal 2 4 2 3 9" xfId="2457" xr:uid="{00000000-0005-0000-0000-0000340F0000}"/>
    <cellStyle name="Normal 2 4 2 3 9 2" xfId="6740" xr:uid="{00000000-0005-0000-0000-0000350F0000}"/>
    <cellStyle name="Normal 2 4 2 3 9 2 2" xfId="22856" xr:uid="{407BB848-7A4E-4661-9602-7393F1EEEC2E}"/>
    <cellStyle name="Normal 2 4 2 3 9 2 3" xfId="15235" xr:uid="{71BF16FB-49D0-49B8-9105-5BD4EAC173D1}"/>
    <cellStyle name="Normal 2 4 2 3 9 3" xfId="18643" xr:uid="{58725F59-D165-4B2C-BF01-BABF13E9D847}"/>
    <cellStyle name="Normal 2 4 2 3 9 4" xfId="11022" xr:uid="{2FA16A18-8FE7-4F6C-A41F-AA99A2AD8B48}"/>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23359" xr:uid="{D7144DDE-38BE-49B9-B700-BA48F254EE16}"/>
    <cellStyle name="Normal 2 4 2 4 2 2 2 2 2 3" xfId="15738" xr:uid="{667BE978-A32B-4586-A606-6009F6D39A50}"/>
    <cellStyle name="Normal 2 4 2 4 2 2 2 2 3" xfId="19146" xr:uid="{B2298279-D351-4D35-9F05-116B6C5E616A}"/>
    <cellStyle name="Normal 2 4 2 4 2 2 2 2 4" xfId="11525" xr:uid="{DDCDED71-6F2A-4F46-A8F5-343565D5B27B}"/>
    <cellStyle name="Normal 2 4 2 4 2 2 2 3" xfId="5098" xr:uid="{00000000-0005-0000-0000-00003C0F0000}"/>
    <cellStyle name="Normal 2 4 2 4 2 2 2 3 2" xfId="21214" xr:uid="{CAEDF14F-F670-4854-9588-B3BD80C0E7E3}"/>
    <cellStyle name="Normal 2 4 2 4 2 2 2 3 3" xfId="13593" xr:uid="{38FAFEC4-A63A-46CC-89E6-B75E50B4783B}"/>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23772" xr:uid="{D35EAF7E-54B6-4EDF-B404-5D6C51B8AE8D}"/>
    <cellStyle name="Normal 2 4 2 4 2 2 3 2 2 3" xfId="16151" xr:uid="{EF8104E6-0CEA-426E-96B9-2E1EDB87D78F}"/>
    <cellStyle name="Normal 2 4 2 4 2 2 3 2 3" xfId="19559" xr:uid="{DD0A7D5E-18CE-4C92-8343-CD24D7607887}"/>
    <cellStyle name="Normal 2 4 2 4 2 2 3 2 4" xfId="11938" xr:uid="{E1A16482-115E-45CA-8264-0C7B28392060}"/>
    <cellStyle name="Normal 2 4 2 4 2 2 3 3" xfId="5511" xr:uid="{00000000-0005-0000-0000-0000400F0000}"/>
    <cellStyle name="Normal 2 4 2 4 2 2 3 3 2" xfId="21627" xr:uid="{45E6CE36-C747-4706-B6A8-7629FB08F329}"/>
    <cellStyle name="Normal 2 4 2 4 2 2 3 3 3" xfId="14006" xr:uid="{C06FBA67-F712-4CBA-B08A-4E219D9346C9}"/>
    <cellStyle name="Normal 2 4 2 4 2 2 3 4" xfId="17414" xr:uid="{B2899C68-2C42-4B27-9C80-BDF399C13419}"/>
    <cellStyle name="Normal 2 4 2 4 2 2 3 5" xfId="9793" xr:uid="{36D56138-8CA1-4C6E-B05C-8E307E1A30E4}"/>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24185" xr:uid="{D45F9B39-2937-407B-BEAE-005391363E9E}"/>
    <cellStyle name="Normal 2 4 2 4 2 2 4 2 2 3" xfId="16564" xr:uid="{DF4360B7-0944-4C8F-9BAF-9FCE509456B3}"/>
    <cellStyle name="Normal 2 4 2 4 2 2 4 2 3" xfId="19972" xr:uid="{6F45D641-9139-4EEB-AA5A-97A72F9FD3CD}"/>
    <cellStyle name="Normal 2 4 2 4 2 2 4 2 4" xfId="12351" xr:uid="{605EA68F-CD15-4821-9B59-986855FD9926}"/>
    <cellStyle name="Normal 2 4 2 4 2 2 4 3" xfId="5924" xr:uid="{00000000-0005-0000-0000-0000440F0000}"/>
    <cellStyle name="Normal 2 4 2 4 2 2 4 3 2" xfId="22040" xr:uid="{04FA7D06-58B6-41B5-8E34-B197ED9F340D}"/>
    <cellStyle name="Normal 2 4 2 4 2 2 4 3 3" xfId="14419" xr:uid="{7B6EB258-93CC-4A5D-AB75-03305BD86071}"/>
    <cellStyle name="Normal 2 4 2 4 2 2 4 4" xfId="17827" xr:uid="{B31D44CB-69AF-4361-ADC2-7C6D2D970E6A}"/>
    <cellStyle name="Normal 2 4 2 4 2 2 4 5" xfId="10206" xr:uid="{7061F37D-0E38-4E8B-8B98-1836D995B3BE}"/>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24598" xr:uid="{316858FF-6F16-4ED1-AB90-E43431BC818C}"/>
    <cellStyle name="Normal 2 4 2 4 2 2 5 2 2 3" xfId="16977" xr:uid="{8B32B6E2-73D1-44D9-A90B-4ABE1AFE0F43}"/>
    <cellStyle name="Normal 2 4 2 4 2 2 5 2 3" xfId="20385" xr:uid="{A37496C5-A279-4F31-9F88-DE335C56B789}"/>
    <cellStyle name="Normal 2 4 2 4 2 2 5 2 4" xfId="12764" xr:uid="{92F699D7-A661-4D3C-B805-64A159BA5FA2}"/>
    <cellStyle name="Normal 2 4 2 4 2 2 5 3" xfId="6337" xr:uid="{00000000-0005-0000-0000-0000480F0000}"/>
    <cellStyle name="Normal 2 4 2 4 2 2 5 3 2" xfId="22453" xr:uid="{B30D7E73-0C49-44B9-AA2E-8A8DD1FF5E3B}"/>
    <cellStyle name="Normal 2 4 2 4 2 2 5 3 3" xfId="14832" xr:uid="{69534787-19AD-4187-BAC1-3A991A533B83}"/>
    <cellStyle name="Normal 2 4 2 4 2 2 5 4" xfId="18240" xr:uid="{306813B9-921A-4A11-B767-CD1D8696406B}"/>
    <cellStyle name="Normal 2 4 2 4 2 2 5 5" xfId="10619" xr:uid="{60A20332-8E71-40B0-B48E-FA41E9FE5A7A}"/>
    <cellStyle name="Normal 2 4 2 4 2 2 6" xfId="2467" xr:uid="{00000000-0005-0000-0000-0000490F0000}"/>
    <cellStyle name="Normal 2 4 2 4 2 2 6 2" xfId="6750" xr:uid="{00000000-0005-0000-0000-00004A0F0000}"/>
    <cellStyle name="Normal 2 4 2 4 2 2 6 2 2" xfId="22866" xr:uid="{8556B2C0-0D58-4E99-937E-1AF4EF059701}"/>
    <cellStyle name="Normal 2 4 2 4 2 2 6 2 3" xfId="15245" xr:uid="{C1A4165C-1582-4AA4-98D1-68F49895DBE3}"/>
    <cellStyle name="Normal 2 4 2 4 2 2 6 3" xfId="18653" xr:uid="{B1559A77-7B89-4A25-A3BC-13DBCAF013E4}"/>
    <cellStyle name="Normal 2 4 2 4 2 2 6 4" xfId="11032" xr:uid="{939F7786-B16A-4F37-8754-E5A8D9A3535A}"/>
    <cellStyle name="Normal 2 4 2 4 2 2 7" xfId="4684" xr:uid="{00000000-0005-0000-0000-00004B0F0000}"/>
    <cellStyle name="Normal 2 4 2 4 2 2 7 2" xfId="20801" xr:uid="{6BA062E3-277E-44F6-826C-42AE6D5688FA}"/>
    <cellStyle name="Normal 2 4 2 4 2 2 7 3" xfId="13180" xr:uid="{D989AFD2-D090-455B-9A6A-73BEC5A5049C}"/>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23358" xr:uid="{601E315D-4B23-4F83-8480-554AC149C62A}"/>
    <cellStyle name="Normal 2 4 2 4 2 3 2 2 3" xfId="15737" xr:uid="{0A2EF9DC-3F6B-4DDC-BF43-677E30FC3725}"/>
    <cellStyle name="Normal 2 4 2 4 2 3 2 3" xfId="19145" xr:uid="{A542ED6A-1384-4BBB-9F9D-BDE4E34C016B}"/>
    <cellStyle name="Normal 2 4 2 4 2 3 2 4" xfId="11524" xr:uid="{C2A258DC-FE89-4057-A86F-2BFBBD030277}"/>
    <cellStyle name="Normal 2 4 2 4 2 3 3" xfId="5097" xr:uid="{00000000-0005-0000-0000-00004F0F0000}"/>
    <cellStyle name="Normal 2 4 2 4 2 3 3 2" xfId="21213" xr:uid="{A3E10ECC-5972-40B0-BA5E-FF399047A9CE}"/>
    <cellStyle name="Normal 2 4 2 4 2 3 3 3" xfId="13592" xr:uid="{8844A430-7D11-4392-A6A5-ABC1008DE2FA}"/>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23771" xr:uid="{33336884-452E-4CE1-8A1D-DF65ADF4686E}"/>
    <cellStyle name="Normal 2 4 2 4 2 4 2 2 3" xfId="16150" xr:uid="{97BC46BD-85B1-4527-878F-5D935956F323}"/>
    <cellStyle name="Normal 2 4 2 4 2 4 2 3" xfId="19558" xr:uid="{426F2DF1-7EA3-451F-A06A-D827B011948F}"/>
    <cellStyle name="Normal 2 4 2 4 2 4 2 4" xfId="11937" xr:uid="{B7CEC7EA-2812-42B1-B423-AA87E778DAD2}"/>
    <cellStyle name="Normal 2 4 2 4 2 4 3" xfId="5510" xr:uid="{00000000-0005-0000-0000-0000530F0000}"/>
    <cellStyle name="Normal 2 4 2 4 2 4 3 2" xfId="21626" xr:uid="{867E0DFF-5E3F-4745-A058-315BEA630C95}"/>
    <cellStyle name="Normal 2 4 2 4 2 4 3 3" xfId="14005" xr:uid="{24638F8F-D379-4E03-A939-3BD654051A91}"/>
    <cellStyle name="Normal 2 4 2 4 2 4 4" xfId="17413" xr:uid="{27211F18-01FE-4903-AC43-1EAEF902D233}"/>
    <cellStyle name="Normal 2 4 2 4 2 4 5" xfId="9792" xr:uid="{F00D2B9B-FC3D-458D-848A-CA6188006B9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24184" xr:uid="{C036FFE4-A045-43F0-808C-2F564277D742}"/>
    <cellStyle name="Normal 2 4 2 4 2 5 2 2 3" xfId="16563" xr:uid="{2A29ADC9-DE29-46B4-B814-55B8EC9DA6AD}"/>
    <cellStyle name="Normal 2 4 2 4 2 5 2 3" xfId="19971" xr:uid="{C7D24F7B-04CE-4340-880D-1015FA02844B}"/>
    <cellStyle name="Normal 2 4 2 4 2 5 2 4" xfId="12350" xr:uid="{6EA4B1B4-7D5C-43A0-AF90-6545738D6B62}"/>
    <cellStyle name="Normal 2 4 2 4 2 5 3" xfId="5923" xr:uid="{00000000-0005-0000-0000-0000570F0000}"/>
    <cellStyle name="Normal 2 4 2 4 2 5 3 2" xfId="22039" xr:uid="{9A4B011F-6C82-4541-9E3C-EC5C42CD28E6}"/>
    <cellStyle name="Normal 2 4 2 4 2 5 3 3" xfId="14418" xr:uid="{94728DEE-03B6-42F4-AD32-CEEB5C0BA1C0}"/>
    <cellStyle name="Normal 2 4 2 4 2 5 4" xfId="17826" xr:uid="{13C3C9DD-DE96-4EFE-BD90-1F30405886DA}"/>
    <cellStyle name="Normal 2 4 2 4 2 5 5" xfId="10205" xr:uid="{9CE5947A-C5E9-4392-9049-819D510729E3}"/>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24597" xr:uid="{18C726B7-93A8-4B29-AF37-241FD47E1383}"/>
    <cellStyle name="Normal 2 4 2 4 2 6 2 2 3" xfId="16976" xr:uid="{7D350F55-7DC6-4951-91DF-2774BC6CF421}"/>
    <cellStyle name="Normal 2 4 2 4 2 6 2 3" xfId="20384" xr:uid="{A3B24873-646F-4B29-A2F5-0BB3F8C13F05}"/>
    <cellStyle name="Normal 2 4 2 4 2 6 2 4" xfId="12763" xr:uid="{6244F449-159E-45A9-833D-626E2422667F}"/>
    <cellStyle name="Normal 2 4 2 4 2 6 3" xfId="6336" xr:uid="{00000000-0005-0000-0000-00005B0F0000}"/>
    <cellStyle name="Normal 2 4 2 4 2 6 3 2" xfId="22452" xr:uid="{F3024D25-3905-4579-87E9-1404CA8B3B89}"/>
    <cellStyle name="Normal 2 4 2 4 2 6 3 3" xfId="14831" xr:uid="{1C2449FE-DE5F-4D65-83B6-C7A709E7D46E}"/>
    <cellStyle name="Normal 2 4 2 4 2 6 4" xfId="18239" xr:uid="{7FC8643F-71AB-40EF-8B92-FF3DD21189A5}"/>
    <cellStyle name="Normal 2 4 2 4 2 6 5" xfId="10618" xr:uid="{B9962446-0A05-43AA-A8CE-6236BC2C0CFB}"/>
    <cellStyle name="Normal 2 4 2 4 2 7" xfId="2466" xr:uid="{00000000-0005-0000-0000-00005C0F0000}"/>
    <cellStyle name="Normal 2 4 2 4 2 7 2" xfId="6749" xr:uid="{00000000-0005-0000-0000-00005D0F0000}"/>
    <cellStyle name="Normal 2 4 2 4 2 7 2 2" xfId="22865" xr:uid="{58A1B71A-9218-41D9-8049-FE374D8EEC15}"/>
    <cellStyle name="Normal 2 4 2 4 2 7 2 3" xfId="15244" xr:uid="{87675D51-B78A-49BC-BD5D-5E5EB5A3FEAA}"/>
    <cellStyle name="Normal 2 4 2 4 2 7 3" xfId="18652" xr:uid="{4C77EB1C-7421-47BB-B579-939F42B5C0DD}"/>
    <cellStyle name="Normal 2 4 2 4 2 7 4" xfId="11031" xr:uid="{545320F6-F92A-4F6E-A93B-768408CC5820}"/>
    <cellStyle name="Normal 2 4 2 4 2 8" xfId="4683" xr:uid="{00000000-0005-0000-0000-00005E0F0000}"/>
    <cellStyle name="Normal 2 4 2 4 2 8 2" xfId="20800" xr:uid="{2FC50348-106F-4CC9-9D62-A052693BDDC4}"/>
    <cellStyle name="Normal 2 4 2 4 2 8 3" xfId="13179" xr:uid="{96DAD4C8-B274-4E7F-9FF3-3C47AA81C263}"/>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23360" xr:uid="{DAC683F3-9BE9-4D42-ADF8-8FA777E525F5}"/>
    <cellStyle name="Normal 2 4 2 4 3 2 2 2 3" xfId="15739" xr:uid="{0FE09F19-451C-406A-8352-B9B8C57A9D3D}"/>
    <cellStyle name="Normal 2 4 2 4 3 2 2 3" xfId="19147" xr:uid="{1A760047-CBF2-4543-9960-2860C20DBFEA}"/>
    <cellStyle name="Normal 2 4 2 4 3 2 2 4" xfId="11526" xr:uid="{F562C65C-DC11-4BBD-ABA3-E6CCDD7DB3C0}"/>
    <cellStyle name="Normal 2 4 2 4 3 2 3" xfId="5099" xr:uid="{00000000-0005-0000-0000-0000630F0000}"/>
    <cellStyle name="Normal 2 4 2 4 3 2 3 2" xfId="21215" xr:uid="{8AAF2C5F-2C67-40CC-8316-3F09E4AD03A9}"/>
    <cellStyle name="Normal 2 4 2 4 3 2 3 3" xfId="13594" xr:uid="{90226668-FD97-4C26-83B3-86D577245B7C}"/>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23773" xr:uid="{4F33266A-44A0-470A-B1D4-6867B9BF0008}"/>
    <cellStyle name="Normal 2 4 2 4 3 3 2 2 3" xfId="16152" xr:uid="{F0206A6D-289E-46E9-8DA4-B432BFDD2C15}"/>
    <cellStyle name="Normal 2 4 2 4 3 3 2 3" xfId="19560" xr:uid="{60A9D969-601B-46A7-8CD4-8B8019EA9DB7}"/>
    <cellStyle name="Normal 2 4 2 4 3 3 2 4" xfId="11939" xr:uid="{F67F5962-A8E5-46B7-98E4-21C275BC1149}"/>
    <cellStyle name="Normal 2 4 2 4 3 3 3" xfId="5512" xr:uid="{00000000-0005-0000-0000-0000670F0000}"/>
    <cellStyle name="Normal 2 4 2 4 3 3 3 2" xfId="21628" xr:uid="{07058B79-E0BA-4188-8AE0-1A42C4A8B7CB}"/>
    <cellStyle name="Normal 2 4 2 4 3 3 3 3" xfId="14007" xr:uid="{80EECBD2-AA6D-49A1-B1E7-C6C747DA8F0D}"/>
    <cellStyle name="Normal 2 4 2 4 3 3 4" xfId="17415" xr:uid="{77BB6DE6-103C-4043-BF00-36A40ABDE8D7}"/>
    <cellStyle name="Normal 2 4 2 4 3 3 5" xfId="9794" xr:uid="{BCB648BF-BCE5-493D-8B55-6CA4F7760AAE}"/>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24186" xr:uid="{A1FB2C2B-2945-41E7-A751-AF91EB68169C}"/>
    <cellStyle name="Normal 2 4 2 4 3 4 2 2 3" xfId="16565" xr:uid="{0E014A2E-E58D-400A-A7C8-4C4325800599}"/>
    <cellStyle name="Normal 2 4 2 4 3 4 2 3" xfId="19973" xr:uid="{A6870BAF-4672-4711-B830-FFEC76C1BAD4}"/>
    <cellStyle name="Normal 2 4 2 4 3 4 2 4" xfId="12352" xr:uid="{B7956A77-657E-4202-BF8D-E9882EF69A66}"/>
    <cellStyle name="Normal 2 4 2 4 3 4 3" xfId="5925" xr:uid="{00000000-0005-0000-0000-00006B0F0000}"/>
    <cellStyle name="Normal 2 4 2 4 3 4 3 2" xfId="22041" xr:uid="{5715629F-CCF7-419C-901A-42FAEF0175CC}"/>
    <cellStyle name="Normal 2 4 2 4 3 4 3 3" xfId="14420" xr:uid="{EE8020BE-27A6-4E7E-8F9C-E207568BC727}"/>
    <cellStyle name="Normal 2 4 2 4 3 4 4" xfId="17828" xr:uid="{47C0B17F-EE47-475C-846F-9F42D52647AA}"/>
    <cellStyle name="Normal 2 4 2 4 3 4 5" xfId="10207" xr:uid="{C0D6E91D-DF82-4054-B7C8-76329529CB68}"/>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24599" xr:uid="{C641406A-3A5D-4A12-8F44-19A09D5E3F7E}"/>
    <cellStyle name="Normal 2 4 2 4 3 5 2 2 3" xfId="16978" xr:uid="{BE3E5F41-E8AD-4DCD-B4E7-68DD4D539723}"/>
    <cellStyle name="Normal 2 4 2 4 3 5 2 3" xfId="20386" xr:uid="{E2BE2A3D-ABA6-4DD8-B28C-B943EC05F740}"/>
    <cellStyle name="Normal 2 4 2 4 3 5 2 4" xfId="12765" xr:uid="{F2804B4F-F469-4649-BB02-EE5AFEC41395}"/>
    <cellStyle name="Normal 2 4 2 4 3 5 3" xfId="6338" xr:uid="{00000000-0005-0000-0000-00006F0F0000}"/>
    <cellStyle name="Normal 2 4 2 4 3 5 3 2" xfId="22454" xr:uid="{E9BEF06C-BCC4-419F-B92C-FA62A98EBF86}"/>
    <cellStyle name="Normal 2 4 2 4 3 5 3 3" xfId="14833" xr:uid="{CF3C29C5-4F48-42B1-9766-124B77FAA65B}"/>
    <cellStyle name="Normal 2 4 2 4 3 5 4" xfId="18241" xr:uid="{D7CAAD89-B39B-4E37-9944-C630F6DEA079}"/>
    <cellStyle name="Normal 2 4 2 4 3 5 5" xfId="10620" xr:uid="{24150FED-42E6-43C8-A6A1-0728011AD84E}"/>
    <cellStyle name="Normal 2 4 2 4 3 6" xfId="2468" xr:uid="{00000000-0005-0000-0000-0000700F0000}"/>
    <cellStyle name="Normal 2 4 2 4 3 6 2" xfId="6751" xr:uid="{00000000-0005-0000-0000-0000710F0000}"/>
    <cellStyle name="Normal 2 4 2 4 3 6 2 2" xfId="22867" xr:uid="{9974DD06-FB27-4973-9949-546F8539EF14}"/>
    <cellStyle name="Normal 2 4 2 4 3 6 2 3" xfId="15246" xr:uid="{3A7137C6-1E6F-4A86-817F-57B617BA2ED0}"/>
    <cellStyle name="Normal 2 4 2 4 3 6 3" xfId="18654" xr:uid="{D634E576-6306-41C9-837F-EBC8E7D05293}"/>
    <cellStyle name="Normal 2 4 2 4 3 6 4" xfId="11033" xr:uid="{CF5DD819-78D7-4540-918E-CFDB60B64D23}"/>
    <cellStyle name="Normal 2 4 2 4 3 7" xfId="4685" xr:uid="{00000000-0005-0000-0000-0000720F0000}"/>
    <cellStyle name="Normal 2 4 2 4 3 7 2" xfId="20802" xr:uid="{6295EE10-0D49-4B21-806C-413CEBF12A7A}"/>
    <cellStyle name="Normal 2 4 2 4 3 7 3" xfId="13181" xr:uid="{0672F227-A474-41E8-8600-C9989B58A443}"/>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23357" xr:uid="{5EFCBBC9-6851-4848-979F-5FAA199A2529}"/>
    <cellStyle name="Normal 2 4 2 4 4 2 2 3" xfId="15736" xr:uid="{B39C7A0A-67DD-4361-B8C5-221FF5F546CC}"/>
    <cellStyle name="Normal 2 4 2 4 4 2 3" xfId="19144" xr:uid="{96781B8A-F5CD-485F-A503-3EC0EBEFBA0E}"/>
    <cellStyle name="Normal 2 4 2 4 4 2 4" xfId="11523" xr:uid="{7EC06DF4-7310-4A69-84EE-01F6DAF56163}"/>
    <cellStyle name="Normal 2 4 2 4 4 3" xfId="5096" xr:uid="{00000000-0005-0000-0000-0000760F0000}"/>
    <cellStyle name="Normal 2 4 2 4 4 3 2" xfId="21212" xr:uid="{719F362E-2803-4F76-B39A-C15795DF1550}"/>
    <cellStyle name="Normal 2 4 2 4 4 3 3" xfId="13591" xr:uid="{2723F03B-ECC1-495B-AC8E-CA00398386EC}"/>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23770" xr:uid="{792EA619-E515-4451-86B8-E95A309FB62E}"/>
    <cellStyle name="Normal 2 4 2 4 5 2 2 3" xfId="16149" xr:uid="{01810682-AC95-496E-8702-425628CE9650}"/>
    <cellStyle name="Normal 2 4 2 4 5 2 3" xfId="19557" xr:uid="{943204E0-D8A9-4DCF-BDB1-F8B5C14BE679}"/>
    <cellStyle name="Normal 2 4 2 4 5 2 4" xfId="11936" xr:uid="{E223B05C-BCBE-4878-966E-00632A261AE0}"/>
    <cellStyle name="Normal 2 4 2 4 5 3" xfId="5509" xr:uid="{00000000-0005-0000-0000-00007A0F0000}"/>
    <cellStyle name="Normal 2 4 2 4 5 3 2" xfId="21625" xr:uid="{989579DE-1ADB-4759-90F4-9C74F3DD415B}"/>
    <cellStyle name="Normal 2 4 2 4 5 3 3" xfId="14004" xr:uid="{2E7F56B8-86F7-4928-8AC0-FABB413F038D}"/>
    <cellStyle name="Normal 2 4 2 4 5 4" xfId="17412" xr:uid="{8AB2CD26-E604-4376-AFC1-6EDE01B5B89A}"/>
    <cellStyle name="Normal 2 4 2 4 5 5" xfId="9791" xr:uid="{15010F6F-7697-4188-9641-2EF03B08D260}"/>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24183" xr:uid="{CDF2A529-C6E1-4BA5-8DEE-A09230313521}"/>
    <cellStyle name="Normal 2 4 2 4 6 2 2 3" xfId="16562" xr:uid="{28BFA4A2-006E-4FEA-BB26-531FF31B4C6A}"/>
    <cellStyle name="Normal 2 4 2 4 6 2 3" xfId="19970" xr:uid="{919A6824-D1FE-4ED4-911F-BDDF8C8612E7}"/>
    <cellStyle name="Normal 2 4 2 4 6 2 4" xfId="12349" xr:uid="{B74BCCA3-3A01-4E97-A7C5-FAADCC16C99B}"/>
    <cellStyle name="Normal 2 4 2 4 6 3" xfId="5922" xr:uid="{00000000-0005-0000-0000-00007E0F0000}"/>
    <cellStyle name="Normal 2 4 2 4 6 3 2" xfId="22038" xr:uid="{A9D0B3AF-4B98-4186-B9F3-8C3602E4ECC8}"/>
    <cellStyle name="Normal 2 4 2 4 6 3 3" xfId="14417" xr:uid="{F7CD82A5-C2B0-4E45-94A7-4D2B08203876}"/>
    <cellStyle name="Normal 2 4 2 4 6 4" xfId="17825" xr:uid="{A6222042-163D-4DE0-A18E-347EE3B800D0}"/>
    <cellStyle name="Normal 2 4 2 4 6 5" xfId="10204" xr:uid="{2829C0DE-2BD8-4B0B-862C-E9844CD2C4D7}"/>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24596" xr:uid="{D55E5389-A1F6-4DCB-9D2A-F25373863156}"/>
    <cellStyle name="Normal 2 4 2 4 7 2 2 3" xfId="16975" xr:uid="{9DAAB5EA-3876-4F5A-9F07-C537CA38DF64}"/>
    <cellStyle name="Normal 2 4 2 4 7 2 3" xfId="20383" xr:uid="{43464F19-FB1D-4E68-A295-4EDC364F1F33}"/>
    <cellStyle name="Normal 2 4 2 4 7 2 4" xfId="12762" xr:uid="{4C3E2FB7-F4E9-4C83-89B9-B93B0AC94E64}"/>
    <cellStyle name="Normal 2 4 2 4 7 3" xfId="6335" xr:uid="{00000000-0005-0000-0000-0000820F0000}"/>
    <cellStyle name="Normal 2 4 2 4 7 3 2" xfId="22451" xr:uid="{639D7F81-589B-4E32-BD83-7463B2862CA2}"/>
    <cellStyle name="Normal 2 4 2 4 7 3 3" xfId="14830" xr:uid="{79316E9B-5FFA-4D0E-8D41-30FF7C0A783D}"/>
    <cellStyle name="Normal 2 4 2 4 7 4" xfId="18238" xr:uid="{FF54EBE2-E49E-4D66-8730-7620FFEEE1B2}"/>
    <cellStyle name="Normal 2 4 2 4 7 5" xfId="10617" xr:uid="{4BB11166-01EB-4D04-9FA5-0EB65C97E062}"/>
    <cellStyle name="Normal 2 4 2 4 8" xfId="2465" xr:uid="{00000000-0005-0000-0000-0000830F0000}"/>
    <cellStyle name="Normal 2 4 2 4 8 2" xfId="6748" xr:uid="{00000000-0005-0000-0000-0000840F0000}"/>
    <cellStyle name="Normal 2 4 2 4 8 2 2" xfId="22864" xr:uid="{6369CA19-A21A-4055-8024-3AD33354925A}"/>
    <cellStyle name="Normal 2 4 2 4 8 2 3" xfId="15243" xr:uid="{2F5853B6-A50F-4C4B-B473-B81A76DA960C}"/>
    <cellStyle name="Normal 2 4 2 4 8 3" xfId="18651" xr:uid="{2D3838BF-646F-4E75-BE44-C9259C5D60A6}"/>
    <cellStyle name="Normal 2 4 2 4 8 4" xfId="11030" xr:uid="{C62EBD83-4FF4-4206-9B59-A2B7C8EB09F1}"/>
    <cellStyle name="Normal 2 4 2 4 9" xfId="4682" xr:uid="{00000000-0005-0000-0000-0000850F0000}"/>
    <cellStyle name="Normal 2 4 2 4 9 2" xfId="20799" xr:uid="{DAD872D1-99CD-495B-8CCD-07745EB12B10}"/>
    <cellStyle name="Normal 2 4 2 4 9 3" xfId="13178" xr:uid="{64D07C56-6ED6-40C4-B469-B4A0EC4A261B}"/>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23362" xr:uid="{80785F8D-72CE-431B-A241-34843621F039}"/>
    <cellStyle name="Normal 2 4 2 5 2 2 2 2 3" xfId="15741" xr:uid="{39AA2571-97B8-4884-A25F-BBA4C4A032EE}"/>
    <cellStyle name="Normal 2 4 2 5 2 2 2 3" xfId="19149" xr:uid="{8D2889E0-229A-45F8-BAE0-6853786A6BF0}"/>
    <cellStyle name="Normal 2 4 2 5 2 2 2 4" xfId="11528" xr:uid="{7F61ABBF-6D7D-4DBA-8522-B43108890DA6}"/>
    <cellStyle name="Normal 2 4 2 5 2 2 3" xfId="5101" xr:uid="{00000000-0005-0000-0000-00008B0F0000}"/>
    <cellStyle name="Normal 2 4 2 5 2 2 3 2" xfId="21217" xr:uid="{FDE89860-4E88-46C3-B4D3-3525F8C75C2E}"/>
    <cellStyle name="Normal 2 4 2 5 2 2 3 3" xfId="13596" xr:uid="{7344E479-D6A9-4BF3-A8ED-D108261A19AF}"/>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23775" xr:uid="{BA1DF14B-17F5-4E29-8622-66BF46514B76}"/>
    <cellStyle name="Normal 2 4 2 5 2 3 2 2 3" xfId="16154" xr:uid="{95550715-82C7-41BB-B7B3-035570577F69}"/>
    <cellStyle name="Normal 2 4 2 5 2 3 2 3" xfId="19562" xr:uid="{17D061CA-CB61-445F-8FED-ED8D76E305D1}"/>
    <cellStyle name="Normal 2 4 2 5 2 3 2 4" xfId="11941" xr:uid="{525A3BF3-B774-41E2-B013-B35E2F248EDA}"/>
    <cellStyle name="Normal 2 4 2 5 2 3 3" xfId="5514" xr:uid="{00000000-0005-0000-0000-00008F0F0000}"/>
    <cellStyle name="Normal 2 4 2 5 2 3 3 2" xfId="21630" xr:uid="{3D91964D-93C7-46CB-B39C-0486B0619094}"/>
    <cellStyle name="Normal 2 4 2 5 2 3 3 3" xfId="14009" xr:uid="{4EC9C695-B71E-4638-ACA4-7AD32610BEF3}"/>
    <cellStyle name="Normal 2 4 2 5 2 3 4" xfId="17417" xr:uid="{14A92E95-F4B8-4E3A-9474-0BDEE8E9530A}"/>
    <cellStyle name="Normal 2 4 2 5 2 3 5" xfId="9796" xr:uid="{D1D536AD-9A73-4A78-987A-74ADCCE56652}"/>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24188" xr:uid="{66283ECD-FA7C-4210-801A-330ACB2010A3}"/>
    <cellStyle name="Normal 2 4 2 5 2 4 2 2 3" xfId="16567" xr:uid="{E576B1F1-9C09-486A-AD80-8EFEB6894129}"/>
    <cellStyle name="Normal 2 4 2 5 2 4 2 3" xfId="19975" xr:uid="{79E7FCDA-B45B-4CCD-8D35-0663016C8BF7}"/>
    <cellStyle name="Normal 2 4 2 5 2 4 2 4" xfId="12354" xr:uid="{71F0DAD9-0F57-46D1-B451-A52905C63BA3}"/>
    <cellStyle name="Normal 2 4 2 5 2 4 3" xfId="5927" xr:uid="{00000000-0005-0000-0000-0000930F0000}"/>
    <cellStyle name="Normal 2 4 2 5 2 4 3 2" xfId="22043" xr:uid="{F812BAA6-DFC6-4C52-B124-5E40FF682907}"/>
    <cellStyle name="Normal 2 4 2 5 2 4 3 3" xfId="14422" xr:uid="{28E2B10C-486A-45A0-B73E-FC34CD99900F}"/>
    <cellStyle name="Normal 2 4 2 5 2 4 4" xfId="17830" xr:uid="{1223C38D-492E-4DB4-AE59-BD1ABA528C22}"/>
    <cellStyle name="Normal 2 4 2 5 2 4 5" xfId="10209" xr:uid="{A36CB37F-E584-46B4-A6F3-222C602B6AC5}"/>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24601" xr:uid="{56448C5D-6EBB-492E-93F4-01BADE3C5716}"/>
    <cellStyle name="Normal 2 4 2 5 2 5 2 2 3" xfId="16980" xr:uid="{B779AAAF-BCFC-4200-80A0-29C192021B24}"/>
    <cellStyle name="Normal 2 4 2 5 2 5 2 3" xfId="20388" xr:uid="{6BDD1207-474A-4DB1-8CC9-8D9062667602}"/>
    <cellStyle name="Normal 2 4 2 5 2 5 2 4" xfId="12767" xr:uid="{9FA451FD-4E05-40CF-B640-61F9BF778240}"/>
    <cellStyle name="Normal 2 4 2 5 2 5 3" xfId="6340" xr:uid="{00000000-0005-0000-0000-0000970F0000}"/>
    <cellStyle name="Normal 2 4 2 5 2 5 3 2" xfId="22456" xr:uid="{E706FE4E-9D3B-4249-95D1-546CCC5A4773}"/>
    <cellStyle name="Normal 2 4 2 5 2 5 3 3" xfId="14835" xr:uid="{54DC4A1C-AF3A-4622-BBB5-300184C81A0D}"/>
    <cellStyle name="Normal 2 4 2 5 2 5 4" xfId="18243" xr:uid="{313C6F6B-7E1B-45C7-8558-28634AD14B48}"/>
    <cellStyle name="Normal 2 4 2 5 2 5 5" xfId="10622" xr:uid="{04E8A694-D51F-4E2F-8E98-E7064E291811}"/>
    <cellStyle name="Normal 2 4 2 5 2 6" xfId="2470" xr:uid="{00000000-0005-0000-0000-0000980F0000}"/>
    <cellStyle name="Normal 2 4 2 5 2 6 2" xfId="6753" xr:uid="{00000000-0005-0000-0000-0000990F0000}"/>
    <cellStyle name="Normal 2 4 2 5 2 6 2 2" xfId="22869" xr:uid="{5FD4A676-56B3-449A-BF88-C5D58CBB9446}"/>
    <cellStyle name="Normal 2 4 2 5 2 6 2 3" xfId="15248" xr:uid="{B3BE052F-73F0-4323-807B-0B7C9484DDA3}"/>
    <cellStyle name="Normal 2 4 2 5 2 6 3" xfId="18656" xr:uid="{C657D8EB-79EF-42F3-9C30-B9E86E0B1408}"/>
    <cellStyle name="Normal 2 4 2 5 2 6 4" xfId="11035" xr:uid="{3CB5EC98-EF98-446F-B573-8ED3223FF627}"/>
    <cellStyle name="Normal 2 4 2 5 2 7" xfId="4687" xr:uid="{00000000-0005-0000-0000-00009A0F0000}"/>
    <cellStyle name="Normal 2 4 2 5 2 7 2" xfId="20804" xr:uid="{34FCDEA5-91FA-4651-B3DA-A8FA5E060FB0}"/>
    <cellStyle name="Normal 2 4 2 5 2 7 3" xfId="13183" xr:uid="{E2D68D2F-CD37-4F58-8771-FB1C22EC9F06}"/>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23361" xr:uid="{B8B8A608-0EBF-49CB-B032-5A4A7905962E}"/>
    <cellStyle name="Normal 2 4 2 5 3 2 2 3" xfId="15740" xr:uid="{A0A08C4B-A3D6-4F35-BF1F-840792DEBB42}"/>
    <cellStyle name="Normal 2 4 2 5 3 2 3" xfId="19148" xr:uid="{D1BE9A3A-6919-4BFC-B9A6-5F85FCC915F2}"/>
    <cellStyle name="Normal 2 4 2 5 3 2 4" xfId="11527" xr:uid="{4B0325E3-12FC-44F7-95CA-FCE11531F89B}"/>
    <cellStyle name="Normal 2 4 2 5 3 3" xfId="5100" xr:uid="{00000000-0005-0000-0000-00009E0F0000}"/>
    <cellStyle name="Normal 2 4 2 5 3 3 2" xfId="21216" xr:uid="{D546C055-717E-4652-95FB-DB9D797F21DE}"/>
    <cellStyle name="Normal 2 4 2 5 3 3 3" xfId="13595" xr:uid="{1C204C47-69EF-42C0-BAB6-7E2B98F2FA35}"/>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23774" xr:uid="{3A82B170-2B87-4F96-9B12-467AA841E884}"/>
    <cellStyle name="Normal 2 4 2 5 4 2 2 3" xfId="16153" xr:uid="{CD0AA562-3AEB-44C5-B757-F4D0E323F535}"/>
    <cellStyle name="Normal 2 4 2 5 4 2 3" xfId="19561" xr:uid="{94137CCB-C63A-4A74-B92D-E8C190AC7114}"/>
    <cellStyle name="Normal 2 4 2 5 4 2 4" xfId="11940" xr:uid="{52CFCF86-11A9-40C3-9E93-79936DFE7A8E}"/>
    <cellStyle name="Normal 2 4 2 5 4 3" xfId="5513" xr:uid="{00000000-0005-0000-0000-0000A20F0000}"/>
    <cellStyle name="Normal 2 4 2 5 4 3 2" xfId="21629" xr:uid="{FB8E9336-AE27-42CA-833F-BAB0CF376547}"/>
    <cellStyle name="Normal 2 4 2 5 4 3 3" xfId="14008" xr:uid="{796C9146-8B8A-46CC-8DEB-75FC81C21A67}"/>
    <cellStyle name="Normal 2 4 2 5 4 4" xfId="17416" xr:uid="{435019EE-7BA4-4D82-B30A-79F86E0A5CCD}"/>
    <cellStyle name="Normal 2 4 2 5 4 5" xfId="9795" xr:uid="{1C13D9D3-D4D3-4AE6-B2A8-5502B7035CA6}"/>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24187" xr:uid="{AE78BB26-D3AF-4B45-95CB-7B5DEE375007}"/>
    <cellStyle name="Normal 2 4 2 5 5 2 2 3" xfId="16566" xr:uid="{5C780254-18C0-4A9F-AAF3-429C1AD48824}"/>
    <cellStyle name="Normal 2 4 2 5 5 2 3" xfId="19974" xr:uid="{8FF50C35-0AAE-4F30-8FCB-994A70D1B569}"/>
    <cellStyle name="Normal 2 4 2 5 5 2 4" xfId="12353" xr:uid="{AC2AAA95-F140-4F2E-8D08-6DD16B1E953F}"/>
    <cellStyle name="Normal 2 4 2 5 5 3" xfId="5926" xr:uid="{00000000-0005-0000-0000-0000A60F0000}"/>
    <cellStyle name="Normal 2 4 2 5 5 3 2" xfId="22042" xr:uid="{BE23B4A7-E0DA-4E0D-91E5-9D539778164C}"/>
    <cellStyle name="Normal 2 4 2 5 5 3 3" xfId="14421" xr:uid="{80782236-5E13-455D-BD91-9FBA8927DD07}"/>
    <cellStyle name="Normal 2 4 2 5 5 4" xfId="17829" xr:uid="{AAB97E08-0167-4B10-AA71-AC6824461FF6}"/>
    <cellStyle name="Normal 2 4 2 5 5 5" xfId="10208" xr:uid="{37F56761-836D-4EC3-BC52-C3FB09F9006D}"/>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24600" xr:uid="{8AC288F4-02E2-49DC-94AE-4A90E4D69F09}"/>
    <cellStyle name="Normal 2 4 2 5 6 2 2 3" xfId="16979" xr:uid="{2ABE19DA-78B0-4830-9C59-F61E99FE52C9}"/>
    <cellStyle name="Normal 2 4 2 5 6 2 3" xfId="20387" xr:uid="{FB2CE19F-F7D1-4435-9A53-5C67CA916BDD}"/>
    <cellStyle name="Normal 2 4 2 5 6 2 4" xfId="12766" xr:uid="{6A80B0A3-7AEB-4084-B0B2-5FCB73BFC41F}"/>
    <cellStyle name="Normal 2 4 2 5 6 3" xfId="6339" xr:uid="{00000000-0005-0000-0000-0000AA0F0000}"/>
    <cellStyle name="Normal 2 4 2 5 6 3 2" xfId="22455" xr:uid="{D56BF56B-6E7F-42DC-8722-B9603D9048C9}"/>
    <cellStyle name="Normal 2 4 2 5 6 3 3" xfId="14834" xr:uid="{4F9D1126-7731-4A9E-A49D-28BBE3DE5393}"/>
    <cellStyle name="Normal 2 4 2 5 6 4" xfId="18242" xr:uid="{6C7907BF-8E85-440F-9159-CD9BD5F24756}"/>
    <cellStyle name="Normal 2 4 2 5 6 5" xfId="10621" xr:uid="{3DD456BC-3C2F-427E-A81A-BB69708DDE11}"/>
    <cellStyle name="Normal 2 4 2 5 7" xfId="2469" xr:uid="{00000000-0005-0000-0000-0000AB0F0000}"/>
    <cellStyle name="Normal 2 4 2 5 7 2" xfId="6752" xr:uid="{00000000-0005-0000-0000-0000AC0F0000}"/>
    <cellStyle name="Normal 2 4 2 5 7 2 2" xfId="22868" xr:uid="{B26E0053-467F-46DF-AABC-8D2FE85B7892}"/>
    <cellStyle name="Normal 2 4 2 5 7 2 3" xfId="15247" xr:uid="{2584A930-9599-46B3-9AF8-7DB36C391A01}"/>
    <cellStyle name="Normal 2 4 2 5 7 3" xfId="18655" xr:uid="{7A17F0D3-27C9-4A47-9771-3E59E463B76B}"/>
    <cellStyle name="Normal 2 4 2 5 7 4" xfId="11034" xr:uid="{EB6346A9-E44B-4D63-81DD-2A26CD98CED5}"/>
    <cellStyle name="Normal 2 4 2 5 8" xfId="4686" xr:uid="{00000000-0005-0000-0000-0000AD0F0000}"/>
    <cellStyle name="Normal 2 4 2 5 8 2" xfId="20803" xr:uid="{6855D396-3F34-45CB-B9E5-BDFD84C11DBE}"/>
    <cellStyle name="Normal 2 4 2 5 8 3" xfId="13182" xr:uid="{986B8E42-04F2-4663-AD0C-B02B509BFF2F}"/>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23363" xr:uid="{4144F797-0668-4828-BA87-B164D654A881}"/>
    <cellStyle name="Normal 2 4 2 6 2 2 2 3" xfId="15742" xr:uid="{E29A182E-73C8-4556-80E4-D9C9DEA6B915}"/>
    <cellStyle name="Normal 2 4 2 6 2 2 3" xfId="19150" xr:uid="{3ACDF664-820F-47E3-AA9C-AC1005ECBE7B}"/>
    <cellStyle name="Normal 2 4 2 6 2 2 4" xfId="11529" xr:uid="{9FCBA553-E1A8-489D-977C-28C467797375}"/>
    <cellStyle name="Normal 2 4 2 6 2 3" xfId="5102" xr:uid="{00000000-0005-0000-0000-0000B20F0000}"/>
    <cellStyle name="Normal 2 4 2 6 2 3 2" xfId="21218" xr:uid="{E73BFECB-A0BD-4128-802B-5AD5CFFDAAF0}"/>
    <cellStyle name="Normal 2 4 2 6 2 3 3" xfId="13597" xr:uid="{D5D713D4-B550-4BAE-AC50-446A93EB7776}"/>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23776" xr:uid="{65C2A5C7-AEED-475E-B0DB-BE1C95E4FF8C}"/>
    <cellStyle name="Normal 2 4 2 6 3 2 2 3" xfId="16155" xr:uid="{D811E672-FA6C-4160-8F58-14BE37D408FC}"/>
    <cellStyle name="Normal 2 4 2 6 3 2 3" xfId="19563" xr:uid="{D794E8B8-BC1C-4F98-ABF8-920C9FB41681}"/>
    <cellStyle name="Normal 2 4 2 6 3 2 4" xfId="11942" xr:uid="{3B0A2526-CAF2-4484-9A5C-05AE69C7C7E1}"/>
    <cellStyle name="Normal 2 4 2 6 3 3" xfId="5515" xr:uid="{00000000-0005-0000-0000-0000B60F0000}"/>
    <cellStyle name="Normal 2 4 2 6 3 3 2" xfId="21631" xr:uid="{01C405E1-0238-4FE0-8C45-47477011BF08}"/>
    <cellStyle name="Normal 2 4 2 6 3 3 3" xfId="14010" xr:uid="{AF99E97C-5E24-4E47-9216-D3A83DDE71F4}"/>
    <cellStyle name="Normal 2 4 2 6 3 4" xfId="17418" xr:uid="{8B5A892F-B942-4482-AC4C-C798D8734853}"/>
    <cellStyle name="Normal 2 4 2 6 3 5" xfId="9797" xr:uid="{CADE0051-B2F6-48BE-B96F-C2C4FEDCCA14}"/>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24189" xr:uid="{14044D55-7DC3-45A8-8206-9F4B724F7CD0}"/>
    <cellStyle name="Normal 2 4 2 6 4 2 2 3" xfId="16568" xr:uid="{5A887665-12D7-4B56-8CAD-5BF02A7D30BD}"/>
    <cellStyle name="Normal 2 4 2 6 4 2 3" xfId="19976" xr:uid="{F3BED489-32D0-4F1E-8B4F-2639A95F5D0B}"/>
    <cellStyle name="Normal 2 4 2 6 4 2 4" xfId="12355" xr:uid="{607BA379-0B46-44E6-9052-7F043EF1F38B}"/>
    <cellStyle name="Normal 2 4 2 6 4 3" xfId="5928" xr:uid="{00000000-0005-0000-0000-0000BA0F0000}"/>
    <cellStyle name="Normal 2 4 2 6 4 3 2" xfId="22044" xr:uid="{8263D081-19CC-46CE-BCC3-659D2B6B3C66}"/>
    <cellStyle name="Normal 2 4 2 6 4 3 3" xfId="14423" xr:uid="{D5AFB303-7820-4985-90D5-47D448E8E5D3}"/>
    <cellStyle name="Normal 2 4 2 6 4 4" xfId="17831" xr:uid="{335F4FBB-ECF0-4A67-973A-D96DA15F9F15}"/>
    <cellStyle name="Normal 2 4 2 6 4 5" xfId="10210" xr:uid="{82047D45-716B-428E-874C-555013C1182F}"/>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24602" xr:uid="{1A13559F-837C-422F-8E34-1320BBD2A05B}"/>
    <cellStyle name="Normal 2 4 2 6 5 2 2 3" xfId="16981" xr:uid="{C3870245-D16F-4301-915B-60E8DDF1EF6B}"/>
    <cellStyle name="Normal 2 4 2 6 5 2 3" xfId="20389" xr:uid="{EAC5E95C-43C9-487E-B644-019B9CADE05B}"/>
    <cellStyle name="Normal 2 4 2 6 5 2 4" xfId="12768" xr:uid="{A56F6D7C-F802-4F72-AF96-4244C151E339}"/>
    <cellStyle name="Normal 2 4 2 6 5 3" xfId="6341" xr:uid="{00000000-0005-0000-0000-0000BE0F0000}"/>
    <cellStyle name="Normal 2 4 2 6 5 3 2" xfId="22457" xr:uid="{4F3FA0C4-CB8A-4A53-BA57-97197748E74D}"/>
    <cellStyle name="Normal 2 4 2 6 5 3 3" xfId="14836" xr:uid="{5D2583F8-2C2F-493C-8118-97DC840B68B6}"/>
    <cellStyle name="Normal 2 4 2 6 5 4" xfId="18244" xr:uid="{0A5C8564-B780-447F-81DB-D57904003677}"/>
    <cellStyle name="Normal 2 4 2 6 5 5" xfId="10623" xr:uid="{50D5761A-B6E4-400C-90D3-FA6EFF70289E}"/>
    <cellStyle name="Normal 2 4 2 6 6" xfId="2471" xr:uid="{00000000-0005-0000-0000-0000BF0F0000}"/>
    <cellStyle name="Normal 2 4 2 6 6 2" xfId="6754" xr:uid="{00000000-0005-0000-0000-0000C00F0000}"/>
    <cellStyle name="Normal 2 4 2 6 6 2 2" xfId="22870" xr:uid="{050ED96C-29A8-4421-A0B1-2E61AD5A11E0}"/>
    <cellStyle name="Normal 2 4 2 6 6 2 3" xfId="15249" xr:uid="{EFCA7ACB-F754-455D-8E44-4C2D32DD262C}"/>
    <cellStyle name="Normal 2 4 2 6 6 3" xfId="18657" xr:uid="{0AA682D0-BB18-482F-A4BF-BA8B2A3A5258}"/>
    <cellStyle name="Normal 2 4 2 6 6 4" xfId="11036" xr:uid="{9BE81CB4-9653-4688-8F5D-C163F9DCC096}"/>
    <cellStyle name="Normal 2 4 2 6 7" xfId="4688" xr:uid="{00000000-0005-0000-0000-0000C10F0000}"/>
    <cellStyle name="Normal 2 4 2 6 7 2" xfId="20805" xr:uid="{13C7A4AA-AECA-4A41-A283-9E90AB2C0679}"/>
    <cellStyle name="Normal 2 4 2 6 7 3" xfId="13184" xr:uid="{B7F2D146-5BD3-4E1F-B3F3-F9EC2D861772}"/>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2 2 2" xfId="23348" xr:uid="{E2E7818D-C27B-4487-A0A5-FD9D4590FB21}"/>
    <cellStyle name="Normal 2 4 2 7 2 2 3" xfId="15727" xr:uid="{A7BE0A1A-84E1-4128-BC52-8E1417FB0DC8}"/>
    <cellStyle name="Normal 2 4 2 7 2 3" xfId="19135" xr:uid="{D260B446-880C-4F92-9782-C31C3ECBC09B}"/>
    <cellStyle name="Normal 2 4 2 7 2 4" xfId="11514" xr:uid="{4AE799C5-BB74-4197-955D-F4A11ACADC56}"/>
    <cellStyle name="Normal 2 4 2 7 3" xfId="5087" xr:uid="{00000000-0005-0000-0000-0000C50F0000}"/>
    <cellStyle name="Normal 2 4 2 7 3 2" xfId="21203" xr:uid="{E2AEA775-61A0-4462-B007-523CC3D25BE6}"/>
    <cellStyle name="Normal 2 4 2 7 3 3" xfId="13582" xr:uid="{B2893755-8596-410D-9025-A8A008021CAD}"/>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2 2 2" xfId="23761" xr:uid="{5A680D99-0B7F-48B2-9EF5-1F3DFED9E6BA}"/>
    <cellStyle name="Normal 2 4 2 8 2 2 3" xfId="16140" xr:uid="{D6A4BF47-56AD-4AE4-AE52-A11BA8173BB7}"/>
    <cellStyle name="Normal 2 4 2 8 2 3" xfId="19548" xr:uid="{72594979-01E0-44BB-B784-8BE55A17F90A}"/>
    <cellStyle name="Normal 2 4 2 8 2 4" xfId="11927" xr:uid="{7212817C-8C28-486A-B6EF-338BD4A084B0}"/>
    <cellStyle name="Normal 2 4 2 8 3" xfId="5500" xr:uid="{00000000-0005-0000-0000-0000C90F0000}"/>
    <cellStyle name="Normal 2 4 2 8 3 2" xfId="21616" xr:uid="{B5C44838-92D0-4180-A4B7-23A216E257DE}"/>
    <cellStyle name="Normal 2 4 2 8 3 3" xfId="13995" xr:uid="{7E51537C-2B36-4225-82A1-72E4D788D4B2}"/>
    <cellStyle name="Normal 2 4 2 8 4" xfId="17403" xr:uid="{D4299E74-5E82-4414-85F0-F1C38CEA1D84}"/>
    <cellStyle name="Normal 2 4 2 8 5" xfId="9782" xr:uid="{A6023C07-E8DD-4450-A860-609EF5996084}"/>
    <cellStyle name="Normal 2 4 2 9" xfId="1606" xr:uid="{00000000-0005-0000-0000-0000CA0F0000}"/>
    <cellStyle name="Normal 2 4 2 9 2" xfId="3836" xr:uid="{00000000-0005-0000-0000-0000CB0F0000}"/>
    <cellStyle name="Normal 2 4 2 9 2 2" xfId="8058" xr:uid="{00000000-0005-0000-0000-0000CC0F0000}"/>
    <cellStyle name="Normal 2 4 2 9 2 2 2" xfId="24174" xr:uid="{422EF4B6-0682-42A8-B39B-BD0FB40EC9F9}"/>
    <cellStyle name="Normal 2 4 2 9 2 2 3" xfId="16553" xr:uid="{ABDF6151-943D-4800-AE33-CCAD35AA270B}"/>
    <cellStyle name="Normal 2 4 2 9 2 3" xfId="19961" xr:uid="{35443868-CE3A-4033-ACA3-EA1149B5701F}"/>
    <cellStyle name="Normal 2 4 2 9 2 4" xfId="12340" xr:uid="{02A9E63A-C76E-40AE-844A-C38631CC58C7}"/>
    <cellStyle name="Normal 2 4 2 9 3" xfId="5913" xr:uid="{00000000-0005-0000-0000-0000CD0F0000}"/>
    <cellStyle name="Normal 2 4 2 9 3 2" xfId="22029" xr:uid="{E709E57C-B97D-40FC-9E8C-F5C97975622B}"/>
    <cellStyle name="Normal 2 4 2 9 3 3" xfId="14408" xr:uid="{33A706EB-D869-4B58-A63D-A598A61B9BA7}"/>
    <cellStyle name="Normal 2 4 2 9 4" xfId="17816" xr:uid="{95328188-53E4-44F2-B553-995D08245058}"/>
    <cellStyle name="Normal 2 4 2 9 5" xfId="10195" xr:uid="{ADA0F250-7FA9-4E8F-9B3F-63ED7313C51A}"/>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23367" xr:uid="{166032D0-EC97-4F3B-A10A-556D88C16032}"/>
    <cellStyle name="Normal 2 4 3 3 2 2 2 2 2 3" xfId="15746" xr:uid="{616345CB-2A04-4A4D-9DFD-1FCBE0E95698}"/>
    <cellStyle name="Normal 2 4 3 3 2 2 2 2 3" xfId="19154" xr:uid="{9FB775E1-62C3-4EAB-B50C-058810841BC3}"/>
    <cellStyle name="Normal 2 4 3 3 2 2 2 2 4" xfId="11533" xr:uid="{06D54F57-620F-4E3D-9BC5-6FCDC1D0856E}"/>
    <cellStyle name="Normal 2 4 3 3 2 2 2 3" xfId="5106" xr:uid="{00000000-0005-0000-0000-0000D60F0000}"/>
    <cellStyle name="Normal 2 4 3 3 2 2 2 3 2" xfId="21222" xr:uid="{0FB7DB0C-22B9-4F5F-AE11-3A2A502252A5}"/>
    <cellStyle name="Normal 2 4 3 3 2 2 2 3 3" xfId="13601" xr:uid="{F244581D-1D11-4F87-B762-5A2AB5C04BA7}"/>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23780" xr:uid="{CBCDB918-E5D0-4E19-9A25-FF723959220B}"/>
    <cellStyle name="Normal 2 4 3 3 2 2 3 2 2 3" xfId="16159" xr:uid="{9339A63D-175F-4B49-9DC2-0BF74F1A50E2}"/>
    <cellStyle name="Normal 2 4 3 3 2 2 3 2 3" xfId="19567" xr:uid="{68965200-B254-4F02-A38C-572A23483A6C}"/>
    <cellStyle name="Normal 2 4 3 3 2 2 3 2 4" xfId="11946" xr:uid="{1EECBBD1-B9AF-4CD6-AEF9-31B64325CC39}"/>
    <cellStyle name="Normal 2 4 3 3 2 2 3 3" xfId="5519" xr:uid="{00000000-0005-0000-0000-0000DA0F0000}"/>
    <cellStyle name="Normal 2 4 3 3 2 2 3 3 2" xfId="21635" xr:uid="{5C2EB7FF-1014-44FE-9DF0-AC9909190131}"/>
    <cellStyle name="Normal 2 4 3 3 2 2 3 3 3" xfId="14014" xr:uid="{72EA773C-367B-4995-A66D-335989BE416F}"/>
    <cellStyle name="Normal 2 4 3 3 2 2 3 4" xfId="17422" xr:uid="{7E189A8D-6D2D-4923-A6A2-B941BA1E7CAA}"/>
    <cellStyle name="Normal 2 4 3 3 2 2 3 5" xfId="9801" xr:uid="{BE4335A3-DF24-487F-B1BF-FD7E2BFF71AA}"/>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24193" xr:uid="{B428E6F8-0139-42AD-AFC0-FD1218BF571F}"/>
    <cellStyle name="Normal 2 4 3 3 2 2 4 2 2 3" xfId="16572" xr:uid="{D9AA1E3E-4503-441C-B0DD-AEB518CF1C0D}"/>
    <cellStyle name="Normal 2 4 3 3 2 2 4 2 3" xfId="19980" xr:uid="{615CE746-93E7-4EE5-B34A-C73D88905CCE}"/>
    <cellStyle name="Normal 2 4 3 3 2 2 4 2 4" xfId="12359" xr:uid="{753D62BB-A77A-4A8D-AC33-F4134D2CC069}"/>
    <cellStyle name="Normal 2 4 3 3 2 2 4 3" xfId="5932" xr:uid="{00000000-0005-0000-0000-0000DE0F0000}"/>
    <cellStyle name="Normal 2 4 3 3 2 2 4 3 2" xfId="22048" xr:uid="{D2CC3A56-53D4-43BA-A007-2CB5F3493A56}"/>
    <cellStyle name="Normal 2 4 3 3 2 2 4 3 3" xfId="14427" xr:uid="{0C68F73C-3BB5-4170-AE8D-3ADCFCC24899}"/>
    <cellStyle name="Normal 2 4 3 3 2 2 4 4" xfId="17835" xr:uid="{5DB43AB2-1278-4DE7-A524-5AA4F6DEBCA1}"/>
    <cellStyle name="Normal 2 4 3 3 2 2 4 5" xfId="10214" xr:uid="{88F0F403-091F-4729-BC29-5E61FDABF28E}"/>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24606" xr:uid="{AD44AC67-A8B1-4778-ACE5-88F76E542551}"/>
    <cellStyle name="Normal 2 4 3 3 2 2 5 2 2 3" xfId="16985" xr:uid="{ECB88B98-051C-4FE0-A8C0-8346D174A4B4}"/>
    <cellStyle name="Normal 2 4 3 3 2 2 5 2 3" xfId="20393" xr:uid="{DC8204DE-6E51-415E-B627-6EE94F632D62}"/>
    <cellStyle name="Normal 2 4 3 3 2 2 5 2 4" xfId="12772" xr:uid="{A796952C-1A72-403B-98D1-EC8E6F148267}"/>
    <cellStyle name="Normal 2 4 3 3 2 2 5 3" xfId="6345" xr:uid="{00000000-0005-0000-0000-0000E20F0000}"/>
    <cellStyle name="Normal 2 4 3 3 2 2 5 3 2" xfId="22461" xr:uid="{963CF68D-FF9B-4BCF-9130-BA7D6F872084}"/>
    <cellStyle name="Normal 2 4 3 3 2 2 5 3 3" xfId="14840" xr:uid="{7ECD1F86-DD0A-461B-99EE-D9BA41AB071A}"/>
    <cellStyle name="Normal 2 4 3 3 2 2 5 4" xfId="18248" xr:uid="{40F63997-1736-49AE-A1CF-0E3F8C4B492F}"/>
    <cellStyle name="Normal 2 4 3 3 2 2 5 5" xfId="10627" xr:uid="{B001E130-6713-4AEF-B5E5-D4F0EDA34809}"/>
    <cellStyle name="Normal 2 4 3 3 2 2 6" xfId="2475" xr:uid="{00000000-0005-0000-0000-0000E30F0000}"/>
    <cellStyle name="Normal 2 4 3 3 2 2 6 2" xfId="6758" xr:uid="{00000000-0005-0000-0000-0000E40F0000}"/>
    <cellStyle name="Normal 2 4 3 3 2 2 6 2 2" xfId="22874" xr:uid="{E0C45F47-B3AB-4BE7-9F0C-40AE31243A90}"/>
    <cellStyle name="Normal 2 4 3 3 2 2 6 2 3" xfId="15253" xr:uid="{84811EB2-D44C-4775-A9A5-DD7521177E37}"/>
    <cellStyle name="Normal 2 4 3 3 2 2 6 3" xfId="18661" xr:uid="{D10E938C-3ECE-4D82-A28B-CC8BA50B665A}"/>
    <cellStyle name="Normal 2 4 3 3 2 2 6 4" xfId="11040" xr:uid="{F60E039D-29DB-48C4-9640-426B0477E0BB}"/>
    <cellStyle name="Normal 2 4 3 3 2 2 7" xfId="4692" xr:uid="{00000000-0005-0000-0000-0000E50F0000}"/>
    <cellStyle name="Normal 2 4 3 3 2 2 7 2" xfId="20809" xr:uid="{3AD3E429-D19F-4F95-90DF-A5A4752E8F05}"/>
    <cellStyle name="Normal 2 4 3 3 2 2 7 3" xfId="13188" xr:uid="{9F80BE3E-7865-4A3C-830C-3EDE3A42BBD1}"/>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23366" xr:uid="{691D434F-A5EA-40E1-BB5B-2223CA735D14}"/>
    <cellStyle name="Normal 2 4 3 3 2 3 2 2 3" xfId="15745" xr:uid="{F15A9500-2C48-4E30-BC61-E48D602417D6}"/>
    <cellStyle name="Normal 2 4 3 3 2 3 2 3" xfId="19153" xr:uid="{16BD537F-3D25-4281-A82B-C8427F12A485}"/>
    <cellStyle name="Normal 2 4 3 3 2 3 2 4" xfId="11532" xr:uid="{DCDCEB1C-51E2-41D1-B3C6-278F268EDF10}"/>
    <cellStyle name="Normal 2 4 3 3 2 3 3" xfId="5105" xr:uid="{00000000-0005-0000-0000-0000E90F0000}"/>
    <cellStyle name="Normal 2 4 3 3 2 3 3 2" xfId="21221" xr:uid="{FECF4D61-F25A-4906-B395-20A3588F2BEE}"/>
    <cellStyle name="Normal 2 4 3 3 2 3 3 3" xfId="13600" xr:uid="{2F05A148-C4C7-460F-B4D8-576A5ABAE5EB}"/>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23779" xr:uid="{58248EC7-225C-4801-A451-4BDDFE31846D}"/>
    <cellStyle name="Normal 2 4 3 3 2 4 2 2 3" xfId="16158" xr:uid="{51148D8D-CB29-49C3-88F3-4A7000347DE5}"/>
    <cellStyle name="Normal 2 4 3 3 2 4 2 3" xfId="19566" xr:uid="{37D862D2-255E-4C25-859B-3A5DDC28669A}"/>
    <cellStyle name="Normal 2 4 3 3 2 4 2 4" xfId="11945" xr:uid="{F11EE76E-7D0A-4F87-8D22-6E739EB47DEA}"/>
    <cellStyle name="Normal 2 4 3 3 2 4 3" xfId="5518" xr:uid="{00000000-0005-0000-0000-0000ED0F0000}"/>
    <cellStyle name="Normal 2 4 3 3 2 4 3 2" xfId="21634" xr:uid="{51F0F3DE-CDB2-48B7-81C1-4EF4A15D37AD}"/>
    <cellStyle name="Normal 2 4 3 3 2 4 3 3" xfId="14013" xr:uid="{EAD8B27B-4914-4F4C-B553-FD415E764808}"/>
    <cellStyle name="Normal 2 4 3 3 2 4 4" xfId="17421" xr:uid="{3252FB90-4DB2-4F1B-8E26-FC29A8FE9FE0}"/>
    <cellStyle name="Normal 2 4 3 3 2 4 5" xfId="9800" xr:uid="{CCF6B413-FE5E-4A17-8E42-CD22D9F14B7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24192" xr:uid="{37D49A87-4A53-4334-AFF9-C8F389BFC3BB}"/>
    <cellStyle name="Normal 2 4 3 3 2 5 2 2 3" xfId="16571" xr:uid="{EF7C8403-C55E-4895-BF29-F6CC804F5B4E}"/>
    <cellStyle name="Normal 2 4 3 3 2 5 2 3" xfId="19979" xr:uid="{09C9BE6A-067F-44C6-A393-A5E9409B4E7E}"/>
    <cellStyle name="Normal 2 4 3 3 2 5 2 4" xfId="12358" xr:uid="{5460D2B0-3C99-4A03-B14C-026FD70A7345}"/>
    <cellStyle name="Normal 2 4 3 3 2 5 3" xfId="5931" xr:uid="{00000000-0005-0000-0000-0000F10F0000}"/>
    <cellStyle name="Normal 2 4 3 3 2 5 3 2" xfId="22047" xr:uid="{9F6C97DD-E370-46F4-823F-B101105EA0AD}"/>
    <cellStyle name="Normal 2 4 3 3 2 5 3 3" xfId="14426" xr:uid="{7116DA49-70B4-4E47-AB91-D27FB6F5ED9C}"/>
    <cellStyle name="Normal 2 4 3 3 2 5 4" xfId="17834" xr:uid="{6C19FEDD-89A4-475C-B1DC-93820E37DD8A}"/>
    <cellStyle name="Normal 2 4 3 3 2 5 5" xfId="10213" xr:uid="{6359E70C-B451-45BC-B387-AF890A9B322D}"/>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24605" xr:uid="{B2CEDC4C-FB49-414F-B4B1-1B8324868628}"/>
    <cellStyle name="Normal 2 4 3 3 2 6 2 2 3" xfId="16984" xr:uid="{BFFC8976-852A-4D2A-8ABF-6C1DB70FDB57}"/>
    <cellStyle name="Normal 2 4 3 3 2 6 2 3" xfId="20392" xr:uid="{CE16DCF1-A6C5-489C-9C99-10F4C11BADA7}"/>
    <cellStyle name="Normal 2 4 3 3 2 6 2 4" xfId="12771" xr:uid="{8AF06EC9-A11E-4392-A277-FBDFED17550E}"/>
    <cellStyle name="Normal 2 4 3 3 2 6 3" xfId="6344" xr:uid="{00000000-0005-0000-0000-0000F50F0000}"/>
    <cellStyle name="Normal 2 4 3 3 2 6 3 2" xfId="22460" xr:uid="{02FEDBEA-EAB7-4E5E-92F8-3DDAE74ADE9E}"/>
    <cellStyle name="Normal 2 4 3 3 2 6 3 3" xfId="14839" xr:uid="{0413D560-400B-4BFF-92E8-8BF1470BDCDC}"/>
    <cellStyle name="Normal 2 4 3 3 2 6 4" xfId="18247" xr:uid="{82C6F57C-7A33-49E4-A04C-50B737B9B7E2}"/>
    <cellStyle name="Normal 2 4 3 3 2 6 5" xfId="10626" xr:uid="{9142F455-F53D-4DF2-AF77-D073530B86AD}"/>
    <cellStyle name="Normal 2 4 3 3 2 7" xfId="2474" xr:uid="{00000000-0005-0000-0000-0000F60F0000}"/>
    <cellStyle name="Normal 2 4 3 3 2 7 2" xfId="6757" xr:uid="{00000000-0005-0000-0000-0000F70F0000}"/>
    <cellStyle name="Normal 2 4 3 3 2 7 2 2" xfId="22873" xr:uid="{71C3237A-895F-4CD7-8B18-47BF8FA07956}"/>
    <cellStyle name="Normal 2 4 3 3 2 7 2 3" xfId="15252" xr:uid="{093B91DD-E1D8-4B56-9245-1C461B0AC9B2}"/>
    <cellStyle name="Normal 2 4 3 3 2 7 3" xfId="18660" xr:uid="{77880EB1-1CDE-47EC-A715-CE8C54311DDD}"/>
    <cellStyle name="Normal 2 4 3 3 2 7 4" xfId="11039" xr:uid="{DE6FAEA5-2C4A-463B-94AF-ED86D6247E1D}"/>
    <cellStyle name="Normal 2 4 3 3 2 8" xfId="4691" xr:uid="{00000000-0005-0000-0000-0000F80F0000}"/>
    <cellStyle name="Normal 2 4 3 3 2 8 2" xfId="20808" xr:uid="{0F080989-AAB2-4028-B67F-3B4815B45F53}"/>
    <cellStyle name="Normal 2 4 3 3 2 8 3" xfId="13187" xr:uid="{0385D93F-8156-4BAE-B724-ADF67D33828A}"/>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23368" xr:uid="{B4B118C9-508B-443B-99F2-FB2F4A915B81}"/>
    <cellStyle name="Normal 2 4 3 3 3 2 2 2 3" xfId="15747" xr:uid="{14DDF765-F863-4519-9296-96B45B899EF3}"/>
    <cellStyle name="Normal 2 4 3 3 3 2 2 3" xfId="19155" xr:uid="{F15AFA42-97CB-4485-88CE-4F19BE4762FC}"/>
    <cellStyle name="Normal 2 4 3 3 3 2 2 4" xfId="11534" xr:uid="{822BE06C-7BBE-40BF-A67B-F83804D48708}"/>
    <cellStyle name="Normal 2 4 3 3 3 2 3" xfId="5107" xr:uid="{00000000-0005-0000-0000-0000FD0F0000}"/>
    <cellStyle name="Normal 2 4 3 3 3 2 3 2" xfId="21223" xr:uid="{1F979E0F-1B73-47BC-B61F-A177C042CB46}"/>
    <cellStyle name="Normal 2 4 3 3 3 2 3 3" xfId="13602" xr:uid="{04403513-8ACB-4F6C-A0CA-A2C12F1906B1}"/>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23781" xr:uid="{E305C8CD-5608-43BE-B490-62DED2674E33}"/>
    <cellStyle name="Normal 2 4 3 3 3 3 2 2 3" xfId="16160" xr:uid="{AD60F3D5-143E-4EB6-9916-AF8DCD1FCE71}"/>
    <cellStyle name="Normal 2 4 3 3 3 3 2 3" xfId="19568" xr:uid="{2BA1BA94-8817-4D84-8529-CD299647ACD6}"/>
    <cellStyle name="Normal 2 4 3 3 3 3 2 4" xfId="11947" xr:uid="{75315DA3-7665-463B-B6AE-2972CA7F3185}"/>
    <cellStyle name="Normal 2 4 3 3 3 3 3" xfId="5520" xr:uid="{00000000-0005-0000-0000-000001100000}"/>
    <cellStyle name="Normal 2 4 3 3 3 3 3 2" xfId="21636" xr:uid="{85B84F3D-CAD9-4FF2-9DB9-76C9812F302B}"/>
    <cellStyle name="Normal 2 4 3 3 3 3 3 3" xfId="14015" xr:uid="{F815C857-DEF1-41D7-A571-F527F44CC3AA}"/>
    <cellStyle name="Normal 2 4 3 3 3 3 4" xfId="17423" xr:uid="{D025A985-8634-40CD-925D-92E205FF4D5D}"/>
    <cellStyle name="Normal 2 4 3 3 3 3 5" xfId="9802" xr:uid="{1C59911D-CD37-46F7-A9EF-726EF64547E6}"/>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24194" xr:uid="{5506ECD7-AB4F-45E3-A5E6-17DC3B981F37}"/>
    <cellStyle name="Normal 2 4 3 3 3 4 2 2 3" xfId="16573" xr:uid="{1F159E95-CA8C-4396-9D87-ABB5EED28DC4}"/>
    <cellStyle name="Normal 2 4 3 3 3 4 2 3" xfId="19981" xr:uid="{AC1FB673-800D-4B93-BE74-752833901C97}"/>
    <cellStyle name="Normal 2 4 3 3 3 4 2 4" xfId="12360" xr:uid="{57E7C4D3-DA39-42FA-A82F-55D2FCB59E14}"/>
    <cellStyle name="Normal 2 4 3 3 3 4 3" xfId="5933" xr:uid="{00000000-0005-0000-0000-000005100000}"/>
    <cellStyle name="Normal 2 4 3 3 3 4 3 2" xfId="22049" xr:uid="{F309FCD8-56D2-485B-AFEF-4D6A11F015C0}"/>
    <cellStyle name="Normal 2 4 3 3 3 4 3 3" xfId="14428" xr:uid="{6381C216-C6BA-4326-8025-F68EF75044C6}"/>
    <cellStyle name="Normal 2 4 3 3 3 4 4" xfId="17836" xr:uid="{ADA22D3E-CEB8-4484-AF0E-CA5C2A91586B}"/>
    <cellStyle name="Normal 2 4 3 3 3 4 5" xfId="10215" xr:uid="{F5E7CB04-7780-4EA7-A24C-F4A37C7A295B}"/>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24607" xr:uid="{CABB7911-4792-4411-A65D-017FB86B54AC}"/>
    <cellStyle name="Normal 2 4 3 3 3 5 2 2 3" xfId="16986" xr:uid="{54DB3D0D-E8E8-4618-94F8-06F3A332D0DC}"/>
    <cellStyle name="Normal 2 4 3 3 3 5 2 3" xfId="20394" xr:uid="{9EF2B38A-F4CD-498C-ADF4-135B78224C6D}"/>
    <cellStyle name="Normal 2 4 3 3 3 5 2 4" xfId="12773" xr:uid="{9086BAE0-D161-4833-ABB1-293F8DB1EFCA}"/>
    <cellStyle name="Normal 2 4 3 3 3 5 3" xfId="6346" xr:uid="{00000000-0005-0000-0000-000009100000}"/>
    <cellStyle name="Normal 2 4 3 3 3 5 3 2" xfId="22462" xr:uid="{3ACBEE52-811E-4F2E-8C60-2D081F74E67E}"/>
    <cellStyle name="Normal 2 4 3 3 3 5 3 3" xfId="14841" xr:uid="{5F766EA7-537B-4DF1-AFB4-9DE8A1A05D69}"/>
    <cellStyle name="Normal 2 4 3 3 3 5 4" xfId="18249" xr:uid="{DC293F71-64C3-46C7-BE89-9FCF727A76E6}"/>
    <cellStyle name="Normal 2 4 3 3 3 5 5" xfId="10628" xr:uid="{80B39019-197C-41D7-8B0D-BB522A3D88E8}"/>
    <cellStyle name="Normal 2 4 3 3 3 6" xfId="2476" xr:uid="{00000000-0005-0000-0000-00000A100000}"/>
    <cellStyle name="Normal 2 4 3 3 3 6 2" xfId="6759" xr:uid="{00000000-0005-0000-0000-00000B100000}"/>
    <cellStyle name="Normal 2 4 3 3 3 6 2 2" xfId="22875" xr:uid="{AC06401D-7505-46F9-A169-894C67B849A9}"/>
    <cellStyle name="Normal 2 4 3 3 3 6 2 3" xfId="15254" xr:uid="{60D43C32-41F8-420A-A289-FC9A0DB23D79}"/>
    <cellStyle name="Normal 2 4 3 3 3 6 3" xfId="18662" xr:uid="{CFDC9B28-8E3B-4BE6-AFEC-481E59999DCB}"/>
    <cellStyle name="Normal 2 4 3 3 3 6 4" xfId="11041" xr:uid="{01C9E50B-6CA6-411A-9F36-5D1F68A7E365}"/>
    <cellStyle name="Normal 2 4 3 3 3 7" xfId="4693" xr:uid="{00000000-0005-0000-0000-00000C100000}"/>
    <cellStyle name="Normal 2 4 3 3 3 7 2" xfId="20810" xr:uid="{3EDFD999-ACFB-4AEF-BD31-C8209B6C22EA}"/>
    <cellStyle name="Normal 2 4 3 3 3 7 3" xfId="13189" xr:uid="{B5C5373D-A677-4452-A3A5-0085E9FA5605}"/>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23365" xr:uid="{478E09EA-7FA9-4024-BF66-0724C40FCEC3}"/>
    <cellStyle name="Normal 2 4 3 3 4 2 2 3" xfId="15744" xr:uid="{05B14656-D527-4FF0-BB99-FA3D567D9F9F}"/>
    <cellStyle name="Normal 2 4 3 3 4 2 3" xfId="19152" xr:uid="{2C02F36D-FE63-4118-8416-AB7333192787}"/>
    <cellStyle name="Normal 2 4 3 3 4 2 4" xfId="11531" xr:uid="{22439829-097F-473C-8242-20F75F58B42D}"/>
    <cellStyle name="Normal 2 4 3 3 4 3" xfId="5104" xr:uid="{00000000-0005-0000-0000-000010100000}"/>
    <cellStyle name="Normal 2 4 3 3 4 3 2" xfId="21220" xr:uid="{FDB65FA8-5100-4DCD-8AA9-509403BB2CDC}"/>
    <cellStyle name="Normal 2 4 3 3 4 3 3" xfId="13599" xr:uid="{08556E09-9A65-4358-B3F6-A3F6021C2BB7}"/>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23778" xr:uid="{25A31546-6E5D-4A2E-A395-58C0914BDDC4}"/>
    <cellStyle name="Normal 2 4 3 3 5 2 2 3" xfId="16157" xr:uid="{AB285D99-EA30-4748-8EAE-52EB6953C786}"/>
    <cellStyle name="Normal 2 4 3 3 5 2 3" xfId="19565" xr:uid="{9154159E-FC0A-402E-A815-C7435205DF63}"/>
    <cellStyle name="Normal 2 4 3 3 5 2 4" xfId="11944" xr:uid="{58F721EC-0574-43DA-A4D2-7D082B965DCE}"/>
    <cellStyle name="Normal 2 4 3 3 5 3" xfId="5517" xr:uid="{00000000-0005-0000-0000-000014100000}"/>
    <cellStyle name="Normal 2 4 3 3 5 3 2" xfId="21633" xr:uid="{9DB68773-9764-4F4D-9A75-C39348489E4D}"/>
    <cellStyle name="Normal 2 4 3 3 5 3 3" xfId="14012" xr:uid="{1A17114B-42AB-43A6-A88C-25ACA6C01A36}"/>
    <cellStyle name="Normal 2 4 3 3 5 4" xfId="17420" xr:uid="{3E1ACB4A-4259-4527-B2EE-7BBFE94227EA}"/>
    <cellStyle name="Normal 2 4 3 3 5 5" xfId="9799" xr:uid="{2D0EA269-E403-4EC4-807D-CA590E5C0547}"/>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24191" xr:uid="{8F19E4FB-5467-4308-8E41-C3C5FE3AE63E}"/>
    <cellStyle name="Normal 2 4 3 3 6 2 2 3" xfId="16570" xr:uid="{0E7C010E-2DAB-4A7A-80B8-C1D4CC2341A1}"/>
    <cellStyle name="Normal 2 4 3 3 6 2 3" xfId="19978" xr:uid="{D66FC066-1323-4177-A391-30750B649107}"/>
    <cellStyle name="Normal 2 4 3 3 6 2 4" xfId="12357" xr:uid="{ACB7F037-860B-4812-A7D2-469A5FD07B78}"/>
    <cellStyle name="Normal 2 4 3 3 6 3" xfId="5930" xr:uid="{00000000-0005-0000-0000-000018100000}"/>
    <cellStyle name="Normal 2 4 3 3 6 3 2" xfId="22046" xr:uid="{88196CEB-CA9C-45D7-B94B-C931223F2518}"/>
    <cellStyle name="Normal 2 4 3 3 6 3 3" xfId="14425" xr:uid="{0BC31B5C-C885-4B0A-B287-DAE21D0E658D}"/>
    <cellStyle name="Normal 2 4 3 3 6 4" xfId="17833" xr:uid="{E4C5B708-E499-414C-9134-14C074849732}"/>
    <cellStyle name="Normal 2 4 3 3 6 5" xfId="10212" xr:uid="{81D13760-C476-4F4D-AF51-961C6649F520}"/>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24604" xr:uid="{CD939DF5-8BE9-427C-B943-4E8AFC20CABA}"/>
    <cellStyle name="Normal 2 4 3 3 7 2 2 3" xfId="16983" xr:uid="{1DA7C0A8-C298-4B81-8E0A-37C4CBE14D5D}"/>
    <cellStyle name="Normal 2 4 3 3 7 2 3" xfId="20391" xr:uid="{2FCD6B7D-200F-4A31-90FB-42524DAE3A97}"/>
    <cellStyle name="Normal 2 4 3 3 7 2 4" xfId="12770" xr:uid="{DD5ED054-3F4E-425D-BFBF-FB57D15A4691}"/>
    <cellStyle name="Normal 2 4 3 3 7 3" xfId="6343" xr:uid="{00000000-0005-0000-0000-00001C100000}"/>
    <cellStyle name="Normal 2 4 3 3 7 3 2" xfId="22459" xr:uid="{D8174A56-C7C7-4933-84D7-1996D0BCB61C}"/>
    <cellStyle name="Normal 2 4 3 3 7 3 3" xfId="14838" xr:uid="{00AB476D-48AA-426C-954F-781720B9971B}"/>
    <cellStyle name="Normal 2 4 3 3 7 4" xfId="18246" xr:uid="{67EB4F7C-7255-494C-AC3C-528AFE237ADF}"/>
    <cellStyle name="Normal 2 4 3 3 7 5" xfId="10625" xr:uid="{401EB503-1831-4055-83D4-01C8469B2CE3}"/>
    <cellStyle name="Normal 2 4 3 3 8" xfId="2473" xr:uid="{00000000-0005-0000-0000-00001D100000}"/>
    <cellStyle name="Normal 2 4 3 3 8 2" xfId="6756" xr:uid="{00000000-0005-0000-0000-00001E100000}"/>
    <cellStyle name="Normal 2 4 3 3 8 2 2" xfId="22872" xr:uid="{A04904B0-96A1-460D-9DE1-5D71308C9517}"/>
    <cellStyle name="Normal 2 4 3 3 8 2 3" xfId="15251" xr:uid="{59121174-1520-4E6D-B675-9C7F029B63F3}"/>
    <cellStyle name="Normal 2 4 3 3 8 3" xfId="18659" xr:uid="{16264BCC-B14F-4A04-996B-FB384DDEF0BC}"/>
    <cellStyle name="Normal 2 4 3 3 8 4" xfId="11038" xr:uid="{8B27FA6A-017F-4232-8BC5-67D41AB6E45B}"/>
    <cellStyle name="Normal 2 4 3 3 9" xfId="4690" xr:uid="{00000000-0005-0000-0000-00001F100000}"/>
    <cellStyle name="Normal 2 4 3 3 9 2" xfId="20807" xr:uid="{F28D78A1-EB87-4F07-A2E4-46A8259EB4DD}"/>
    <cellStyle name="Normal 2 4 3 3 9 3" xfId="13186" xr:uid="{9D230ECC-A46C-4D8B-BE6C-84041732A7A8}"/>
    <cellStyle name="Normal 2 4 3 4" xfId="787" xr:uid="{00000000-0005-0000-0000-000020100000}"/>
    <cellStyle name="Normal 2 4 3 4 2" xfId="3026" xr:uid="{00000000-0005-0000-0000-000021100000}"/>
    <cellStyle name="Normal 2 4 3 4 2 2" xfId="7248" xr:uid="{00000000-0005-0000-0000-000022100000}"/>
    <cellStyle name="Normal 2 4 3 4 2 2 2" xfId="23364" xr:uid="{2ABA8A28-98AD-45A3-A7E3-5A9E4BB4C2D4}"/>
    <cellStyle name="Normal 2 4 3 4 2 2 3" xfId="15743" xr:uid="{A8BF2285-1E7E-40CC-9FAD-B42A0E3D0414}"/>
    <cellStyle name="Normal 2 4 3 4 2 3" xfId="19151" xr:uid="{B9E22603-79BB-4A0C-884B-30BA70BE4CED}"/>
    <cellStyle name="Normal 2 4 3 4 2 4" xfId="11530" xr:uid="{37A19F84-D033-4849-B71E-1C6DDE64676A}"/>
    <cellStyle name="Normal 2 4 3 4 3" xfId="5103" xr:uid="{00000000-0005-0000-0000-000023100000}"/>
    <cellStyle name="Normal 2 4 3 4 3 2" xfId="21219" xr:uid="{421B73E9-1F41-48FA-92AE-1B59BD925B8B}"/>
    <cellStyle name="Normal 2 4 3 4 3 3" xfId="13598" xr:uid="{0480D1C1-2E55-4AF0-99B0-FDFABA655DE4}"/>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2 2 2" xfId="23777" xr:uid="{C87480F3-474C-4094-820E-3F24A1FABC82}"/>
    <cellStyle name="Normal 2 4 3 5 2 2 3" xfId="16156" xr:uid="{FC08B478-4BD7-4FFE-9A52-76F4CB6E43A5}"/>
    <cellStyle name="Normal 2 4 3 5 2 3" xfId="19564" xr:uid="{A14DCB28-3660-499D-8848-C2EBC627EF3F}"/>
    <cellStyle name="Normal 2 4 3 5 2 4" xfId="11943" xr:uid="{F1F74F57-1F4A-4A10-A26A-CEC9290F4A08}"/>
    <cellStyle name="Normal 2 4 3 5 3" xfId="5516" xr:uid="{00000000-0005-0000-0000-000027100000}"/>
    <cellStyle name="Normal 2 4 3 5 3 2" xfId="21632" xr:uid="{342A185C-FF4C-4F38-9DC3-E92D9D73E229}"/>
    <cellStyle name="Normal 2 4 3 5 3 3" xfId="14011" xr:uid="{55C82C00-FB7E-4CD7-AB8D-462C825FA62C}"/>
    <cellStyle name="Normal 2 4 3 5 4" xfId="17419" xr:uid="{5DFF9B85-F26E-42CF-801C-FC38C956322B}"/>
    <cellStyle name="Normal 2 4 3 5 5" xfId="9798" xr:uid="{34B20EE5-A4D0-42E4-A741-1B8ADAF7FCBF}"/>
    <cellStyle name="Normal 2 4 3 6" xfId="1622" xr:uid="{00000000-0005-0000-0000-000028100000}"/>
    <cellStyle name="Normal 2 4 3 6 2" xfId="3852" xr:uid="{00000000-0005-0000-0000-000029100000}"/>
    <cellStyle name="Normal 2 4 3 6 2 2" xfId="8074" xr:uid="{00000000-0005-0000-0000-00002A100000}"/>
    <cellStyle name="Normal 2 4 3 6 2 2 2" xfId="24190" xr:uid="{615B0AD8-FFA5-407E-BD41-7A8098CDD9CF}"/>
    <cellStyle name="Normal 2 4 3 6 2 2 3" xfId="16569" xr:uid="{4F6663B5-6F4D-4A80-8E63-AC03AF9176A6}"/>
    <cellStyle name="Normal 2 4 3 6 2 3" xfId="19977" xr:uid="{630FDE6A-2813-4A99-83FD-A9607426B4A9}"/>
    <cellStyle name="Normal 2 4 3 6 2 4" xfId="12356" xr:uid="{0CA6FED8-E8CC-4B51-B88A-5C9FAEF1E9D7}"/>
    <cellStyle name="Normal 2 4 3 6 3" xfId="5929" xr:uid="{00000000-0005-0000-0000-00002B100000}"/>
    <cellStyle name="Normal 2 4 3 6 3 2" xfId="22045" xr:uid="{4892F85C-D2A2-40B9-A353-D62F34184332}"/>
    <cellStyle name="Normal 2 4 3 6 3 3" xfId="14424" xr:uid="{2B7057DE-36C7-4556-87C2-AC732E3EC237}"/>
    <cellStyle name="Normal 2 4 3 6 4" xfId="17832" xr:uid="{4B2B4B50-E630-4089-B0DA-8332165935E5}"/>
    <cellStyle name="Normal 2 4 3 6 5" xfId="10211" xr:uid="{81FEC58A-A844-4253-8040-3C3ADABB5EFA}"/>
    <cellStyle name="Normal 2 4 3 7" xfId="2036" xr:uid="{00000000-0005-0000-0000-00002C100000}"/>
    <cellStyle name="Normal 2 4 3 7 2" xfId="4265" xr:uid="{00000000-0005-0000-0000-00002D100000}"/>
    <cellStyle name="Normal 2 4 3 7 2 2" xfId="8487" xr:uid="{00000000-0005-0000-0000-00002E100000}"/>
    <cellStyle name="Normal 2 4 3 7 2 2 2" xfId="24603" xr:uid="{775412BB-6FCA-4AA4-B14F-487901753DE1}"/>
    <cellStyle name="Normal 2 4 3 7 2 2 3" xfId="16982" xr:uid="{A5124C06-114E-4B2C-9D94-7EFAF44BBF83}"/>
    <cellStyle name="Normal 2 4 3 7 2 3" xfId="20390" xr:uid="{46F2B93B-C9B9-4DB6-B2CE-5D64DBEF2307}"/>
    <cellStyle name="Normal 2 4 3 7 2 4" xfId="12769" xr:uid="{C385AB6E-0EBA-48E9-8556-5C4941174778}"/>
    <cellStyle name="Normal 2 4 3 7 3" xfId="6342" xr:uid="{00000000-0005-0000-0000-00002F100000}"/>
    <cellStyle name="Normal 2 4 3 7 3 2" xfId="22458" xr:uid="{D77F0138-A2DB-4633-A89E-EA6EA73A1445}"/>
    <cellStyle name="Normal 2 4 3 7 3 3" xfId="14837" xr:uid="{A262C3EC-64A5-48F0-B6B0-642DE7959F9D}"/>
    <cellStyle name="Normal 2 4 3 7 4" xfId="18245" xr:uid="{161EE7E5-3238-4D10-BDE8-5A06EB278ED4}"/>
    <cellStyle name="Normal 2 4 3 7 5" xfId="10624" xr:uid="{913947C6-BB50-4EE2-9418-91206F4F0673}"/>
    <cellStyle name="Normal 2 4 3 8" xfId="2472" xr:uid="{00000000-0005-0000-0000-000030100000}"/>
    <cellStyle name="Normal 2 4 3 8 2" xfId="6755" xr:uid="{00000000-0005-0000-0000-000031100000}"/>
    <cellStyle name="Normal 2 4 3 8 2 2" xfId="22871" xr:uid="{8915AB65-BDE4-47BD-B853-7A99B3A6BC6E}"/>
    <cellStyle name="Normal 2 4 3 8 2 3" xfId="15250" xr:uid="{302C0E80-A9DE-4468-A9B8-E104ADCC7CC0}"/>
    <cellStyle name="Normal 2 4 3 8 3" xfId="18658" xr:uid="{C2B5E719-3480-47F6-A3FB-68CAE692D598}"/>
    <cellStyle name="Normal 2 4 3 8 4" xfId="11037" xr:uid="{D7BAE8A6-D760-4954-9B39-89F26E4A14F9}"/>
    <cellStyle name="Normal 2 4 3 9" xfId="4689" xr:uid="{00000000-0005-0000-0000-000032100000}"/>
    <cellStyle name="Normal 2 4 3 9 2" xfId="20806" xr:uid="{B4945E7A-1458-46DE-B13E-D841A4C5BF08}"/>
    <cellStyle name="Normal 2 4 3 9 3" xfId="13185" xr:uid="{C29C3E24-E037-4C30-AAB5-92834D6B3C01}"/>
    <cellStyle name="Normal 2 4 4" xfId="302" xr:uid="{00000000-0005-0000-0000-000033100000}"/>
    <cellStyle name="Normal 2 4 5" xfId="303" xr:uid="{00000000-0005-0000-0000-000034100000}"/>
    <cellStyle name="Normal 2 4 5 10" xfId="4694" xr:uid="{00000000-0005-0000-0000-000035100000}"/>
    <cellStyle name="Normal 2 4 5 10 2" xfId="20811" xr:uid="{18E6A4F6-56AC-4008-BC39-97D5C0FDEAE7}"/>
    <cellStyle name="Normal 2 4 5 10 3" xfId="13190" xr:uid="{0F5DB68B-B522-41BE-AB44-BA283B084126}"/>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23372" xr:uid="{698C0BCB-58D9-4591-8EFA-809122B11F68}"/>
    <cellStyle name="Normal 2 4 5 2 2 2 2 2 2 3" xfId="15751" xr:uid="{27368B64-6178-493E-AADD-A135956D2666}"/>
    <cellStyle name="Normal 2 4 5 2 2 2 2 2 3" xfId="19159" xr:uid="{5419F8AD-55A9-4451-8AC6-79ECDF76D145}"/>
    <cellStyle name="Normal 2 4 5 2 2 2 2 2 4" xfId="11538" xr:uid="{1A508884-F9CB-465A-A291-1BE5747D0381}"/>
    <cellStyle name="Normal 2 4 5 2 2 2 2 3" xfId="5111" xr:uid="{00000000-0005-0000-0000-00003C100000}"/>
    <cellStyle name="Normal 2 4 5 2 2 2 2 3 2" xfId="21227" xr:uid="{EB71618F-0128-47FB-938B-988C03A8631E}"/>
    <cellStyle name="Normal 2 4 5 2 2 2 2 3 3" xfId="13606" xr:uid="{3ED45B43-B11D-461A-852A-14613683A09B}"/>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23785" xr:uid="{F5FBC2B2-196D-4EA8-96A6-72ADE43C34B1}"/>
    <cellStyle name="Normal 2 4 5 2 2 2 3 2 2 3" xfId="16164" xr:uid="{E531A89D-00D8-4DD8-A3DF-8D9571CB7DF4}"/>
    <cellStyle name="Normal 2 4 5 2 2 2 3 2 3" xfId="19572" xr:uid="{D3F5E6D1-7AFE-4EB6-BBD1-98A5E8EF2A11}"/>
    <cellStyle name="Normal 2 4 5 2 2 2 3 2 4" xfId="11951" xr:uid="{0C05782A-5B6A-416A-845C-3B93F7FAB5C4}"/>
    <cellStyle name="Normal 2 4 5 2 2 2 3 3" xfId="5524" xr:uid="{00000000-0005-0000-0000-000040100000}"/>
    <cellStyle name="Normal 2 4 5 2 2 2 3 3 2" xfId="21640" xr:uid="{D0733E76-39CF-4F6B-82FE-ACFC5619B05A}"/>
    <cellStyle name="Normal 2 4 5 2 2 2 3 3 3" xfId="14019" xr:uid="{B1F0DF43-DCCB-4565-93B6-869A913F7C6F}"/>
    <cellStyle name="Normal 2 4 5 2 2 2 3 4" xfId="17427" xr:uid="{4DB951D7-B9F2-4DC4-977B-CD67B2F751CA}"/>
    <cellStyle name="Normal 2 4 5 2 2 2 3 5" xfId="9806" xr:uid="{7EE528AC-A4DC-45D6-A952-F2A6DFF066CD}"/>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24198" xr:uid="{8ECE45C8-1065-4056-AE46-D4951110FA89}"/>
    <cellStyle name="Normal 2 4 5 2 2 2 4 2 2 3" xfId="16577" xr:uid="{6B017C6D-33D9-454F-B08F-83A55653C3C7}"/>
    <cellStyle name="Normal 2 4 5 2 2 2 4 2 3" xfId="19985" xr:uid="{AD7FE8E3-5568-47E6-9C1E-3DC4BD142B59}"/>
    <cellStyle name="Normal 2 4 5 2 2 2 4 2 4" xfId="12364" xr:uid="{7A8E6DBA-6485-4FF3-AC4F-4F44D4114A61}"/>
    <cellStyle name="Normal 2 4 5 2 2 2 4 3" xfId="5937" xr:uid="{00000000-0005-0000-0000-000044100000}"/>
    <cellStyle name="Normal 2 4 5 2 2 2 4 3 2" xfId="22053" xr:uid="{C0A4D394-6CDB-41A8-A070-9A159E7489CA}"/>
    <cellStyle name="Normal 2 4 5 2 2 2 4 3 3" xfId="14432" xr:uid="{77C1847F-09DB-4346-B42B-807C07C98D5D}"/>
    <cellStyle name="Normal 2 4 5 2 2 2 4 4" xfId="17840" xr:uid="{0D1CD615-E716-4CDC-88BB-4B2AB63993A4}"/>
    <cellStyle name="Normal 2 4 5 2 2 2 4 5" xfId="10219" xr:uid="{111EB161-1CFC-4E7E-BFDD-BC05B3E47FC9}"/>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24611" xr:uid="{A929A140-6140-48BD-B204-E8EB87FAFBBD}"/>
    <cellStyle name="Normal 2 4 5 2 2 2 5 2 2 3" xfId="16990" xr:uid="{03E4F35E-A057-45F0-9D8C-6B36F3406C0E}"/>
    <cellStyle name="Normal 2 4 5 2 2 2 5 2 3" xfId="20398" xr:uid="{99C3B7DB-970F-4AB6-B689-2A266FF0AC42}"/>
    <cellStyle name="Normal 2 4 5 2 2 2 5 2 4" xfId="12777" xr:uid="{213F2C4E-6BC7-492C-88A4-03C32FC244E0}"/>
    <cellStyle name="Normal 2 4 5 2 2 2 5 3" xfId="6350" xr:uid="{00000000-0005-0000-0000-000048100000}"/>
    <cellStyle name="Normal 2 4 5 2 2 2 5 3 2" xfId="22466" xr:uid="{E53CF010-8461-478C-8008-ECFD62C23593}"/>
    <cellStyle name="Normal 2 4 5 2 2 2 5 3 3" xfId="14845" xr:uid="{F5062209-70D9-4E91-A724-2D2EB16A8DB6}"/>
    <cellStyle name="Normal 2 4 5 2 2 2 5 4" xfId="18253" xr:uid="{28324F7A-3E77-4F5C-B636-624F9D4B2203}"/>
    <cellStyle name="Normal 2 4 5 2 2 2 5 5" xfId="10632" xr:uid="{FEF84D1D-9FF2-4C38-9B35-C314D40688C3}"/>
    <cellStyle name="Normal 2 4 5 2 2 2 6" xfId="2480" xr:uid="{00000000-0005-0000-0000-000049100000}"/>
    <cellStyle name="Normal 2 4 5 2 2 2 6 2" xfId="6763" xr:uid="{00000000-0005-0000-0000-00004A100000}"/>
    <cellStyle name="Normal 2 4 5 2 2 2 6 2 2" xfId="22879" xr:uid="{88128AEF-DEDB-4B19-9F51-CA90E6C66498}"/>
    <cellStyle name="Normal 2 4 5 2 2 2 6 2 3" xfId="15258" xr:uid="{63C2391B-D168-44C7-9C83-D5B54D22B596}"/>
    <cellStyle name="Normal 2 4 5 2 2 2 6 3" xfId="18666" xr:uid="{C01EC188-5227-4726-BB8D-793EC1386E61}"/>
    <cellStyle name="Normal 2 4 5 2 2 2 6 4" xfId="11045" xr:uid="{0E9C265E-E713-42D6-A0E3-1DDF845DAE41}"/>
    <cellStyle name="Normal 2 4 5 2 2 2 7" xfId="4697" xr:uid="{00000000-0005-0000-0000-00004B100000}"/>
    <cellStyle name="Normal 2 4 5 2 2 2 7 2" xfId="20814" xr:uid="{0FAAD9C2-670A-40ED-A36E-0BB4F45AC731}"/>
    <cellStyle name="Normal 2 4 5 2 2 2 7 3" xfId="13193" xr:uid="{97AB2FBA-ABAB-4AF4-833E-0484863B83E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23371" xr:uid="{F0FC3B32-F041-4454-A511-089CBED8B68C}"/>
    <cellStyle name="Normal 2 4 5 2 2 3 2 2 3" xfId="15750" xr:uid="{CBD8DE3C-514E-46B8-B175-FFB93E50D632}"/>
    <cellStyle name="Normal 2 4 5 2 2 3 2 3" xfId="19158" xr:uid="{3EB371DB-4F31-4E36-AD14-7718F18C514D}"/>
    <cellStyle name="Normal 2 4 5 2 2 3 2 4" xfId="11537" xr:uid="{628CEE09-ECC9-4D2A-9A92-1FFEAADBD399}"/>
    <cellStyle name="Normal 2 4 5 2 2 3 3" xfId="5110" xr:uid="{00000000-0005-0000-0000-00004F100000}"/>
    <cellStyle name="Normal 2 4 5 2 2 3 3 2" xfId="21226" xr:uid="{FAB0A9D6-0C97-4F5E-8909-9F2E6124B382}"/>
    <cellStyle name="Normal 2 4 5 2 2 3 3 3" xfId="13605" xr:uid="{4465CDF6-F274-40E6-B160-EEFFD8DDD49A}"/>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23784" xr:uid="{161E0049-B646-4742-9711-988409DCBB92}"/>
    <cellStyle name="Normal 2 4 5 2 2 4 2 2 3" xfId="16163" xr:uid="{47912CCD-216E-479F-8476-42212E5D1EF5}"/>
    <cellStyle name="Normal 2 4 5 2 2 4 2 3" xfId="19571" xr:uid="{6E318E3C-F414-4822-85B9-5D8E5E75F921}"/>
    <cellStyle name="Normal 2 4 5 2 2 4 2 4" xfId="11950" xr:uid="{31D6153E-9FD4-4FB9-9237-97740246688A}"/>
    <cellStyle name="Normal 2 4 5 2 2 4 3" xfId="5523" xr:uid="{00000000-0005-0000-0000-000053100000}"/>
    <cellStyle name="Normal 2 4 5 2 2 4 3 2" xfId="21639" xr:uid="{D180FB2D-FDF3-4BC1-A223-5DEC0608A6EA}"/>
    <cellStyle name="Normal 2 4 5 2 2 4 3 3" xfId="14018" xr:uid="{B9C01257-AACC-4F69-A17C-B71CBE8FC2EB}"/>
    <cellStyle name="Normal 2 4 5 2 2 4 4" xfId="17426" xr:uid="{441245EC-160F-4C35-873E-5F68CE8F7A6A}"/>
    <cellStyle name="Normal 2 4 5 2 2 4 5" xfId="9805" xr:uid="{CB063DCE-B082-4B5E-8806-D8D0C3447E83}"/>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24197" xr:uid="{456C8ED6-F060-43FB-A879-72E4CC5F71B9}"/>
    <cellStyle name="Normal 2 4 5 2 2 5 2 2 3" xfId="16576" xr:uid="{305AE2A8-46ED-4011-B7EA-4778620D2856}"/>
    <cellStyle name="Normal 2 4 5 2 2 5 2 3" xfId="19984" xr:uid="{4EA0755C-038C-4DCA-BB74-A166CDAE8E2E}"/>
    <cellStyle name="Normal 2 4 5 2 2 5 2 4" xfId="12363" xr:uid="{94DB6AB3-296B-4576-BA0F-668D8E185E78}"/>
    <cellStyle name="Normal 2 4 5 2 2 5 3" xfId="5936" xr:uid="{00000000-0005-0000-0000-000057100000}"/>
    <cellStyle name="Normal 2 4 5 2 2 5 3 2" xfId="22052" xr:uid="{8456894D-99E0-4FD1-8694-00478698AA5E}"/>
    <cellStyle name="Normal 2 4 5 2 2 5 3 3" xfId="14431" xr:uid="{0D54189B-BE57-44BD-81CE-D28DE3F41545}"/>
    <cellStyle name="Normal 2 4 5 2 2 5 4" xfId="17839" xr:uid="{300EE7DC-A426-49AF-A6F6-28C5DABA6572}"/>
    <cellStyle name="Normal 2 4 5 2 2 5 5" xfId="10218" xr:uid="{29E90E18-2F72-4F1E-9212-AEC94939CC35}"/>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24610" xr:uid="{88FBC811-BA13-4B8E-8703-657E6773C135}"/>
    <cellStyle name="Normal 2 4 5 2 2 6 2 2 3" xfId="16989" xr:uid="{EDF2ACA7-B190-48CC-AAC1-1D9716B24106}"/>
    <cellStyle name="Normal 2 4 5 2 2 6 2 3" xfId="20397" xr:uid="{35C033E2-6092-42C9-9D08-9B6819D524E3}"/>
    <cellStyle name="Normal 2 4 5 2 2 6 2 4" xfId="12776" xr:uid="{435CA0BB-0A98-41F8-8F9C-AEAD9041DDE4}"/>
    <cellStyle name="Normal 2 4 5 2 2 6 3" xfId="6349" xr:uid="{00000000-0005-0000-0000-00005B100000}"/>
    <cellStyle name="Normal 2 4 5 2 2 6 3 2" xfId="22465" xr:uid="{38612F92-1DC2-448D-BC6C-912E35DB5D02}"/>
    <cellStyle name="Normal 2 4 5 2 2 6 3 3" xfId="14844" xr:uid="{32FA5B99-69FB-45F9-85A3-D89DEE656DF9}"/>
    <cellStyle name="Normal 2 4 5 2 2 6 4" xfId="18252" xr:uid="{D0AC2229-4FD0-4CDA-A157-2B1C06042686}"/>
    <cellStyle name="Normal 2 4 5 2 2 6 5" xfId="10631" xr:uid="{1C2E1862-0757-4D36-A52C-6A4F3670805F}"/>
    <cellStyle name="Normal 2 4 5 2 2 7" xfId="2479" xr:uid="{00000000-0005-0000-0000-00005C100000}"/>
    <cellStyle name="Normal 2 4 5 2 2 7 2" xfId="6762" xr:uid="{00000000-0005-0000-0000-00005D100000}"/>
    <cellStyle name="Normal 2 4 5 2 2 7 2 2" xfId="22878" xr:uid="{61B407A0-B3C4-4AB4-8BAB-C03AD3494E10}"/>
    <cellStyle name="Normal 2 4 5 2 2 7 2 3" xfId="15257" xr:uid="{0FE091C7-F0C8-4E4C-9808-BC80A80B1E38}"/>
    <cellStyle name="Normal 2 4 5 2 2 7 3" xfId="18665" xr:uid="{38C3FA31-1E58-4E9B-8A28-EBB034AC91DF}"/>
    <cellStyle name="Normal 2 4 5 2 2 7 4" xfId="11044" xr:uid="{CC927100-E26C-4A08-8685-1B407A25D334}"/>
    <cellStyle name="Normal 2 4 5 2 2 8" xfId="4696" xr:uid="{00000000-0005-0000-0000-00005E100000}"/>
    <cellStyle name="Normal 2 4 5 2 2 8 2" xfId="20813" xr:uid="{F9AF5E9D-A1B3-45FF-BD9F-7A73D7C56F10}"/>
    <cellStyle name="Normal 2 4 5 2 2 8 3" xfId="13192" xr:uid="{FE044EBF-C088-4683-B70D-5DFAE1F6A147}"/>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23373" xr:uid="{37DBC815-96AE-47B6-8965-B31432C6520D}"/>
    <cellStyle name="Normal 2 4 5 2 3 2 2 2 3" xfId="15752" xr:uid="{3E336349-CBB7-4404-9697-F2838E0DCCB2}"/>
    <cellStyle name="Normal 2 4 5 2 3 2 2 3" xfId="19160" xr:uid="{24E04DEB-847A-4861-8E83-5A0CEB9AECDA}"/>
    <cellStyle name="Normal 2 4 5 2 3 2 2 4" xfId="11539" xr:uid="{BC2A34D7-7EED-4ABF-BCAA-0A159F5307D5}"/>
    <cellStyle name="Normal 2 4 5 2 3 2 3" xfId="5112" xr:uid="{00000000-0005-0000-0000-000063100000}"/>
    <cellStyle name="Normal 2 4 5 2 3 2 3 2" xfId="21228" xr:uid="{E61D480B-19D6-4080-873C-B6FC649B6B81}"/>
    <cellStyle name="Normal 2 4 5 2 3 2 3 3" xfId="13607" xr:uid="{05268A81-BD0E-47D9-99AE-27EA2465EF78}"/>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23786" xr:uid="{8E5C5236-00E1-4DB8-8C08-0D103059A870}"/>
    <cellStyle name="Normal 2 4 5 2 3 3 2 2 3" xfId="16165" xr:uid="{BC198203-9CE8-4F5B-9AFA-D2F2AF1E57BC}"/>
    <cellStyle name="Normal 2 4 5 2 3 3 2 3" xfId="19573" xr:uid="{31764618-3B08-4A1E-B552-37E278474610}"/>
    <cellStyle name="Normal 2 4 5 2 3 3 2 4" xfId="11952" xr:uid="{525979B5-F2D3-4F74-A852-D58471738764}"/>
    <cellStyle name="Normal 2 4 5 2 3 3 3" xfId="5525" xr:uid="{00000000-0005-0000-0000-000067100000}"/>
    <cellStyle name="Normal 2 4 5 2 3 3 3 2" xfId="21641" xr:uid="{0887AF4E-1F9C-439E-9121-4FC2441D9F5B}"/>
    <cellStyle name="Normal 2 4 5 2 3 3 3 3" xfId="14020" xr:uid="{49EB841D-011E-4EA2-9C6D-6CA2061729FA}"/>
    <cellStyle name="Normal 2 4 5 2 3 3 4" xfId="17428" xr:uid="{1411A827-B9B7-43AD-AE98-FD3DD8B27BA7}"/>
    <cellStyle name="Normal 2 4 5 2 3 3 5" xfId="9807" xr:uid="{D351A78C-3E62-496A-932F-AA8BEAA6F333}"/>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24199" xr:uid="{8DAD2497-20E1-4984-8556-0474786C2465}"/>
    <cellStyle name="Normal 2 4 5 2 3 4 2 2 3" xfId="16578" xr:uid="{1641B94D-D7A3-4538-BC8B-ADC75AC847D8}"/>
    <cellStyle name="Normal 2 4 5 2 3 4 2 3" xfId="19986" xr:uid="{2F929334-26C7-40C3-8CF4-4800361AFF6E}"/>
    <cellStyle name="Normal 2 4 5 2 3 4 2 4" xfId="12365" xr:uid="{556F0BF5-216A-4ABE-A88C-D6BC26A271FC}"/>
    <cellStyle name="Normal 2 4 5 2 3 4 3" xfId="5938" xr:uid="{00000000-0005-0000-0000-00006B100000}"/>
    <cellStyle name="Normal 2 4 5 2 3 4 3 2" xfId="22054" xr:uid="{9DE64A97-18C8-4E2B-8C96-91BDA77CD7DD}"/>
    <cellStyle name="Normal 2 4 5 2 3 4 3 3" xfId="14433" xr:uid="{FD80130C-4EB5-42AC-B05F-8C2A494F6681}"/>
    <cellStyle name="Normal 2 4 5 2 3 4 4" xfId="17841" xr:uid="{4877E391-EFA1-425A-9AEC-659C27A7F8C1}"/>
    <cellStyle name="Normal 2 4 5 2 3 4 5" xfId="10220" xr:uid="{15B9C20C-86E5-489F-B3D8-160978B125C3}"/>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24612" xr:uid="{14DBA275-E060-4D3F-B444-3D6A3CF09711}"/>
    <cellStyle name="Normal 2 4 5 2 3 5 2 2 3" xfId="16991" xr:uid="{A081F1A9-74F9-4ACB-8A4C-58021434C8EA}"/>
    <cellStyle name="Normal 2 4 5 2 3 5 2 3" xfId="20399" xr:uid="{4C8DC914-FDB9-4FDF-AD56-7E3C0AE44E5C}"/>
    <cellStyle name="Normal 2 4 5 2 3 5 2 4" xfId="12778" xr:uid="{D5C31CEB-1937-49D9-8F68-99816D2E8940}"/>
    <cellStyle name="Normal 2 4 5 2 3 5 3" xfId="6351" xr:uid="{00000000-0005-0000-0000-00006F100000}"/>
    <cellStyle name="Normal 2 4 5 2 3 5 3 2" xfId="22467" xr:uid="{431489E3-0637-4624-A1AB-7210282408BF}"/>
    <cellStyle name="Normal 2 4 5 2 3 5 3 3" xfId="14846" xr:uid="{96F9FD28-2C08-4133-AA43-63E014AF825A}"/>
    <cellStyle name="Normal 2 4 5 2 3 5 4" xfId="18254" xr:uid="{1963450E-1EE5-418E-8FBD-5E6E123C6682}"/>
    <cellStyle name="Normal 2 4 5 2 3 5 5" xfId="10633" xr:uid="{8126295F-4D2D-4BCE-9F18-A86377CFE7EC}"/>
    <cellStyle name="Normal 2 4 5 2 3 6" xfId="2481" xr:uid="{00000000-0005-0000-0000-000070100000}"/>
    <cellStyle name="Normal 2 4 5 2 3 6 2" xfId="6764" xr:uid="{00000000-0005-0000-0000-000071100000}"/>
    <cellStyle name="Normal 2 4 5 2 3 6 2 2" xfId="22880" xr:uid="{7EF6D812-396E-4A78-8302-36E665096C2E}"/>
    <cellStyle name="Normal 2 4 5 2 3 6 2 3" xfId="15259" xr:uid="{8F48EC2E-C3A9-44D1-BC5B-C7618E2EF0CC}"/>
    <cellStyle name="Normal 2 4 5 2 3 6 3" xfId="18667" xr:uid="{5030777F-4641-4060-9058-EAF02E1B956C}"/>
    <cellStyle name="Normal 2 4 5 2 3 6 4" xfId="11046" xr:uid="{19361413-641D-4AB1-ABD8-E031672CBC37}"/>
    <cellStyle name="Normal 2 4 5 2 3 7" xfId="4698" xr:uid="{00000000-0005-0000-0000-000072100000}"/>
    <cellStyle name="Normal 2 4 5 2 3 7 2" xfId="20815" xr:uid="{6EECEFDE-CBE7-4404-BD65-534E7FB095F2}"/>
    <cellStyle name="Normal 2 4 5 2 3 7 3" xfId="13194" xr:uid="{59ECA66B-E77E-4352-823F-7B37B205CDCB}"/>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23370" xr:uid="{B0B28B91-65A5-45B5-8D57-B082CD4F562D}"/>
    <cellStyle name="Normal 2 4 5 2 4 2 2 3" xfId="15749" xr:uid="{F6E1903A-10B2-41EE-9B04-DFB43F08EEE9}"/>
    <cellStyle name="Normal 2 4 5 2 4 2 3" xfId="19157" xr:uid="{0D8349B0-FE9B-4C33-AD9C-56C18DB41A93}"/>
    <cellStyle name="Normal 2 4 5 2 4 2 4" xfId="11536" xr:uid="{226236CE-5FE6-45BB-87A1-1C0277799BD2}"/>
    <cellStyle name="Normal 2 4 5 2 4 3" xfId="5109" xr:uid="{00000000-0005-0000-0000-000076100000}"/>
    <cellStyle name="Normal 2 4 5 2 4 3 2" xfId="21225" xr:uid="{9A667B69-ECA8-49C1-AD51-A63EF90E3CC5}"/>
    <cellStyle name="Normal 2 4 5 2 4 3 3" xfId="13604" xr:uid="{E1BB674D-4114-4042-AB91-701C602AF51A}"/>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23783" xr:uid="{3842D5C6-8495-4EC2-9445-9D81FF1B1446}"/>
    <cellStyle name="Normal 2 4 5 2 5 2 2 3" xfId="16162" xr:uid="{E0AABF9E-4711-4F6B-8373-B6C680F84FAC}"/>
    <cellStyle name="Normal 2 4 5 2 5 2 3" xfId="19570" xr:uid="{6CC3BFDE-2E05-4538-98FA-CE0148F135C2}"/>
    <cellStyle name="Normal 2 4 5 2 5 2 4" xfId="11949" xr:uid="{FDA44FB9-5FED-4487-91B0-CBF9AD36D9D5}"/>
    <cellStyle name="Normal 2 4 5 2 5 3" xfId="5522" xr:uid="{00000000-0005-0000-0000-00007A100000}"/>
    <cellStyle name="Normal 2 4 5 2 5 3 2" xfId="21638" xr:uid="{E44BA62E-D8EA-48DD-8ED9-86EAD713D296}"/>
    <cellStyle name="Normal 2 4 5 2 5 3 3" xfId="14017" xr:uid="{75BB6FFD-F407-42D6-97D1-A4C639ACE902}"/>
    <cellStyle name="Normal 2 4 5 2 5 4" xfId="17425" xr:uid="{E806E33F-85CC-4732-9A47-AEA8FA8F99A0}"/>
    <cellStyle name="Normal 2 4 5 2 5 5" xfId="9804" xr:uid="{3BE63128-6D61-418E-BEC0-2A47826DE025}"/>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24196" xr:uid="{A4A05729-CE43-4C11-B2A3-84381CFA9B63}"/>
    <cellStyle name="Normal 2 4 5 2 6 2 2 3" xfId="16575" xr:uid="{D18E4FF7-35E2-45B1-B049-75E0B5BBD9DF}"/>
    <cellStyle name="Normal 2 4 5 2 6 2 3" xfId="19983" xr:uid="{86D22AE9-9A6C-4B75-B7DB-B37D13418A5F}"/>
    <cellStyle name="Normal 2 4 5 2 6 2 4" xfId="12362" xr:uid="{AE09B612-EB49-47F8-B229-F8B99C8A64AA}"/>
    <cellStyle name="Normal 2 4 5 2 6 3" xfId="5935" xr:uid="{00000000-0005-0000-0000-00007E100000}"/>
    <cellStyle name="Normal 2 4 5 2 6 3 2" xfId="22051" xr:uid="{8E776481-65FC-47EF-98D0-22B6D0871516}"/>
    <cellStyle name="Normal 2 4 5 2 6 3 3" xfId="14430" xr:uid="{57B726C9-D3A6-42BD-A79A-E81E63BDE8A8}"/>
    <cellStyle name="Normal 2 4 5 2 6 4" xfId="17838" xr:uid="{FEFC59DD-AAC7-48E7-B30D-D423A1D935BD}"/>
    <cellStyle name="Normal 2 4 5 2 6 5" xfId="10217" xr:uid="{0D38A7C8-A34E-4353-8153-F5ABD9565C9D}"/>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24609" xr:uid="{13823BC1-BE47-48C6-B542-5081989489A7}"/>
    <cellStyle name="Normal 2 4 5 2 7 2 2 3" xfId="16988" xr:uid="{76355DFE-39DC-471D-9FB1-E59061E71901}"/>
    <cellStyle name="Normal 2 4 5 2 7 2 3" xfId="20396" xr:uid="{60C7692A-8963-4F2C-919A-63E7AEEE94CB}"/>
    <cellStyle name="Normal 2 4 5 2 7 2 4" xfId="12775" xr:uid="{C7305F11-296C-409F-AE66-335BEF7AB5B3}"/>
    <cellStyle name="Normal 2 4 5 2 7 3" xfId="6348" xr:uid="{00000000-0005-0000-0000-000082100000}"/>
    <cellStyle name="Normal 2 4 5 2 7 3 2" xfId="22464" xr:uid="{7909525C-04FD-4FFE-B1B6-B3CF3C37D394}"/>
    <cellStyle name="Normal 2 4 5 2 7 3 3" xfId="14843" xr:uid="{26E81B82-3EB5-4F3F-A794-1D5C3DAB7EE2}"/>
    <cellStyle name="Normal 2 4 5 2 7 4" xfId="18251" xr:uid="{A384BCE3-3ED9-4A11-A075-C75F519A8E80}"/>
    <cellStyle name="Normal 2 4 5 2 7 5" xfId="10630" xr:uid="{84C736D6-9B87-419D-AF82-86F0DB58BC88}"/>
    <cellStyle name="Normal 2 4 5 2 8" xfId="2478" xr:uid="{00000000-0005-0000-0000-000083100000}"/>
    <cellStyle name="Normal 2 4 5 2 8 2" xfId="6761" xr:uid="{00000000-0005-0000-0000-000084100000}"/>
    <cellStyle name="Normal 2 4 5 2 8 2 2" xfId="22877" xr:uid="{DBCCA6C3-14E3-40AE-9B24-D86EB830C66C}"/>
    <cellStyle name="Normal 2 4 5 2 8 2 3" xfId="15256" xr:uid="{FDB8B16C-1B40-4F20-82C9-70689BA82129}"/>
    <cellStyle name="Normal 2 4 5 2 8 3" xfId="18664" xr:uid="{EC733117-22F2-4ADD-8BFB-D1212D19409B}"/>
    <cellStyle name="Normal 2 4 5 2 8 4" xfId="11043" xr:uid="{08E99753-E1ED-4ED0-9335-23A913A03466}"/>
    <cellStyle name="Normal 2 4 5 2 9" xfId="4695" xr:uid="{00000000-0005-0000-0000-000085100000}"/>
    <cellStyle name="Normal 2 4 5 2 9 2" xfId="20812" xr:uid="{1D269CD2-54C2-427A-B349-6012B48CDD05}"/>
    <cellStyle name="Normal 2 4 5 2 9 3" xfId="13191" xr:uid="{5E9FC335-B6BC-4EB6-B691-537F824D15D4}"/>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23375" xr:uid="{11A5CC23-7190-41C4-A5D2-C267C851150A}"/>
    <cellStyle name="Normal 2 4 5 3 2 2 2 2 3" xfId="15754" xr:uid="{AE477720-3831-4004-AA34-D19451526245}"/>
    <cellStyle name="Normal 2 4 5 3 2 2 2 3" xfId="19162" xr:uid="{6ECE308E-A6CD-40D6-848C-9D484B878FA9}"/>
    <cellStyle name="Normal 2 4 5 3 2 2 2 4" xfId="11541" xr:uid="{1D883200-015F-46AB-B0B2-049E6D7E9680}"/>
    <cellStyle name="Normal 2 4 5 3 2 2 3" xfId="5114" xr:uid="{00000000-0005-0000-0000-00008B100000}"/>
    <cellStyle name="Normal 2 4 5 3 2 2 3 2" xfId="21230" xr:uid="{2E98C85C-DA10-467E-BA0F-A7526EA55F14}"/>
    <cellStyle name="Normal 2 4 5 3 2 2 3 3" xfId="13609" xr:uid="{EB2C7745-4480-42F4-8357-37375CC30928}"/>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23788" xr:uid="{EAF5F0B8-5160-4E6F-8549-9E779B5218DE}"/>
    <cellStyle name="Normal 2 4 5 3 2 3 2 2 3" xfId="16167" xr:uid="{65E7C237-7029-4AED-B320-4EFB113C1917}"/>
    <cellStyle name="Normal 2 4 5 3 2 3 2 3" xfId="19575" xr:uid="{B04DBF14-1258-4474-9C3B-B6FB86AE0787}"/>
    <cellStyle name="Normal 2 4 5 3 2 3 2 4" xfId="11954" xr:uid="{62EE4F6C-2613-4E4B-BED1-5F2B1358A27E}"/>
    <cellStyle name="Normal 2 4 5 3 2 3 3" xfId="5527" xr:uid="{00000000-0005-0000-0000-00008F100000}"/>
    <cellStyle name="Normal 2 4 5 3 2 3 3 2" xfId="21643" xr:uid="{782733C6-35C4-4A36-9F3D-281084240668}"/>
    <cellStyle name="Normal 2 4 5 3 2 3 3 3" xfId="14022" xr:uid="{AD2C36B8-559D-41F5-A78D-43DB2CE1A65B}"/>
    <cellStyle name="Normal 2 4 5 3 2 3 4" xfId="17430" xr:uid="{631FF05C-3979-4A3A-9A48-CCC024CBFBDE}"/>
    <cellStyle name="Normal 2 4 5 3 2 3 5" xfId="9809" xr:uid="{4FE70E7D-6215-4BFC-AA3A-CC1A3CEAA1B2}"/>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24201" xr:uid="{AA13E933-0C72-4F2E-82A5-CF7AC6095D07}"/>
    <cellStyle name="Normal 2 4 5 3 2 4 2 2 3" xfId="16580" xr:uid="{E5C518F3-1898-4CD9-B3B4-6F0B4DD6EF50}"/>
    <cellStyle name="Normal 2 4 5 3 2 4 2 3" xfId="19988" xr:uid="{E197621B-C2DB-4F5B-8433-335CE72474E7}"/>
    <cellStyle name="Normal 2 4 5 3 2 4 2 4" xfId="12367" xr:uid="{9F82FF16-99E6-4192-829D-77CBFB4557E7}"/>
    <cellStyle name="Normal 2 4 5 3 2 4 3" xfId="5940" xr:uid="{00000000-0005-0000-0000-000093100000}"/>
    <cellStyle name="Normal 2 4 5 3 2 4 3 2" xfId="22056" xr:uid="{6DBC028E-259A-4706-AF32-B470F29A0E4A}"/>
    <cellStyle name="Normal 2 4 5 3 2 4 3 3" xfId="14435" xr:uid="{FF02ECA4-D43B-4F03-8619-8B9CAAFF4089}"/>
    <cellStyle name="Normal 2 4 5 3 2 4 4" xfId="17843" xr:uid="{03783711-29B9-4678-A829-ABBD1D5E9641}"/>
    <cellStyle name="Normal 2 4 5 3 2 4 5" xfId="10222" xr:uid="{9C0D3C83-CA9A-443A-A912-173DA7D7D436}"/>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24614" xr:uid="{36E0B707-654C-483F-84AB-2F499854ECB5}"/>
    <cellStyle name="Normal 2 4 5 3 2 5 2 2 3" xfId="16993" xr:uid="{5846A142-3C90-4B82-8E09-54D295BC5490}"/>
    <cellStyle name="Normal 2 4 5 3 2 5 2 3" xfId="20401" xr:uid="{74B82B5F-5D0F-47F3-9A44-6ECCD89D4E33}"/>
    <cellStyle name="Normal 2 4 5 3 2 5 2 4" xfId="12780" xr:uid="{D4C29CDE-5464-49AF-AA3E-8C48BCA6519B}"/>
    <cellStyle name="Normal 2 4 5 3 2 5 3" xfId="6353" xr:uid="{00000000-0005-0000-0000-000097100000}"/>
    <cellStyle name="Normal 2 4 5 3 2 5 3 2" xfId="22469" xr:uid="{CC53B4B7-CC91-430A-8AAD-DF13D4FE57EF}"/>
    <cellStyle name="Normal 2 4 5 3 2 5 3 3" xfId="14848" xr:uid="{E9E5428F-1637-46BB-A768-DB15B9C66C2A}"/>
    <cellStyle name="Normal 2 4 5 3 2 5 4" xfId="18256" xr:uid="{E737D763-7887-4885-BB48-D7180E4A5456}"/>
    <cellStyle name="Normal 2 4 5 3 2 5 5" xfId="10635" xr:uid="{BD37D86E-C01A-45E7-A542-19DE646CD2BF}"/>
    <cellStyle name="Normal 2 4 5 3 2 6" xfId="2483" xr:uid="{00000000-0005-0000-0000-000098100000}"/>
    <cellStyle name="Normal 2 4 5 3 2 6 2" xfId="6766" xr:uid="{00000000-0005-0000-0000-000099100000}"/>
    <cellStyle name="Normal 2 4 5 3 2 6 2 2" xfId="22882" xr:uid="{BE842BD5-DEF9-46CF-9DF8-2F6A2CA17AC8}"/>
    <cellStyle name="Normal 2 4 5 3 2 6 2 3" xfId="15261" xr:uid="{66D8D09B-95EB-4382-ADF2-3A28DAC98B0A}"/>
    <cellStyle name="Normal 2 4 5 3 2 6 3" xfId="18669" xr:uid="{79481062-D2CD-463A-94C4-C0A3A5FAB77B}"/>
    <cellStyle name="Normal 2 4 5 3 2 6 4" xfId="11048" xr:uid="{0C72FEE9-0E8F-4575-83DE-DD3C82AE00CB}"/>
    <cellStyle name="Normal 2 4 5 3 2 7" xfId="4700" xr:uid="{00000000-0005-0000-0000-00009A100000}"/>
    <cellStyle name="Normal 2 4 5 3 2 7 2" xfId="20817" xr:uid="{6E10AD31-2872-4461-A646-FBFA031C40B7}"/>
    <cellStyle name="Normal 2 4 5 3 2 7 3" xfId="13196" xr:uid="{CAF1AD8E-DC75-4CAE-8839-EFF357F6D3F4}"/>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23374" xr:uid="{703D36C7-44F9-4E6E-BD40-1BEB33FFF91B}"/>
    <cellStyle name="Normal 2 4 5 3 3 2 2 3" xfId="15753" xr:uid="{B2E3B506-CC06-411F-93D6-108390B5E054}"/>
    <cellStyle name="Normal 2 4 5 3 3 2 3" xfId="19161" xr:uid="{AC25587E-183A-463A-BF07-5CCA8321DED4}"/>
    <cellStyle name="Normal 2 4 5 3 3 2 4" xfId="11540" xr:uid="{E41D06AC-9E47-4578-9D8D-6F8091CADA50}"/>
    <cellStyle name="Normal 2 4 5 3 3 3" xfId="5113" xr:uid="{00000000-0005-0000-0000-00009E100000}"/>
    <cellStyle name="Normal 2 4 5 3 3 3 2" xfId="21229" xr:uid="{91FDA8D4-DB27-499D-8EC7-752F0B6D8147}"/>
    <cellStyle name="Normal 2 4 5 3 3 3 3" xfId="13608" xr:uid="{318F568B-BD81-4165-916D-2A51F2282FCC}"/>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23787" xr:uid="{49F3ED00-A71F-45DF-AD45-D17EE5341B1E}"/>
    <cellStyle name="Normal 2 4 5 3 4 2 2 3" xfId="16166" xr:uid="{F3A10F95-0F1F-420C-9460-5AEC3E3BAB29}"/>
    <cellStyle name="Normal 2 4 5 3 4 2 3" xfId="19574" xr:uid="{21A83E78-4B30-48C9-9A10-5CB12A004D4E}"/>
    <cellStyle name="Normal 2 4 5 3 4 2 4" xfId="11953" xr:uid="{C154BD97-54C2-4B74-9832-3FC203C44E12}"/>
    <cellStyle name="Normal 2 4 5 3 4 3" xfId="5526" xr:uid="{00000000-0005-0000-0000-0000A2100000}"/>
    <cellStyle name="Normal 2 4 5 3 4 3 2" xfId="21642" xr:uid="{128FF8B3-6641-4D2C-9C02-4B7A0490064F}"/>
    <cellStyle name="Normal 2 4 5 3 4 3 3" xfId="14021" xr:uid="{D4BBD337-784D-41D7-8E35-0D39471A3F42}"/>
    <cellStyle name="Normal 2 4 5 3 4 4" xfId="17429" xr:uid="{2D4189CD-666C-44CD-9A53-804D25412E13}"/>
    <cellStyle name="Normal 2 4 5 3 4 5" xfId="9808" xr:uid="{BDC2E119-4BCE-4A41-8FB3-BF59415D8D13}"/>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24200" xr:uid="{6E3E725E-0DA3-410C-9DDC-6F96D8DB0F7D}"/>
    <cellStyle name="Normal 2 4 5 3 5 2 2 3" xfId="16579" xr:uid="{18960EE4-80C4-4C9B-945E-8C06D6E8A372}"/>
    <cellStyle name="Normal 2 4 5 3 5 2 3" xfId="19987" xr:uid="{0CA724B2-8B7C-4A22-A8A4-80593D9A9461}"/>
    <cellStyle name="Normal 2 4 5 3 5 2 4" xfId="12366" xr:uid="{2FA17BCA-35EA-4DB2-9CE8-B2559346A3D6}"/>
    <cellStyle name="Normal 2 4 5 3 5 3" xfId="5939" xr:uid="{00000000-0005-0000-0000-0000A6100000}"/>
    <cellStyle name="Normal 2 4 5 3 5 3 2" xfId="22055" xr:uid="{C5C0E7B3-CEE8-4CF9-B657-78918348C6D0}"/>
    <cellStyle name="Normal 2 4 5 3 5 3 3" xfId="14434" xr:uid="{AF58FC72-C9A5-42B2-806E-0694DB01ECCE}"/>
    <cellStyle name="Normal 2 4 5 3 5 4" xfId="17842" xr:uid="{AE15288F-CCEE-42BC-BD0C-9ED8BFFAF825}"/>
    <cellStyle name="Normal 2 4 5 3 5 5" xfId="10221" xr:uid="{F9DEADDA-04FF-48D7-8E60-0AD7D5155197}"/>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24613" xr:uid="{F42A02DE-97CE-42C8-B1C3-E0BF1E34B46C}"/>
    <cellStyle name="Normal 2 4 5 3 6 2 2 3" xfId="16992" xr:uid="{34F5144D-6A4E-4436-8406-D3299619E78D}"/>
    <cellStyle name="Normal 2 4 5 3 6 2 3" xfId="20400" xr:uid="{41111B5B-6EFB-405B-B1D8-E205F9A6BE72}"/>
    <cellStyle name="Normal 2 4 5 3 6 2 4" xfId="12779" xr:uid="{D5071F1C-9A58-4DEE-A21F-186F83AC3337}"/>
    <cellStyle name="Normal 2 4 5 3 6 3" xfId="6352" xr:uid="{00000000-0005-0000-0000-0000AA100000}"/>
    <cellStyle name="Normal 2 4 5 3 6 3 2" xfId="22468" xr:uid="{6B89E2DA-3739-4578-AE96-51B8444CF74B}"/>
    <cellStyle name="Normal 2 4 5 3 6 3 3" xfId="14847" xr:uid="{358A718D-05DD-470C-8BAC-82C5E64CFC6A}"/>
    <cellStyle name="Normal 2 4 5 3 6 4" xfId="18255" xr:uid="{1E403E94-069B-4A94-947D-0553E84920D5}"/>
    <cellStyle name="Normal 2 4 5 3 6 5" xfId="10634" xr:uid="{D706F795-9369-4AE3-ACF0-0A78A6D366CA}"/>
    <cellStyle name="Normal 2 4 5 3 7" xfId="2482" xr:uid="{00000000-0005-0000-0000-0000AB100000}"/>
    <cellStyle name="Normal 2 4 5 3 7 2" xfId="6765" xr:uid="{00000000-0005-0000-0000-0000AC100000}"/>
    <cellStyle name="Normal 2 4 5 3 7 2 2" xfId="22881" xr:uid="{B0833BD4-38DC-4078-AB1E-C5601FCEFEA0}"/>
    <cellStyle name="Normal 2 4 5 3 7 2 3" xfId="15260" xr:uid="{9D719F90-1BDA-445E-AF65-3C023C950F26}"/>
    <cellStyle name="Normal 2 4 5 3 7 3" xfId="18668" xr:uid="{A671F662-C134-4DBE-A4C5-2DDEF4F05581}"/>
    <cellStyle name="Normal 2 4 5 3 7 4" xfId="11047" xr:uid="{E5C6627A-8EC3-4482-A0C4-C4D35329C56E}"/>
    <cellStyle name="Normal 2 4 5 3 8" xfId="4699" xr:uid="{00000000-0005-0000-0000-0000AD100000}"/>
    <cellStyle name="Normal 2 4 5 3 8 2" xfId="20816" xr:uid="{6B61651E-36FB-4679-8D19-862462C2C032}"/>
    <cellStyle name="Normal 2 4 5 3 8 3" xfId="13195" xr:uid="{6988E860-6495-4B5E-A710-9F8E93DA3A03}"/>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23376" xr:uid="{7CF7FD50-5961-4A16-AFF8-6C9BF9A0C00D}"/>
    <cellStyle name="Normal 2 4 5 4 2 2 2 3" xfId="15755" xr:uid="{70FA01BC-2433-49A0-B19A-7A5D062FBF6E}"/>
    <cellStyle name="Normal 2 4 5 4 2 2 3" xfId="19163" xr:uid="{E96E5DB9-F89F-4EC1-87B4-2D398D421219}"/>
    <cellStyle name="Normal 2 4 5 4 2 2 4" xfId="11542" xr:uid="{3780C25B-5382-46E7-B7DB-F1B0E5333531}"/>
    <cellStyle name="Normal 2 4 5 4 2 3" xfId="5115" xr:uid="{00000000-0005-0000-0000-0000B2100000}"/>
    <cellStyle name="Normal 2 4 5 4 2 3 2" xfId="21231" xr:uid="{294A1E18-6163-44F2-B3B9-51F0050B511D}"/>
    <cellStyle name="Normal 2 4 5 4 2 3 3" xfId="13610" xr:uid="{CD52AA88-3CD2-4E2F-A31C-F6C9321F69D4}"/>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23789" xr:uid="{A254B6AC-89C5-4514-8140-1B96E42B193E}"/>
    <cellStyle name="Normal 2 4 5 4 3 2 2 3" xfId="16168" xr:uid="{22F2E190-B0CB-486B-B72C-44B7766D0276}"/>
    <cellStyle name="Normal 2 4 5 4 3 2 3" xfId="19576" xr:uid="{ADE97B5F-361B-4485-9096-27066F75091B}"/>
    <cellStyle name="Normal 2 4 5 4 3 2 4" xfId="11955" xr:uid="{E26059EF-9C7C-4ECC-B09F-D96D583922E7}"/>
    <cellStyle name="Normal 2 4 5 4 3 3" xfId="5528" xr:uid="{00000000-0005-0000-0000-0000B6100000}"/>
    <cellStyle name="Normal 2 4 5 4 3 3 2" xfId="21644" xr:uid="{7930CA30-78F5-4DCE-8596-D7E759ECF7F0}"/>
    <cellStyle name="Normal 2 4 5 4 3 3 3" xfId="14023" xr:uid="{A51B3F88-8DB7-49DA-B441-7E47233C7C54}"/>
    <cellStyle name="Normal 2 4 5 4 3 4" xfId="17431" xr:uid="{00BB4C21-FE91-4E1D-8378-DFAAD3B7BCEC}"/>
    <cellStyle name="Normal 2 4 5 4 3 5" xfId="9810" xr:uid="{731ECB9F-A9A9-4DC7-8974-1BB408168250}"/>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24202" xr:uid="{787D7681-7511-4194-BBA5-478FC00B6851}"/>
    <cellStyle name="Normal 2 4 5 4 4 2 2 3" xfId="16581" xr:uid="{9A82C0FA-0402-48D4-A464-A74CC0BA77D8}"/>
    <cellStyle name="Normal 2 4 5 4 4 2 3" xfId="19989" xr:uid="{6D7D7408-C860-4551-98A9-7BB6D289CD73}"/>
    <cellStyle name="Normal 2 4 5 4 4 2 4" xfId="12368" xr:uid="{A97B41F5-022F-419E-982B-368EF5BBD370}"/>
    <cellStyle name="Normal 2 4 5 4 4 3" xfId="5941" xr:uid="{00000000-0005-0000-0000-0000BA100000}"/>
    <cellStyle name="Normal 2 4 5 4 4 3 2" xfId="22057" xr:uid="{78ED3C9A-B6A6-4159-B99E-14A558C71C70}"/>
    <cellStyle name="Normal 2 4 5 4 4 3 3" xfId="14436" xr:uid="{3DC2A4D7-A51C-44C0-A625-2B6D138B1ED8}"/>
    <cellStyle name="Normal 2 4 5 4 4 4" xfId="17844" xr:uid="{4F1CB9A3-658C-4FEA-882D-7504E3A976B5}"/>
    <cellStyle name="Normal 2 4 5 4 4 5" xfId="10223" xr:uid="{14F25E09-BE03-48B5-8781-0A1DED86A08C}"/>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24615" xr:uid="{8277AD36-CC8F-4C52-82E4-8E5D1041714D}"/>
    <cellStyle name="Normal 2 4 5 4 5 2 2 3" xfId="16994" xr:uid="{5CFBBF52-D699-4C70-85C4-739927127B9E}"/>
    <cellStyle name="Normal 2 4 5 4 5 2 3" xfId="20402" xr:uid="{23E30945-EFA7-46B9-9BA5-32E15D5F1D5C}"/>
    <cellStyle name="Normal 2 4 5 4 5 2 4" xfId="12781" xr:uid="{8EF401BE-7116-4BC9-AA20-CBB7B832421E}"/>
    <cellStyle name="Normal 2 4 5 4 5 3" xfId="6354" xr:uid="{00000000-0005-0000-0000-0000BE100000}"/>
    <cellStyle name="Normal 2 4 5 4 5 3 2" xfId="22470" xr:uid="{6DA91CC2-B9C1-4E22-A8F7-2CE378B5C115}"/>
    <cellStyle name="Normal 2 4 5 4 5 3 3" xfId="14849" xr:uid="{7C1AD091-501E-4334-A913-94229251802B}"/>
    <cellStyle name="Normal 2 4 5 4 5 4" xfId="18257" xr:uid="{9AD01B4C-9FB3-4395-83A1-CB2A293D3B94}"/>
    <cellStyle name="Normal 2 4 5 4 5 5" xfId="10636" xr:uid="{EC92C8EB-22D7-4510-A1D7-27C26D32BB10}"/>
    <cellStyle name="Normal 2 4 5 4 6" xfId="2484" xr:uid="{00000000-0005-0000-0000-0000BF100000}"/>
    <cellStyle name="Normal 2 4 5 4 6 2" xfId="6767" xr:uid="{00000000-0005-0000-0000-0000C0100000}"/>
    <cellStyle name="Normal 2 4 5 4 6 2 2" xfId="22883" xr:uid="{AEA1B397-344D-4C1F-A01A-28DDCB18396A}"/>
    <cellStyle name="Normal 2 4 5 4 6 2 3" xfId="15262" xr:uid="{6A408FD2-64DF-4D25-B089-C14B823EAA2A}"/>
    <cellStyle name="Normal 2 4 5 4 6 3" xfId="18670" xr:uid="{E3BDAD82-C3B3-4F79-B4F0-523C4A2C15D7}"/>
    <cellStyle name="Normal 2 4 5 4 6 4" xfId="11049" xr:uid="{6E9D5DB7-2AAE-4768-8E1F-91D754F7EBB7}"/>
    <cellStyle name="Normal 2 4 5 4 7" xfId="4701" xr:uid="{00000000-0005-0000-0000-0000C1100000}"/>
    <cellStyle name="Normal 2 4 5 4 7 2" xfId="20818" xr:uid="{3531F0AE-4274-4082-80A3-7F852058C951}"/>
    <cellStyle name="Normal 2 4 5 4 7 3" xfId="13197" xr:uid="{EE24B9A8-7A6A-4262-8232-793200574D1D}"/>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2 2 2" xfId="23369" xr:uid="{04DA703F-4551-453C-AF31-D1CDFBF80C42}"/>
    <cellStyle name="Normal 2 4 5 5 2 2 3" xfId="15748" xr:uid="{FEB4DBAC-776D-4517-9B79-A776EF7FB961}"/>
    <cellStyle name="Normal 2 4 5 5 2 3" xfId="19156" xr:uid="{29DD9C5B-4A2F-4546-8F66-F82B9B2AE2D7}"/>
    <cellStyle name="Normal 2 4 5 5 2 4" xfId="11535" xr:uid="{8D8B3A2B-E7A4-4451-8710-B7BC13C98835}"/>
    <cellStyle name="Normal 2 4 5 5 3" xfId="5108" xr:uid="{00000000-0005-0000-0000-0000C5100000}"/>
    <cellStyle name="Normal 2 4 5 5 3 2" xfId="21224" xr:uid="{DE52AD0A-DE31-42FD-BDB4-161066474104}"/>
    <cellStyle name="Normal 2 4 5 5 3 3" xfId="13603" xr:uid="{C91222F5-1D97-4879-8C56-08E3015D9B19}"/>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2 2 2" xfId="23782" xr:uid="{C86C6ED5-A0FB-4205-A94C-ECE2276CA8C2}"/>
    <cellStyle name="Normal 2 4 5 6 2 2 3" xfId="16161" xr:uid="{CF089B65-DD92-4F31-A45A-B0743316A26A}"/>
    <cellStyle name="Normal 2 4 5 6 2 3" xfId="19569" xr:uid="{8B604B8E-BBF0-4F85-8BDA-983EF8085D5F}"/>
    <cellStyle name="Normal 2 4 5 6 2 4" xfId="11948" xr:uid="{31A21609-584B-4005-BBDC-A6E63DEAAA1A}"/>
    <cellStyle name="Normal 2 4 5 6 3" xfId="5521" xr:uid="{00000000-0005-0000-0000-0000C9100000}"/>
    <cellStyle name="Normal 2 4 5 6 3 2" xfId="21637" xr:uid="{BFDE01C7-817A-4F5D-A3EE-A770DF20607D}"/>
    <cellStyle name="Normal 2 4 5 6 3 3" xfId="14016" xr:uid="{4230F090-4D6D-4B00-A02F-D8540823BE62}"/>
    <cellStyle name="Normal 2 4 5 6 4" xfId="17424" xr:uid="{66D1241A-EC4C-46C4-B69C-352C4F387162}"/>
    <cellStyle name="Normal 2 4 5 6 5" xfId="9803" xr:uid="{13B33653-9ED4-4B2D-B743-E12724EC8325}"/>
    <cellStyle name="Normal 2 4 5 7" xfId="1627" xr:uid="{00000000-0005-0000-0000-0000CA100000}"/>
    <cellStyle name="Normal 2 4 5 7 2" xfId="3857" xr:uid="{00000000-0005-0000-0000-0000CB100000}"/>
    <cellStyle name="Normal 2 4 5 7 2 2" xfId="8079" xr:uid="{00000000-0005-0000-0000-0000CC100000}"/>
    <cellStyle name="Normal 2 4 5 7 2 2 2" xfId="24195" xr:uid="{05639520-6556-4793-BCC5-812B6B3EAD76}"/>
    <cellStyle name="Normal 2 4 5 7 2 2 3" xfId="16574" xr:uid="{357FFDFA-2194-4016-8199-098D304ABCB1}"/>
    <cellStyle name="Normal 2 4 5 7 2 3" xfId="19982" xr:uid="{D3C18B7A-ADCC-4D71-B4E2-F22F0DA2304F}"/>
    <cellStyle name="Normal 2 4 5 7 2 4" xfId="12361" xr:uid="{DF99CCAA-C4D7-40B6-A54E-BF6B6A0DACE4}"/>
    <cellStyle name="Normal 2 4 5 7 3" xfId="5934" xr:uid="{00000000-0005-0000-0000-0000CD100000}"/>
    <cellStyle name="Normal 2 4 5 7 3 2" xfId="22050" xr:uid="{759E8157-B9F2-4CF6-A503-92FB5D3F890D}"/>
    <cellStyle name="Normal 2 4 5 7 3 3" xfId="14429" xr:uid="{1F9743F2-CA73-434F-9DAB-C9172E28FEBE}"/>
    <cellStyle name="Normal 2 4 5 7 4" xfId="17837" xr:uid="{3E6145CD-0171-4D6A-9028-BD96244B28E1}"/>
    <cellStyle name="Normal 2 4 5 7 5" xfId="10216" xr:uid="{62FB9F39-3812-4D73-AF1E-38049B8FED18}"/>
    <cellStyle name="Normal 2 4 5 8" xfId="2041" xr:uid="{00000000-0005-0000-0000-0000CE100000}"/>
    <cellStyle name="Normal 2 4 5 8 2" xfId="4270" xr:uid="{00000000-0005-0000-0000-0000CF100000}"/>
    <cellStyle name="Normal 2 4 5 8 2 2" xfId="8492" xr:uid="{00000000-0005-0000-0000-0000D0100000}"/>
    <cellStyle name="Normal 2 4 5 8 2 2 2" xfId="24608" xr:uid="{E015DF5A-A42E-45A5-A39B-DCEF0D1EBDB4}"/>
    <cellStyle name="Normal 2 4 5 8 2 2 3" xfId="16987" xr:uid="{B3496D4C-D0DB-4937-B4A8-7CEEE589C659}"/>
    <cellStyle name="Normal 2 4 5 8 2 3" xfId="20395" xr:uid="{6455906A-4926-4B5E-AAB2-3E52CD8E90EF}"/>
    <cellStyle name="Normal 2 4 5 8 2 4" xfId="12774" xr:uid="{99830A89-FE39-4782-98E7-7ECD50A3498D}"/>
    <cellStyle name="Normal 2 4 5 8 3" xfId="6347" xr:uid="{00000000-0005-0000-0000-0000D1100000}"/>
    <cellStyle name="Normal 2 4 5 8 3 2" xfId="22463" xr:uid="{CB2786E8-C998-45A9-A767-5C6EA66E0D28}"/>
    <cellStyle name="Normal 2 4 5 8 3 3" xfId="14842" xr:uid="{975BFB34-AA47-4688-B0B1-0F94655C1DCD}"/>
    <cellStyle name="Normal 2 4 5 8 4" xfId="18250" xr:uid="{16C7770D-C3BC-4107-84D3-C626396193EE}"/>
    <cellStyle name="Normal 2 4 5 8 5" xfId="10629" xr:uid="{972EC002-A038-4E49-959F-464ED2536EA3}"/>
    <cellStyle name="Normal 2 4 5 9" xfId="2477" xr:uid="{00000000-0005-0000-0000-0000D2100000}"/>
    <cellStyle name="Normal 2 4 5 9 2" xfId="6760" xr:uid="{00000000-0005-0000-0000-0000D3100000}"/>
    <cellStyle name="Normal 2 4 5 9 2 2" xfId="22876" xr:uid="{DA861533-AFDC-484A-A57D-D911B2F9E125}"/>
    <cellStyle name="Normal 2 4 5 9 2 3" xfId="15255" xr:uid="{C476D460-B6AD-46CF-8E7D-24A25815B1A1}"/>
    <cellStyle name="Normal 2 4 5 9 3" xfId="18663" xr:uid="{BC669F8C-4966-428F-ADA7-FE7723B6D9B4}"/>
    <cellStyle name="Normal 2 4 5 9 4" xfId="11042" xr:uid="{1663DC86-2D8C-41F1-8F73-733AFDA64B8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23378" xr:uid="{F3B6DFF5-8F38-4A5E-8B10-1AE5C5818C9E}"/>
    <cellStyle name="Normal 2 4 7 2 2 2 2 3" xfId="15757" xr:uid="{FD419236-F7D8-4D32-8471-ED372803C003}"/>
    <cellStyle name="Normal 2 4 7 2 2 2 3" xfId="19165" xr:uid="{38346FEE-BA80-4C04-BCC8-B370A627396A}"/>
    <cellStyle name="Normal 2 4 7 2 2 2 4" xfId="11544" xr:uid="{880C5488-2681-4D1B-B9F9-F7F229A4FF0F}"/>
    <cellStyle name="Normal 2 4 7 2 2 3" xfId="5117" xr:uid="{00000000-0005-0000-0000-0000DA100000}"/>
    <cellStyle name="Normal 2 4 7 2 2 3 2" xfId="21233" xr:uid="{448B14B1-5C48-4BD1-BE75-3DC6DEC47B30}"/>
    <cellStyle name="Normal 2 4 7 2 2 3 3" xfId="13612" xr:uid="{28561BEC-7740-487A-B726-7B3C3281E442}"/>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23791" xr:uid="{ECE232FB-AA0B-45BA-9BB0-A8001D5F0CBE}"/>
    <cellStyle name="Normal 2 4 7 2 3 2 2 3" xfId="16170" xr:uid="{A7A0662C-3FCE-44ED-97B5-20394FF1C8EE}"/>
    <cellStyle name="Normal 2 4 7 2 3 2 3" xfId="19578" xr:uid="{2BF38C1B-1A8B-40F1-8C4B-CB12A4DE2B73}"/>
    <cellStyle name="Normal 2 4 7 2 3 2 4" xfId="11957" xr:uid="{F0230A0C-055E-444C-8C0A-0384BA07FD78}"/>
    <cellStyle name="Normal 2 4 7 2 3 3" xfId="5530" xr:uid="{00000000-0005-0000-0000-0000DE100000}"/>
    <cellStyle name="Normal 2 4 7 2 3 3 2" xfId="21646" xr:uid="{68590259-30D8-433E-A6CC-183FBEDFD721}"/>
    <cellStyle name="Normal 2 4 7 2 3 3 3" xfId="14025" xr:uid="{A25827AA-B75C-471C-B583-53A5DCAFBCCA}"/>
    <cellStyle name="Normal 2 4 7 2 3 4" xfId="17433" xr:uid="{305981CE-39CB-49E0-AB25-3492E5932632}"/>
    <cellStyle name="Normal 2 4 7 2 3 5" xfId="9812" xr:uid="{73708F61-F61E-4956-9462-8F4DE2787654}"/>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24204" xr:uid="{91FF2677-3C23-4748-8C81-C1CFB41D68DA}"/>
    <cellStyle name="Normal 2 4 7 2 4 2 2 3" xfId="16583" xr:uid="{D81E3E7F-DE52-48D7-98F5-82254CC16F80}"/>
    <cellStyle name="Normal 2 4 7 2 4 2 3" xfId="19991" xr:uid="{96D81371-428B-469C-98C4-8AFF9C6BC036}"/>
    <cellStyle name="Normal 2 4 7 2 4 2 4" xfId="12370" xr:uid="{A365270F-7D9A-4CFE-9BA3-377429660617}"/>
    <cellStyle name="Normal 2 4 7 2 4 3" xfId="5943" xr:uid="{00000000-0005-0000-0000-0000E2100000}"/>
    <cellStyle name="Normal 2 4 7 2 4 3 2" xfId="22059" xr:uid="{FEEEB31B-1B62-426D-8249-545C3277C20B}"/>
    <cellStyle name="Normal 2 4 7 2 4 3 3" xfId="14438" xr:uid="{620B00E7-6748-4661-B41D-248D558F2789}"/>
    <cellStyle name="Normal 2 4 7 2 4 4" xfId="17846" xr:uid="{4819E1A5-7A76-4022-AB71-145774A5C33D}"/>
    <cellStyle name="Normal 2 4 7 2 4 5" xfId="10225" xr:uid="{F8217C16-FF89-429C-9625-9A2501DD2554}"/>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24617" xr:uid="{D315349C-EDB3-4AF6-8A09-5C19D1228C5C}"/>
    <cellStyle name="Normal 2 4 7 2 5 2 2 3" xfId="16996" xr:uid="{E0D5E75B-2EA2-4FAB-B2FD-EC2DB2CBC1AB}"/>
    <cellStyle name="Normal 2 4 7 2 5 2 3" xfId="20404" xr:uid="{0CD7EF00-BCF6-4739-99B8-874782F61340}"/>
    <cellStyle name="Normal 2 4 7 2 5 2 4" xfId="12783" xr:uid="{B5D6657F-2924-4025-BE8D-1D9391E561FB}"/>
    <cellStyle name="Normal 2 4 7 2 5 3" xfId="6356" xr:uid="{00000000-0005-0000-0000-0000E6100000}"/>
    <cellStyle name="Normal 2 4 7 2 5 3 2" xfId="22472" xr:uid="{E54F707E-957E-401C-B644-B50AE4AD0307}"/>
    <cellStyle name="Normal 2 4 7 2 5 3 3" xfId="14851" xr:uid="{1A18051A-04BC-485D-94AB-783B9E50CDA4}"/>
    <cellStyle name="Normal 2 4 7 2 5 4" xfId="18259" xr:uid="{B0DF5CD8-076B-45EE-9BB4-27B37291035C}"/>
    <cellStyle name="Normal 2 4 7 2 5 5" xfId="10638" xr:uid="{72A831B9-5014-4546-8F43-298DF909589D}"/>
    <cellStyle name="Normal 2 4 7 2 6" xfId="2486" xr:uid="{00000000-0005-0000-0000-0000E7100000}"/>
    <cellStyle name="Normal 2 4 7 2 6 2" xfId="6769" xr:uid="{00000000-0005-0000-0000-0000E8100000}"/>
    <cellStyle name="Normal 2 4 7 2 6 2 2" xfId="22885" xr:uid="{ADC28C7F-367A-4060-8DF0-EB164BCADC40}"/>
    <cellStyle name="Normal 2 4 7 2 6 2 3" xfId="15264" xr:uid="{E8D9775E-464F-4CDE-95BC-2A8A67E5F194}"/>
    <cellStyle name="Normal 2 4 7 2 6 3" xfId="18672" xr:uid="{DC7F8040-FD6B-4DE5-8DEB-A159B3E1608D}"/>
    <cellStyle name="Normal 2 4 7 2 6 4" xfId="11051" xr:uid="{F8544758-AE1F-44DC-A304-D051D8BB5E50}"/>
    <cellStyle name="Normal 2 4 7 2 7" xfId="4703" xr:uid="{00000000-0005-0000-0000-0000E9100000}"/>
    <cellStyle name="Normal 2 4 7 2 7 2" xfId="20820" xr:uid="{69195934-D559-4CD4-9F11-EA30CB8ADB25}"/>
    <cellStyle name="Normal 2 4 7 2 7 3" xfId="13199" xr:uid="{59CB3AD4-90EC-437B-9C4B-A5FAAC978A27}"/>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2 2 2" xfId="23377" xr:uid="{9C8903B7-CE94-4ECD-9619-7DE62DFA3E37}"/>
    <cellStyle name="Normal 2 4 7 3 2 2 3" xfId="15756" xr:uid="{80B53A81-6955-4296-B05F-E9C28074643F}"/>
    <cellStyle name="Normal 2 4 7 3 2 3" xfId="19164" xr:uid="{32C51F82-4B44-455B-9332-2220AC790441}"/>
    <cellStyle name="Normal 2 4 7 3 2 4" xfId="11543" xr:uid="{1B27A363-65F8-4A7E-B026-BC10533723C7}"/>
    <cellStyle name="Normal 2 4 7 3 3" xfId="5116" xr:uid="{00000000-0005-0000-0000-0000ED100000}"/>
    <cellStyle name="Normal 2 4 7 3 3 2" xfId="21232" xr:uid="{FD0C9087-C152-4A38-B1B4-E068341909AE}"/>
    <cellStyle name="Normal 2 4 7 3 3 3" xfId="13611" xr:uid="{48084B66-2501-495A-81AC-875EB11A8382}"/>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2 2 2" xfId="23790" xr:uid="{D81AE371-4CC4-42CC-9B3B-1C3C4482FA0E}"/>
    <cellStyle name="Normal 2 4 7 4 2 2 3" xfId="16169" xr:uid="{D36FB1D0-587B-473B-BC7A-88888E637B7B}"/>
    <cellStyle name="Normal 2 4 7 4 2 3" xfId="19577" xr:uid="{7CB82952-F44C-4D45-9233-2FA18A034BEA}"/>
    <cellStyle name="Normal 2 4 7 4 2 4" xfId="11956" xr:uid="{D69A1A86-4C41-4A63-A08B-C7B717623973}"/>
    <cellStyle name="Normal 2 4 7 4 3" xfId="5529" xr:uid="{00000000-0005-0000-0000-0000F1100000}"/>
    <cellStyle name="Normal 2 4 7 4 3 2" xfId="21645" xr:uid="{4A26B906-ADB1-413B-B582-2A795DFB42A2}"/>
    <cellStyle name="Normal 2 4 7 4 3 3" xfId="14024" xr:uid="{02B79F56-0396-41D9-9F80-BA7CB1326956}"/>
    <cellStyle name="Normal 2 4 7 4 4" xfId="17432" xr:uid="{D01257D7-80A6-4E05-8117-B95584850B18}"/>
    <cellStyle name="Normal 2 4 7 4 5" xfId="9811" xr:uid="{A48D7956-EB68-406E-A3E5-90B4C05FDB78}"/>
    <cellStyle name="Normal 2 4 7 5" xfId="1635" xr:uid="{00000000-0005-0000-0000-0000F2100000}"/>
    <cellStyle name="Normal 2 4 7 5 2" xfId="3865" xr:uid="{00000000-0005-0000-0000-0000F3100000}"/>
    <cellStyle name="Normal 2 4 7 5 2 2" xfId="8087" xr:uid="{00000000-0005-0000-0000-0000F4100000}"/>
    <cellStyle name="Normal 2 4 7 5 2 2 2" xfId="24203" xr:uid="{3F9C4163-5D70-4B81-BDE0-5320868C45DC}"/>
    <cellStyle name="Normal 2 4 7 5 2 2 3" xfId="16582" xr:uid="{B7530A71-E9D9-4322-B2D8-F5BEC6A3B7E2}"/>
    <cellStyle name="Normal 2 4 7 5 2 3" xfId="19990" xr:uid="{64E24D46-DE85-4BA3-B71E-1808D0B4C378}"/>
    <cellStyle name="Normal 2 4 7 5 2 4" xfId="12369" xr:uid="{343AFB1C-0293-4771-BECC-53ADAB7392C8}"/>
    <cellStyle name="Normal 2 4 7 5 3" xfId="5942" xr:uid="{00000000-0005-0000-0000-0000F5100000}"/>
    <cellStyle name="Normal 2 4 7 5 3 2" xfId="22058" xr:uid="{B6DFD21C-E688-44F8-8A6B-C7E45B1A8561}"/>
    <cellStyle name="Normal 2 4 7 5 3 3" xfId="14437" xr:uid="{8A1848DF-6009-4FD8-8DB3-23BA073A39AF}"/>
    <cellStyle name="Normal 2 4 7 5 4" xfId="17845" xr:uid="{902AB10A-08C9-4032-AD30-99D51F43A4CD}"/>
    <cellStyle name="Normal 2 4 7 5 5" xfId="10224" xr:uid="{E1BCF285-5280-4163-A98F-D2FEF54DA0C9}"/>
    <cellStyle name="Normal 2 4 7 6" xfId="2049" xr:uid="{00000000-0005-0000-0000-0000F6100000}"/>
    <cellStyle name="Normal 2 4 7 6 2" xfId="4278" xr:uid="{00000000-0005-0000-0000-0000F7100000}"/>
    <cellStyle name="Normal 2 4 7 6 2 2" xfId="8500" xr:uid="{00000000-0005-0000-0000-0000F8100000}"/>
    <cellStyle name="Normal 2 4 7 6 2 2 2" xfId="24616" xr:uid="{F5F464ED-F57E-454C-B8F1-61E1007FF503}"/>
    <cellStyle name="Normal 2 4 7 6 2 2 3" xfId="16995" xr:uid="{BA4972A5-472B-41A9-BF34-776C55DE01BC}"/>
    <cellStyle name="Normal 2 4 7 6 2 3" xfId="20403" xr:uid="{0DEF262E-845F-4033-8E49-913FE3EC4700}"/>
    <cellStyle name="Normal 2 4 7 6 2 4" xfId="12782" xr:uid="{75ED6D15-CF46-42DC-9A19-36848914BFB3}"/>
    <cellStyle name="Normal 2 4 7 6 3" xfId="6355" xr:uid="{00000000-0005-0000-0000-0000F9100000}"/>
    <cellStyle name="Normal 2 4 7 6 3 2" xfId="22471" xr:uid="{D19945F4-CF39-49F2-AA24-03A52F1C77F7}"/>
    <cellStyle name="Normal 2 4 7 6 3 3" xfId="14850" xr:uid="{FF1AB3B1-4E61-4150-8EE7-BD8699BD5AD8}"/>
    <cellStyle name="Normal 2 4 7 6 4" xfId="18258" xr:uid="{448D9EEC-00E5-41C8-AC94-90F229F2EB2C}"/>
    <cellStyle name="Normal 2 4 7 6 5" xfId="10637" xr:uid="{3AD24BF2-49A1-4736-B54E-279076713537}"/>
    <cellStyle name="Normal 2 4 7 7" xfId="2485" xr:uid="{00000000-0005-0000-0000-0000FA100000}"/>
    <cellStyle name="Normal 2 4 7 7 2" xfId="6768" xr:uid="{00000000-0005-0000-0000-0000FB100000}"/>
    <cellStyle name="Normal 2 4 7 7 2 2" xfId="22884" xr:uid="{18CBF755-D390-4A07-9F16-CCC9167E3CD5}"/>
    <cellStyle name="Normal 2 4 7 7 2 3" xfId="15263" xr:uid="{D9CE89A5-EB52-428C-874F-9490937A54DF}"/>
    <cellStyle name="Normal 2 4 7 7 3" xfId="18671" xr:uid="{D10B2282-8887-4DDA-A05E-8F85CE69A49D}"/>
    <cellStyle name="Normal 2 4 7 7 4" xfId="11050" xr:uid="{71C614FC-C70E-49CF-BA22-0710AD4E82E4}"/>
    <cellStyle name="Normal 2 4 7 8" xfId="4702" xr:uid="{00000000-0005-0000-0000-0000FC100000}"/>
    <cellStyle name="Normal 2 4 7 8 2" xfId="20819" xr:uid="{B61EA4B5-FF2E-4941-9A22-6D174EFC354B}"/>
    <cellStyle name="Normal 2 4 7 8 3" xfId="13198" xr:uid="{4934CDB3-E46E-4F27-B6CC-BEBDA22E80BB}"/>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23379" xr:uid="{4F82909E-0F9F-4373-9ED6-AAFF24BFD4B1}"/>
    <cellStyle name="Normal 2 4 8 2 2 2 3" xfId="15758" xr:uid="{4CB2E730-16E8-4F4F-BC01-0767945781B6}"/>
    <cellStyle name="Normal 2 4 8 2 2 3" xfId="19166" xr:uid="{06E3BF38-2C4D-4B21-8F17-23509CE8F1F8}"/>
    <cellStyle name="Normal 2 4 8 2 2 4" xfId="11545" xr:uid="{465326A1-A317-487D-9FA9-57BCB1C95B1D}"/>
    <cellStyle name="Normal 2 4 8 2 3" xfId="5118" xr:uid="{00000000-0005-0000-0000-000001110000}"/>
    <cellStyle name="Normal 2 4 8 2 3 2" xfId="21234" xr:uid="{410DBC6B-05D3-4181-876C-6C32D7CC608E}"/>
    <cellStyle name="Normal 2 4 8 2 3 3" xfId="13613" xr:uid="{FA29C258-F655-412B-8093-78C78E759671}"/>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2 2 2" xfId="23792" xr:uid="{AF2763D9-176C-4C9D-BF5E-8FCDC4CD2E71}"/>
    <cellStyle name="Normal 2 4 8 3 2 2 3" xfId="16171" xr:uid="{ADDD51FA-DC03-4A1E-94EF-033EF0EC2D18}"/>
    <cellStyle name="Normal 2 4 8 3 2 3" xfId="19579" xr:uid="{5AD37FB5-C918-4A3B-965F-D65CDECD21B1}"/>
    <cellStyle name="Normal 2 4 8 3 2 4" xfId="11958" xr:uid="{63F08D7B-CD3B-4B80-9226-2862FBAC861A}"/>
    <cellStyle name="Normal 2 4 8 3 3" xfId="5531" xr:uid="{00000000-0005-0000-0000-000005110000}"/>
    <cellStyle name="Normal 2 4 8 3 3 2" xfId="21647" xr:uid="{527E6723-E3B7-473A-806E-2F7B599FA288}"/>
    <cellStyle name="Normal 2 4 8 3 3 3" xfId="14026" xr:uid="{037D2DC0-7024-4EC5-839C-492E5699BFA6}"/>
    <cellStyle name="Normal 2 4 8 3 4" xfId="17434" xr:uid="{6213D465-467D-425F-BE8C-3801B1D2369F}"/>
    <cellStyle name="Normal 2 4 8 3 5" xfId="9813" xr:uid="{40281CCE-0CCF-4097-B07C-47FF44C85F09}"/>
    <cellStyle name="Normal 2 4 8 4" xfId="1637" xr:uid="{00000000-0005-0000-0000-000006110000}"/>
    <cellStyle name="Normal 2 4 8 4 2" xfId="3867" xr:uid="{00000000-0005-0000-0000-000007110000}"/>
    <cellStyle name="Normal 2 4 8 4 2 2" xfId="8089" xr:uid="{00000000-0005-0000-0000-000008110000}"/>
    <cellStyle name="Normal 2 4 8 4 2 2 2" xfId="24205" xr:uid="{03851660-2D72-415A-A7C1-B9F06E3F4E0B}"/>
    <cellStyle name="Normal 2 4 8 4 2 2 3" xfId="16584" xr:uid="{B2FB0970-7505-4EDB-8B9A-37062F307FF4}"/>
    <cellStyle name="Normal 2 4 8 4 2 3" xfId="19992" xr:uid="{DDCB3449-4F0F-4819-BF5D-7B6D59BFFC94}"/>
    <cellStyle name="Normal 2 4 8 4 2 4" xfId="12371" xr:uid="{3144EFB0-F670-451A-9DBF-22240E6D7202}"/>
    <cellStyle name="Normal 2 4 8 4 3" xfId="5944" xr:uid="{00000000-0005-0000-0000-000009110000}"/>
    <cellStyle name="Normal 2 4 8 4 3 2" xfId="22060" xr:uid="{17838705-015C-4D19-831F-871B20CEB9A7}"/>
    <cellStyle name="Normal 2 4 8 4 3 3" xfId="14439" xr:uid="{E48D61D0-4C46-4C6C-B741-C2F29065FB3A}"/>
    <cellStyle name="Normal 2 4 8 4 4" xfId="17847" xr:uid="{E6293DA0-C27F-48D4-9526-A0F56490E272}"/>
    <cellStyle name="Normal 2 4 8 4 5" xfId="10226" xr:uid="{7137D8B2-D73A-48E7-A767-B295EF44B29B}"/>
    <cellStyle name="Normal 2 4 8 5" xfId="2051" xr:uid="{00000000-0005-0000-0000-00000A110000}"/>
    <cellStyle name="Normal 2 4 8 5 2" xfId="4280" xr:uid="{00000000-0005-0000-0000-00000B110000}"/>
    <cellStyle name="Normal 2 4 8 5 2 2" xfId="8502" xr:uid="{00000000-0005-0000-0000-00000C110000}"/>
    <cellStyle name="Normal 2 4 8 5 2 2 2" xfId="24618" xr:uid="{4A177962-7AA4-43B2-9C2D-32CA761A89E0}"/>
    <cellStyle name="Normal 2 4 8 5 2 2 3" xfId="16997" xr:uid="{55691D09-C330-49A9-9C68-EBEECC6C2934}"/>
    <cellStyle name="Normal 2 4 8 5 2 3" xfId="20405" xr:uid="{30BFA69C-1841-4D12-9473-BC29D8995592}"/>
    <cellStyle name="Normal 2 4 8 5 2 4" xfId="12784" xr:uid="{C1F9821E-6B16-40EE-8BF9-7BE5F27852A6}"/>
    <cellStyle name="Normal 2 4 8 5 3" xfId="6357" xr:uid="{00000000-0005-0000-0000-00000D110000}"/>
    <cellStyle name="Normal 2 4 8 5 3 2" xfId="22473" xr:uid="{63B08E9E-F3F1-475F-A269-0CC0D7DDC12F}"/>
    <cellStyle name="Normal 2 4 8 5 3 3" xfId="14852" xr:uid="{9F599DDA-EA37-471E-87D4-B58FBBD3FA5B}"/>
    <cellStyle name="Normal 2 4 8 5 4" xfId="18260" xr:uid="{ADCBEF45-82F8-4B2C-A10C-ABB4642E101D}"/>
    <cellStyle name="Normal 2 4 8 5 5" xfId="10639" xr:uid="{8F122CC3-2249-48DA-AFD5-5FE2555830CD}"/>
    <cellStyle name="Normal 2 4 8 6" xfId="2487" xr:uid="{00000000-0005-0000-0000-00000E110000}"/>
    <cellStyle name="Normal 2 4 8 6 2" xfId="6770" xr:uid="{00000000-0005-0000-0000-00000F110000}"/>
    <cellStyle name="Normal 2 4 8 6 2 2" xfId="22886" xr:uid="{0AA12DC6-5A24-450D-A4AD-91271CC37396}"/>
    <cellStyle name="Normal 2 4 8 6 2 3" xfId="15265" xr:uid="{CF52D3DA-7754-4F22-8A64-02CE519D3B9D}"/>
    <cellStyle name="Normal 2 4 8 6 3" xfId="18673" xr:uid="{AFF29FB7-1717-412F-8436-6B9602BD437E}"/>
    <cellStyle name="Normal 2 4 8 6 4" xfId="11052" xr:uid="{C5FEA8EA-370F-41D9-ADD9-B8C3DF60E502}"/>
    <cellStyle name="Normal 2 4 8 7" xfId="4704" xr:uid="{00000000-0005-0000-0000-000010110000}"/>
    <cellStyle name="Normal 2 4 8 7 2" xfId="20821" xr:uid="{7B1F3934-6738-4A5A-96C0-2DB77A402C37}"/>
    <cellStyle name="Normal 2 4 8 7 3" xfId="13200" xr:uid="{84F03103-F05B-46CF-89A4-2B103C4D977E}"/>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10 2" xfId="20822" xr:uid="{3EBB1509-BFA1-4DAD-B3EB-F26CE299ED82}"/>
    <cellStyle name="Normal 2 5 10 3" xfId="13201" xr:uid="{262419FC-C852-428A-AC1B-649A98B5C08F}"/>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23383" xr:uid="{2BE941F7-E206-4CB9-B578-2DD3ED68BC0F}"/>
    <cellStyle name="Normal 2 5 4 2 2 2 2 2 3" xfId="15762" xr:uid="{DFE9FBFF-F52F-4E74-B22A-738AEB898FAC}"/>
    <cellStyle name="Normal 2 5 4 2 2 2 2 3" xfId="19170" xr:uid="{4EFC6016-EBFA-4F45-8117-57B5EE6A3CFD}"/>
    <cellStyle name="Normal 2 5 4 2 2 2 2 4" xfId="11549" xr:uid="{48BBC0C5-7E67-494A-8746-AA47CA77F23C}"/>
    <cellStyle name="Normal 2 5 4 2 2 2 3" xfId="5122" xr:uid="{00000000-0005-0000-0000-00001B110000}"/>
    <cellStyle name="Normal 2 5 4 2 2 2 3 2" xfId="21238" xr:uid="{96DA9F5F-A414-4776-A775-AEFFCC57ACF3}"/>
    <cellStyle name="Normal 2 5 4 2 2 2 3 3" xfId="13617" xr:uid="{FACB14E5-E6A5-42C5-8DB4-8B8E38859721}"/>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23796" xr:uid="{CD43D910-E3D7-48E7-98D8-98FD20C1AB79}"/>
    <cellStyle name="Normal 2 5 4 2 2 3 2 2 3" xfId="16175" xr:uid="{DFE89DD1-0FBA-45F0-83CC-D2AC42A66963}"/>
    <cellStyle name="Normal 2 5 4 2 2 3 2 3" xfId="19583" xr:uid="{D2BA350A-607D-4E9C-B112-AE093B25A537}"/>
    <cellStyle name="Normal 2 5 4 2 2 3 2 4" xfId="11962" xr:uid="{DA9146A6-B43D-46C9-9BC2-2E65E7FEFDF5}"/>
    <cellStyle name="Normal 2 5 4 2 2 3 3" xfId="5535" xr:uid="{00000000-0005-0000-0000-00001F110000}"/>
    <cellStyle name="Normal 2 5 4 2 2 3 3 2" xfId="21651" xr:uid="{FD35B14E-F31D-4A06-A3FE-BAD6C5B0FFCE}"/>
    <cellStyle name="Normal 2 5 4 2 2 3 3 3" xfId="14030" xr:uid="{4FD5E00E-E49D-4E8D-B001-27C88D7EC8F5}"/>
    <cellStyle name="Normal 2 5 4 2 2 3 4" xfId="17438" xr:uid="{9A428E61-B266-47CC-B549-447A54EF9C5B}"/>
    <cellStyle name="Normal 2 5 4 2 2 3 5" xfId="9817" xr:uid="{E0C1FCDE-4AF6-43B2-8A7F-A0918F81E001}"/>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24209" xr:uid="{362096E9-4367-4158-A30A-BDE9D68B9C21}"/>
    <cellStyle name="Normal 2 5 4 2 2 4 2 2 3" xfId="16588" xr:uid="{BCDF83A0-973F-4A9B-B91A-02476C5FE279}"/>
    <cellStyle name="Normal 2 5 4 2 2 4 2 3" xfId="19996" xr:uid="{5A556616-C9A6-4D01-A0C4-DD3F17A2434B}"/>
    <cellStyle name="Normal 2 5 4 2 2 4 2 4" xfId="12375" xr:uid="{E1D43B2B-ADE3-4A7C-B68D-B1E41E7AB7BE}"/>
    <cellStyle name="Normal 2 5 4 2 2 4 3" xfId="5948" xr:uid="{00000000-0005-0000-0000-000023110000}"/>
    <cellStyle name="Normal 2 5 4 2 2 4 3 2" xfId="22064" xr:uid="{F601C040-9913-4BE9-BC1B-E59BC712DADF}"/>
    <cellStyle name="Normal 2 5 4 2 2 4 3 3" xfId="14443" xr:uid="{70C33D3E-6912-4BBE-AC0D-13A06EE75D7E}"/>
    <cellStyle name="Normal 2 5 4 2 2 4 4" xfId="17851" xr:uid="{83CA1FB4-658C-4BD2-BF62-4640F788BA7A}"/>
    <cellStyle name="Normal 2 5 4 2 2 4 5" xfId="10230" xr:uid="{50FA03A8-7896-4885-8903-47239D5E37C8}"/>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24622" xr:uid="{2323040F-2686-4F23-8997-A370B15E3C8B}"/>
    <cellStyle name="Normal 2 5 4 2 2 5 2 2 3" xfId="17001" xr:uid="{C84850FC-60E9-478B-8729-A39D867BF4A3}"/>
    <cellStyle name="Normal 2 5 4 2 2 5 2 3" xfId="20409" xr:uid="{919B2D8F-BD94-43DF-B8E2-BE8DE238E585}"/>
    <cellStyle name="Normal 2 5 4 2 2 5 2 4" xfId="12788" xr:uid="{92195BCB-FCB7-4039-83D4-F9A5E014470D}"/>
    <cellStyle name="Normal 2 5 4 2 2 5 3" xfId="6361" xr:uid="{00000000-0005-0000-0000-000027110000}"/>
    <cellStyle name="Normal 2 5 4 2 2 5 3 2" xfId="22477" xr:uid="{DB0F9801-D6C7-4E4A-A3D4-33A153248974}"/>
    <cellStyle name="Normal 2 5 4 2 2 5 3 3" xfId="14856" xr:uid="{CAF0FC26-F74B-4055-AC41-B6D3B2BC850C}"/>
    <cellStyle name="Normal 2 5 4 2 2 5 4" xfId="18264" xr:uid="{07864C29-364C-41CF-9CD4-E2EE99F562A8}"/>
    <cellStyle name="Normal 2 5 4 2 2 5 5" xfId="10643" xr:uid="{AE70CC92-3ED9-460F-9810-6611578AA91B}"/>
    <cellStyle name="Normal 2 5 4 2 2 6" xfId="2491" xr:uid="{00000000-0005-0000-0000-000028110000}"/>
    <cellStyle name="Normal 2 5 4 2 2 6 2" xfId="6774" xr:uid="{00000000-0005-0000-0000-000029110000}"/>
    <cellStyle name="Normal 2 5 4 2 2 6 2 2" xfId="22890" xr:uid="{F871E0AD-36D5-487E-99B8-724FB97BA80D}"/>
    <cellStyle name="Normal 2 5 4 2 2 6 2 3" xfId="15269" xr:uid="{628ADC0F-EF67-4FA0-8EA6-E7F954848DD5}"/>
    <cellStyle name="Normal 2 5 4 2 2 6 3" xfId="18677" xr:uid="{197A59C8-B64F-4EB7-90C1-1565C43AACA2}"/>
    <cellStyle name="Normal 2 5 4 2 2 6 4" xfId="11056" xr:uid="{4424CD65-E3AD-4BDD-8765-43B8B04C74A8}"/>
    <cellStyle name="Normal 2 5 4 2 2 7" xfId="4708" xr:uid="{00000000-0005-0000-0000-00002A110000}"/>
    <cellStyle name="Normal 2 5 4 2 2 7 2" xfId="20825" xr:uid="{77DD40A1-4F42-43C6-B324-2F8242A3E92A}"/>
    <cellStyle name="Normal 2 5 4 2 2 7 3" xfId="13204" xr:uid="{6C9546BA-C93F-467F-8C80-B34437B2CA0F}"/>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23382" xr:uid="{E68995C7-2198-4821-B1A6-87A52ADCCF79}"/>
    <cellStyle name="Normal 2 5 4 2 3 2 2 3" xfId="15761" xr:uid="{A8BF2785-6A98-4193-A064-ECFEEC435CDF}"/>
    <cellStyle name="Normal 2 5 4 2 3 2 3" xfId="19169" xr:uid="{6AAAE2F0-CA6A-4DD4-9B4A-BE22BB976194}"/>
    <cellStyle name="Normal 2 5 4 2 3 2 4" xfId="11548" xr:uid="{4B4C2F9C-7672-4A8A-A9E8-E3A82DD3F0A2}"/>
    <cellStyle name="Normal 2 5 4 2 3 3" xfId="5121" xr:uid="{00000000-0005-0000-0000-00002E110000}"/>
    <cellStyle name="Normal 2 5 4 2 3 3 2" xfId="21237" xr:uid="{C02CBC24-7332-4B29-9BF8-6F429BCC72B0}"/>
    <cellStyle name="Normal 2 5 4 2 3 3 3" xfId="13616" xr:uid="{2CD26093-19D4-40B1-9494-FEDE984217AF}"/>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23795" xr:uid="{410CBE47-6AAE-4395-989F-162E59381CB9}"/>
    <cellStyle name="Normal 2 5 4 2 4 2 2 3" xfId="16174" xr:uid="{FE487093-C913-445E-9773-B5B175D74C48}"/>
    <cellStyle name="Normal 2 5 4 2 4 2 3" xfId="19582" xr:uid="{541DC514-F8C6-44CF-9DC5-D5A257F969C3}"/>
    <cellStyle name="Normal 2 5 4 2 4 2 4" xfId="11961" xr:uid="{168370F2-89B8-4188-AEB1-BAB22A7E8635}"/>
    <cellStyle name="Normal 2 5 4 2 4 3" xfId="5534" xr:uid="{00000000-0005-0000-0000-000032110000}"/>
    <cellStyle name="Normal 2 5 4 2 4 3 2" xfId="21650" xr:uid="{5889B5D1-A4B3-49D2-8D58-E7E2C74AAD54}"/>
    <cellStyle name="Normal 2 5 4 2 4 3 3" xfId="14029" xr:uid="{9C18C847-D231-4E2F-96D7-608687D6723B}"/>
    <cellStyle name="Normal 2 5 4 2 4 4" xfId="17437" xr:uid="{B3B56DF0-4A77-4385-959F-60FF2D6C7D55}"/>
    <cellStyle name="Normal 2 5 4 2 4 5" xfId="9816" xr:uid="{311AE98C-E804-4261-A83B-FF73DE6FB1C0}"/>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24208" xr:uid="{BB87B59D-2089-4541-9F61-8781AD9AD5DE}"/>
    <cellStyle name="Normal 2 5 4 2 5 2 2 3" xfId="16587" xr:uid="{65E2F731-A6C9-4825-AF1C-5ED68D2A9916}"/>
    <cellStyle name="Normal 2 5 4 2 5 2 3" xfId="19995" xr:uid="{1E808E1F-48A9-41D5-B0C7-21621D5CCC4B}"/>
    <cellStyle name="Normal 2 5 4 2 5 2 4" xfId="12374" xr:uid="{072A9283-6BF4-4512-A007-FF09DE26A450}"/>
    <cellStyle name="Normal 2 5 4 2 5 3" xfId="5947" xr:uid="{00000000-0005-0000-0000-000036110000}"/>
    <cellStyle name="Normal 2 5 4 2 5 3 2" xfId="22063" xr:uid="{3B857231-54FA-4361-8778-30D664482485}"/>
    <cellStyle name="Normal 2 5 4 2 5 3 3" xfId="14442" xr:uid="{A8DAD5B4-E944-4BF9-92D0-1544CA675A49}"/>
    <cellStyle name="Normal 2 5 4 2 5 4" xfId="17850" xr:uid="{75CB2CC2-981B-4562-B181-7BCFA96D84AD}"/>
    <cellStyle name="Normal 2 5 4 2 5 5" xfId="10229" xr:uid="{16A95F26-B72B-48E6-8E53-8659F339DA81}"/>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24621" xr:uid="{896B9D13-B2BB-4413-8776-5A7BF9BC3087}"/>
    <cellStyle name="Normal 2 5 4 2 6 2 2 3" xfId="17000" xr:uid="{411F8453-71BB-4E86-B5E3-C375856CAB49}"/>
    <cellStyle name="Normal 2 5 4 2 6 2 3" xfId="20408" xr:uid="{8F8D57AF-933F-4DBF-9FFD-6B0CB6A1D1EA}"/>
    <cellStyle name="Normal 2 5 4 2 6 2 4" xfId="12787" xr:uid="{2C92C8C9-08BE-483D-BF14-B814BE0AE10F}"/>
    <cellStyle name="Normal 2 5 4 2 6 3" xfId="6360" xr:uid="{00000000-0005-0000-0000-00003A110000}"/>
    <cellStyle name="Normal 2 5 4 2 6 3 2" xfId="22476" xr:uid="{D76F1A78-AFA6-4C67-9598-ED560F5EB255}"/>
    <cellStyle name="Normal 2 5 4 2 6 3 3" xfId="14855" xr:uid="{B739EA4E-D70E-4948-BC7A-6E0ECEF4C977}"/>
    <cellStyle name="Normal 2 5 4 2 6 4" xfId="18263" xr:uid="{259B247A-0CEE-49A4-B6AD-638DAC15F88B}"/>
    <cellStyle name="Normal 2 5 4 2 6 5" xfId="10642" xr:uid="{D4E6176F-83DE-4632-8D16-958B11063388}"/>
    <cellStyle name="Normal 2 5 4 2 7" xfId="2490" xr:uid="{00000000-0005-0000-0000-00003B110000}"/>
    <cellStyle name="Normal 2 5 4 2 7 2" xfId="6773" xr:uid="{00000000-0005-0000-0000-00003C110000}"/>
    <cellStyle name="Normal 2 5 4 2 7 2 2" xfId="22889" xr:uid="{FD133D3F-6B53-42A4-95CC-C3D3CD3AF8DA}"/>
    <cellStyle name="Normal 2 5 4 2 7 2 3" xfId="15268" xr:uid="{2B079A64-CFB2-43E4-BC49-D5C2646779E4}"/>
    <cellStyle name="Normal 2 5 4 2 7 3" xfId="18676" xr:uid="{CAB7578D-8D5B-46F3-BF23-09D56691D9DC}"/>
    <cellStyle name="Normal 2 5 4 2 7 4" xfId="11055" xr:uid="{D42394CC-0046-4CB2-9758-F3D8370BC390}"/>
    <cellStyle name="Normal 2 5 4 2 8" xfId="4707" xr:uid="{00000000-0005-0000-0000-00003D110000}"/>
    <cellStyle name="Normal 2 5 4 2 8 2" xfId="20824" xr:uid="{3034FC3F-3A32-4657-BEF8-83DFC0557053}"/>
    <cellStyle name="Normal 2 5 4 2 8 3" xfId="13203" xr:uid="{19337A7C-4441-473E-B58C-686533B390D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23384" xr:uid="{9562E90B-32BB-4D1B-8588-1F3EF95381D7}"/>
    <cellStyle name="Normal 2 5 4 3 2 2 2 3" xfId="15763" xr:uid="{7DF40779-3AFA-4AE6-90B7-F4DCBA8D0A86}"/>
    <cellStyle name="Normal 2 5 4 3 2 2 3" xfId="19171" xr:uid="{031CB978-6C1A-45DA-ACE7-C65497DA0433}"/>
    <cellStyle name="Normal 2 5 4 3 2 2 4" xfId="11550" xr:uid="{E8062E3C-2BCF-4478-812F-59AF017FB53D}"/>
    <cellStyle name="Normal 2 5 4 3 2 3" xfId="5123" xr:uid="{00000000-0005-0000-0000-000042110000}"/>
    <cellStyle name="Normal 2 5 4 3 2 3 2" xfId="21239" xr:uid="{4D1E15CE-E49A-4696-A273-D83E2FCBA8DF}"/>
    <cellStyle name="Normal 2 5 4 3 2 3 3" xfId="13618" xr:uid="{C4168B83-C0F7-4218-A5AF-C8FBCE428311}"/>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23797" xr:uid="{257705D9-9846-44D2-943A-3983AA3955CA}"/>
    <cellStyle name="Normal 2 5 4 3 3 2 2 3" xfId="16176" xr:uid="{77F9D2BE-F171-458F-87D3-E9132DB66AB5}"/>
    <cellStyle name="Normal 2 5 4 3 3 2 3" xfId="19584" xr:uid="{73AD5E7F-021E-49C1-A481-8CAD6667C35E}"/>
    <cellStyle name="Normal 2 5 4 3 3 2 4" xfId="11963" xr:uid="{994B8925-9EED-43FB-8DD4-3D80BEF06A6A}"/>
    <cellStyle name="Normal 2 5 4 3 3 3" xfId="5536" xr:uid="{00000000-0005-0000-0000-000046110000}"/>
    <cellStyle name="Normal 2 5 4 3 3 3 2" xfId="21652" xr:uid="{A2B055A2-31DB-4CEB-9EB7-EE0273CFB548}"/>
    <cellStyle name="Normal 2 5 4 3 3 3 3" xfId="14031" xr:uid="{B3E41911-D56D-4BE0-9833-B10B38FF36C0}"/>
    <cellStyle name="Normal 2 5 4 3 3 4" xfId="17439" xr:uid="{90CD6360-B079-469D-AE29-CB8F76880266}"/>
    <cellStyle name="Normal 2 5 4 3 3 5" xfId="9818" xr:uid="{45A230E8-747E-4D19-8784-D2DB49C5D6FE}"/>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24210" xr:uid="{14A304B2-459E-4612-A555-924E2029E2B9}"/>
    <cellStyle name="Normal 2 5 4 3 4 2 2 3" xfId="16589" xr:uid="{4C9577E0-D898-4436-B382-C6253F295137}"/>
    <cellStyle name="Normal 2 5 4 3 4 2 3" xfId="19997" xr:uid="{2255A8C6-6C1B-431B-B5F4-65851E7ED66A}"/>
    <cellStyle name="Normal 2 5 4 3 4 2 4" xfId="12376" xr:uid="{CB9384A8-0BED-421A-98EF-AFBEE2206201}"/>
    <cellStyle name="Normal 2 5 4 3 4 3" xfId="5949" xr:uid="{00000000-0005-0000-0000-00004A110000}"/>
    <cellStyle name="Normal 2 5 4 3 4 3 2" xfId="22065" xr:uid="{374B26C7-C593-45BE-BCFE-F57D8D9E26D2}"/>
    <cellStyle name="Normal 2 5 4 3 4 3 3" xfId="14444" xr:uid="{D886EEAB-3729-45D6-A362-C11469A11C35}"/>
    <cellStyle name="Normal 2 5 4 3 4 4" xfId="17852" xr:uid="{95D2AC14-7DC8-4CC3-857C-A030A60C0DD0}"/>
    <cellStyle name="Normal 2 5 4 3 4 5" xfId="10231" xr:uid="{7535ABE0-B40C-4C7B-9DAE-58881B15914B}"/>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24623" xr:uid="{2932E23A-00C9-4A38-9329-C3665508E748}"/>
    <cellStyle name="Normal 2 5 4 3 5 2 2 3" xfId="17002" xr:uid="{F3D51A3A-D3CB-4051-A824-D3148E72E94B}"/>
    <cellStyle name="Normal 2 5 4 3 5 2 3" xfId="20410" xr:uid="{7684AD84-D952-4754-81C2-FA6128027FC3}"/>
    <cellStyle name="Normal 2 5 4 3 5 2 4" xfId="12789" xr:uid="{2A23AAD2-2BB9-4F83-9AD2-5B157B662CB8}"/>
    <cellStyle name="Normal 2 5 4 3 5 3" xfId="6362" xr:uid="{00000000-0005-0000-0000-00004E110000}"/>
    <cellStyle name="Normal 2 5 4 3 5 3 2" xfId="22478" xr:uid="{A3A2E9FF-9A46-45BD-B9CD-47534DD25420}"/>
    <cellStyle name="Normal 2 5 4 3 5 3 3" xfId="14857" xr:uid="{D04EB86B-C33D-4828-8182-65A9985392FF}"/>
    <cellStyle name="Normal 2 5 4 3 5 4" xfId="18265" xr:uid="{CA1FFD77-01A5-4BCA-A8DB-5EFBAB043391}"/>
    <cellStyle name="Normal 2 5 4 3 5 5" xfId="10644" xr:uid="{3F69A542-FBF9-4EC8-957F-F34466D4B0D0}"/>
    <cellStyle name="Normal 2 5 4 3 6" xfId="2492" xr:uid="{00000000-0005-0000-0000-00004F110000}"/>
    <cellStyle name="Normal 2 5 4 3 6 2" xfId="6775" xr:uid="{00000000-0005-0000-0000-000050110000}"/>
    <cellStyle name="Normal 2 5 4 3 6 2 2" xfId="22891" xr:uid="{B47DA308-9068-4B1D-AD17-8274AEFFD583}"/>
    <cellStyle name="Normal 2 5 4 3 6 2 3" xfId="15270" xr:uid="{F17F2520-4F4E-4DAE-B894-D2039912CD10}"/>
    <cellStyle name="Normal 2 5 4 3 6 3" xfId="18678" xr:uid="{F95BAF61-C395-437C-A473-BD9BF662AD8B}"/>
    <cellStyle name="Normal 2 5 4 3 6 4" xfId="11057" xr:uid="{785A7EC0-3FF2-44AC-92F9-1F8B8853CE5F}"/>
    <cellStyle name="Normal 2 5 4 3 7" xfId="4709" xr:uid="{00000000-0005-0000-0000-000051110000}"/>
    <cellStyle name="Normal 2 5 4 3 7 2" xfId="20826" xr:uid="{AECEE05D-639B-4010-82C8-65C06C56F9BC}"/>
    <cellStyle name="Normal 2 5 4 3 7 3" xfId="13205" xr:uid="{BAE742A3-CD26-42EB-AF0F-F741F411D9FE}"/>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2 2 2" xfId="23381" xr:uid="{8D8F3FB2-FCCC-4B0F-9BEC-5437387ED872}"/>
    <cellStyle name="Normal 2 5 4 4 2 2 3" xfId="15760" xr:uid="{81505F10-15AD-498A-AC6E-1945BB3E8978}"/>
    <cellStyle name="Normal 2 5 4 4 2 3" xfId="19168" xr:uid="{AA482795-270D-45B2-9006-3CAD370FEE62}"/>
    <cellStyle name="Normal 2 5 4 4 2 4" xfId="11547" xr:uid="{3DBC1369-B94C-4C11-98D2-51CD21232433}"/>
    <cellStyle name="Normal 2 5 4 4 3" xfId="5120" xr:uid="{00000000-0005-0000-0000-000055110000}"/>
    <cellStyle name="Normal 2 5 4 4 3 2" xfId="21236" xr:uid="{2F31EFD2-5F88-49B9-8153-C69B2C433479}"/>
    <cellStyle name="Normal 2 5 4 4 3 3" xfId="13615" xr:uid="{A4D536A6-CC3F-4534-84CA-15088CB59CD7}"/>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2 2 2" xfId="23794" xr:uid="{A47EAB7B-C823-4CC6-B799-5E054420935D}"/>
    <cellStyle name="Normal 2 5 4 5 2 2 3" xfId="16173" xr:uid="{5C7600A4-747E-41A1-9FA9-87FC10F0C63C}"/>
    <cellStyle name="Normal 2 5 4 5 2 3" xfId="19581" xr:uid="{73067817-E25F-4033-B4E8-BDDBECEE2DC4}"/>
    <cellStyle name="Normal 2 5 4 5 2 4" xfId="11960" xr:uid="{C76B4F93-021E-4A91-AB59-EB0CE6371929}"/>
    <cellStyle name="Normal 2 5 4 5 3" xfId="5533" xr:uid="{00000000-0005-0000-0000-000059110000}"/>
    <cellStyle name="Normal 2 5 4 5 3 2" xfId="21649" xr:uid="{3D665AED-24F3-49A6-8F07-5DEFEEDC5629}"/>
    <cellStyle name="Normal 2 5 4 5 3 3" xfId="14028" xr:uid="{5FFD9D3B-75D5-4AE4-BCFA-C6AB8BA539A3}"/>
    <cellStyle name="Normal 2 5 4 5 4" xfId="17436" xr:uid="{04F5D814-4097-40E4-8FDE-E42167831375}"/>
    <cellStyle name="Normal 2 5 4 5 5" xfId="9815" xr:uid="{C6BE10BC-A4F1-47DB-9CAB-7487DF9A5213}"/>
    <cellStyle name="Normal 2 5 4 6" xfId="1639" xr:uid="{00000000-0005-0000-0000-00005A110000}"/>
    <cellStyle name="Normal 2 5 4 6 2" xfId="3869" xr:uid="{00000000-0005-0000-0000-00005B110000}"/>
    <cellStyle name="Normal 2 5 4 6 2 2" xfId="8091" xr:uid="{00000000-0005-0000-0000-00005C110000}"/>
    <cellStyle name="Normal 2 5 4 6 2 2 2" xfId="24207" xr:uid="{890AEF13-522B-40B1-9625-28CCEEAD8E60}"/>
    <cellStyle name="Normal 2 5 4 6 2 2 3" xfId="16586" xr:uid="{1AB97210-9978-4B51-8112-672DA8A7BF6B}"/>
    <cellStyle name="Normal 2 5 4 6 2 3" xfId="19994" xr:uid="{3B636782-8F0C-4B8C-BB36-DEFB6FD58D2E}"/>
    <cellStyle name="Normal 2 5 4 6 2 4" xfId="12373" xr:uid="{C0631A4E-7035-40CB-A2E6-20F4158002EB}"/>
    <cellStyle name="Normal 2 5 4 6 3" xfId="5946" xr:uid="{00000000-0005-0000-0000-00005D110000}"/>
    <cellStyle name="Normal 2 5 4 6 3 2" xfId="22062" xr:uid="{8697E809-72EA-4176-8634-4E3BFB5961EE}"/>
    <cellStyle name="Normal 2 5 4 6 3 3" xfId="14441" xr:uid="{F7A4F088-E4E4-4EC0-AF94-06DD6F3EA7E4}"/>
    <cellStyle name="Normal 2 5 4 6 4" xfId="17849" xr:uid="{EFC52CBC-66EA-4057-9AB2-08BC57846F8C}"/>
    <cellStyle name="Normal 2 5 4 6 5" xfId="10228" xr:uid="{AD492A9F-9050-47DB-8D5F-660009007CF1}"/>
    <cellStyle name="Normal 2 5 4 7" xfId="2053" xr:uid="{00000000-0005-0000-0000-00005E110000}"/>
    <cellStyle name="Normal 2 5 4 7 2" xfId="4282" xr:uid="{00000000-0005-0000-0000-00005F110000}"/>
    <cellStyle name="Normal 2 5 4 7 2 2" xfId="8504" xr:uid="{00000000-0005-0000-0000-000060110000}"/>
    <cellStyle name="Normal 2 5 4 7 2 2 2" xfId="24620" xr:uid="{6F208C98-6E7E-4354-8E23-EF1FB91A66EA}"/>
    <cellStyle name="Normal 2 5 4 7 2 2 3" xfId="16999" xr:uid="{E71341B9-6D2D-4AFE-A033-184A9DD24680}"/>
    <cellStyle name="Normal 2 5 4 7 2 3" xfId="20407" xr:uid="{6AF4CFB3-8C77-44A4-9153-C2A87F753ADD}"/>
    <cellStyle name="Normal 2 5 4 7 2 4" xfId="12786" xr:uid="{6D86C836-BC38-4734-BCAF-2E8872A7AF6D}"/>
    <cellStyle name="Normal 2 5 4 7 3" xfId="6359" xr:uid="{00000000-0005-0000-0000-000061110000}"/>
    <cellStyle name="Normal 2 5 4 7 3 2" xfId="22475" xr:uid="{8390262F-F32D-406D-97BF-C58B282CF16C}"/>
    <cellStyle name="Normal 2 5 4 7 3 3" xfId="14854" xr:uid="{ECB0706E-89A8-43A4-9368-3A237F1125EE}"/>
    <cellStyle name="Normal 2 5 4 7 4" xfId="18262" xr:uid="{14676A20-4C34-47DE-83B9-E16055D012C9}"/>
    <cellStyle name="Normal 2 5 4 7 5" xfId="10641" xr:uid="{28C84B39-774C-4A77-97E2-BB9D07288464}"/>
    <cellStyle name="Normal 2 5 4 8" xfId="2489" xr:uid="{00000000-0005-0000-0000-000062110000}"/>
    <cellStyle name="Normal 2 5 4 8 2" xfId="6772" xr:uid="{00000000-0005-0000-0000-000063110000}"/>
    <cellStyle name="Normal 2 5 4 8 2 2" xfId="22888" xr:uid="{D1DF7F67-39A4-45E4-BDEC-4A62999584B4}"/>
    <cellStyle name="Normal 2 5 4 8 2 3" xfId="15267" xr:uid="{7450FCCB-53E2-4EDB-8D1C-BDB7296C77AD}"/>
    <cellStyle name="Normal 2 5 4 8 3" xfId="18675" xr:uid="{C83A00AE-3773-40F9-BC50-A146DD1CBC10}"/>
    <cellStyle name="Normal 2 5 4 8 4" xfId="11054" xr:uid="{6EBCE78F-4B04-45B1-8622-95CEDA3F9ED9}"/>
    <cellStyle name="Normal 2 5 4 9" xfId="4706" xr:uid="{00000000-0005-0000-0000-000064110000}"/>
    <cellStyle name="Normal 2 5 4 9 2" xfId="20823" xr:uid="{257B35BA-ADBE-4A3E-92D7-777038A5CBF8}"/>
    <cellStyle name="Normal 2 5 4 9 3" xfId="13202" xr:uid="{16219473-9E27-434A-9E9B-FE1C37FE17F8}"/>
    <cellStyle name="Normal 2 5 5" xfId="803" xr:uid="{00000000-0005-0000-0000-000065110000}"/>
    <cellStyle name="Normal 2 5 5 2" xfId="3042" xr:uid="{00000000-0005-0000-0000-000066110000}"/>
    <cellStyle name="Normal 2 5 5 2 2" xfId="7264" xr:uid="{00000000-0005-0000-0000-000067110000}"/>
    <cellStyle name="Normal 2 5 5 2 2 2" xfId="23380" xr:uid="{21068D92-BA25-413E-B974-81BB5ED603A8}"/>
    <cellStyle name="Normal 2 5 5 2 2 3" xfId="15759" xr:uid="{161E68EB-6C52-4522-8805-1F278C957834}"/>
    <cellStyle name="Normal 2 5 5 2 3" xfId="19167" xr:uid="{CADCE872-EE11-4574-8CC1-0ED36B31BEDA}"/>
    <cellStyle name="Normal 2 5 5 2 4" xfId="11546" xr:uid="{0258B5FE-2F35-42CC-A0AD-9A17EB0B0009}"/>
    <cellStyle name="Normal 2 5 5 3" xfId="5119" xr:uid="{00000000-0005-0000-0000-000068110000}"/>
    <cellStyle name="Normal 2 5 5 3 2" xfId="21235" xr:uid="{D40CA320-F1F0-4CAA-9819-7B59120D1320}"/>
    <cellStyle name="Normal 2 5 5 3 3" xfId="13614" xr:uid="{80F8012D-34BB-4234-874B-0F7B49B67215}"/>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2 2 2" xfId="23793" xr:uid="{17569583-B6F3-491C-B2F1-0EF44C6BE3F6}"/>
    <cellStyle name="Normal 2 5 6 2 2 3" xfId="16172" xr:uid="{3E89EEAC-C0F5-455B-93D9-39D1E4F533C3}"/>
    <cellStyle name="Normal 2 5 6 2 3" xfId="19580" xr:uid="{752E97BD-A645-4C79-9D77-060C54CF53B8}"/>
    <cellStyle name="Normal 2 5 6 2 4" xfId="11959" xr:uid="{E1F2BE70-7D1C-438C-B08C-A7564823A1D5}"/>
    <cellStyle name="Normal 2 5 6 3" xfId="5532" xr:uid="{00000000-0005-0000-0000-00006C110000}"/>
    <cellStyle name="Normal 2 5 6 3 2" xfId="21648" xr:uid="{2F6B4DA1-FE3D-4FA1-9680-3A5ACBE66470}"/>
    <cellStyle name="Normal 2 5 6 3 3" xfId="14027" xr:uid="{3ADDB059-B0A1-421B-9559-BA3D1FC7968A}"/>
    <cellStyle name="Normal 2 5 6 4" xfId="17435" xr:uid="{065BCBA7-01D4-47C5-B739-C2C3B5D81252}"/>
    <cellStyle name="Normal 2 5 6 5" xfId="9814" xr:uid="{44185A3A-46DD-49B3-A1E6-A3768BAA81AA}"/>
    <cellStyle name="Normal 2 5 7" xfId="1638" xr:uid="{00000000-0005-0000-0000-00006D110000}"/>
    <cellStyle name="Normal 2 5 7 2" xfId="3868" xr:uid="{00000000-0005-0000-0000-00006E110000}"/>
    <cellStyle name="Normal 2 5 7 2 2" xfId="8090" xr:uid="{00000000-0005-0000-0000-00006F110000}"/>
    <cellStyle name="Normal 2 5 7 2 2 2" xfId="24206" xr:uid="{079D8756-C437-4CBD-9C9D-FBA36355708E}"/>
    <cellStyle name="Normal 2 5 7 2 2 3" xfId="16585" xr:uid="{5715DEAD-78E1-4440-AF08-11BD8558ADDE}"/>
    <cellStyle name="Normal 2 5 7 2 3" xfId="19993" xr:uid="{F06B8D8E-A761-4A4E-9621-C3F615579677}"/>
    <cellStyle name="Normal 2 5 7 2 4" xfId="12372" xr:uid="{3079D044-C6AA-4049-90ED-FE97947D3049}"/>
    <cellStyle name="Normal 2 5 7 3" xfId="5945" xr:uid="{00000000-0005-0000-0000-000070110000}"/>
    <cellStyle name="Normal 2 5 7 3 2" xfId="22061" xr:uid="{C1DBB892-F2AE-45DB-B8C1-845DABB8F743}"/>
    <cellStyle name="Normal 2 5 7 3 3" xfId="14440" xr:uid="{0DB5628A-C2C5-44D3-903F-796457310BFD}"/>
    <cellStyle name="Normal 2 5 7 4" xfId="17848" xr:uid="{CF5B03D2-44D4-4ED5-97C4-F20D719F521D}"/>
    <cellStyle name="Normal 2 5 7 5" xfId="10227" xr:uid="{139AA04D-A58C-4998-96F7-BFBF408DCD4B}"/>
    <cellStyle name="Normal 2 5 8" xfId="2052" xr:uid="{00000000-0005-0000-0000-000071110000}"/>
    <cellStyle name="Normal 2 5 8 2" xfId="4281" xr:uid="{00000000-0005-0000-0000-000072110000}"/>
    <cellStyle name="Normal 2 5 8 2 2" xfId="8503" xr:uid="{00000000-0005-0000-0000-000073110000}"/>
    <cellStyle name="Normal 2 5 8 2 2 2" xfId="24619" xr:uid="{20B2B050-FBFD-4BE8-99C3-5B46CA966401}"/>
    <cellStyle name="Normal 2 5 8 2 2 3" xfId="16998" xr:uid="{D0DE12F2-E9AC-4BC0-A3D1-7255D36B19D6}"/>
    <cellStyle name="Normal 2 5 8 2 3" xfId="20406" xr:uid="{B729D599-4727-4B4D-8C29-EFB8EAFC309F}"/>
    <cellStyle name="Normal 2 5 8 2 4" xfId="12785" xr:uid="{C7913852-E0E3-4667-83F2-4EC841B60280}"/>
    <cellStyle name="Normal 2 5 8 3" xfId="6358" xr:uid="{00000000-0005-0000-0000-000074110000}"/>
    <cellStyle name="Normal 2 5 8 3 2" xfId="22474" xr:uid="{B83E281E-6516-4D92-AB7C-21A29F5425C7}"/>
    <cellStyle name="Normal 2 5 8 3 3" xfId="14853" xr:uid="{E4F7DAD3-F84E-47AE-BB38-3B3CC04A3ACB}"/>
    <cellStyle name="Normal 2 5 8 4" xfId="18261" xr:uid="{7CB65259-785A-4E7B-AB04-4955ACE33378}"/>
    <cellStyle name="Normal 2 5 8 5" xfId="10640" xr:uid="{767098BA-8630-4585-9D8A-C6CAF80A0F8F}"/>
    <cellStyle name="Normal 2 5 9" xfId="2488" xr:uid="{00000000-0005-0000-0000-000075110000}"/>
    <cellStyle name="Normal 2 5 9 2" xfId="6771" xr:uid="{00000000-0005-0000-0000-000076110000}"/>
    <cellStyle name="Normal 2 5 9 2 2" xfId="22887" xr:uid="{F8AF982E-5C2C-40CD-96D5-3F02485312E6}"/>
    <cellStyle name="Normal 2 5 9 2 3" xfId="15266" xr:uid="{E6F427CA-F728-44B5-95FB-649396756342}"/>
    <cellStyle name="Normal 2 5 9 3" xfId="18674" xr:uid="{D236A386-DAE8-473C-ADF5-035E9B029CE6}"/>
    <cellStyle name="Normal 2 5 9 4" xfId="11053" xr:uid="{CFAA4B9C-B1B6-49E5-A85C-7461CF481FD5}"/>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7 3 2" xfId="17233" xr:uid="{D7667626-76CD-4CCE-A19F-138EBC666DBB}"/>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23388" xr:uid="{56F47A14-413E-48D0-A479-E108326EA28B}"/>
    <cellStyle name="Normal 3 2 3 2 2 2 2 2 3" xfId="15767" xr:uid="{E6570D1F-76B2-4616-821B-E5AB44633F41}"/>
    <cellStyle name="Normal 3 2 3 2 2 2 2 3" xfId="19175" xr:uid="{9D29C562-11AE-4F97-9788-94CAC8F01D39}"/>
    <cellStyle name="Normal 3 2 3 2 2 2 2 4" xfId="11554" xr:uid="{57A59904-E7C5-4385-A274-3A6018531879}"/>
    <cellStyle name="Normal 3 2 3 2 2 2 3" xfId="5127" xr:uid="{00000000-0005-0000-0000-000084110000}"/>
    <cellStyle name="Normal 3 2 3 2 2 2 3 2" xfId="21243" xr:uid="{CDD0B3B4-B490-4336-A888-571D124AE6DA}"/>
    <cellStyle name="Normal 3 2 3 2 2 2 3 3" xfId="13622" xr:uid="{255366F4-2218-4F81-8739-192327D3E786}"/>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23801" xr:uid="{A2000112-E8BF-4A3F-B726-5C1EAA36B7B7}"/>
    <cellStyle name="Normal 3 2 3 2 2 3 2 2 3" xfId="16180" xr:uid="{B03A4627-C593-4D93-AB4B-291904EF3A0B}"/>
    <cellStyle name="Normal 3 2 3 2 2 3 2 3" xfId="19588" xr:uid="{47222277-C949-47E4-92F6-6AC33E4745CD}"/>
    <cellStyle name="Normal 3 2 3 2 2 3 2 4" xfId="11967" xr:uid="{CD0563E2-044C-4215-9BDB-003B45351B38}"/>
    <cellStyle name="Normal 3 2 3 2 2 3 3" xfId="5540" xr:uid="{00000000-0005-0000-0000-000088110000}"/>
    <cellStyle name="Normal 3 2 3 2 2 3 3 2" xfId="21656" xr:uid="{AFB7357D-B480-4DF2-AAA2-9447A74BA15C}"/>
    <cellStyle name="Normal 3 2 3 2 2 3 3 3" xfId="14035" xr:uid="{51F781EB-230B-4F2F-945F-6AC2A02B6D6E}"/>
    <cellStyle name="Normal 3 2 3 2 2 3 4" xfId="17443" xr:uid="{B2B4E616-F9FF-4DFC-9084-E30353C505A0}"/>
    <cellStyle name="Normal 3 2 3 2 2 3 5" xfId="9822" xr:uid="{0FEEB91A-B598-4C3E-9BCB-2503FE8D8325}"/>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24214" xr:uid="{6FA37FA0-A8E1-486F-A023-5A8998861C2B}"/>
    <cellStyle name="Normal 3 2 3 2 2 4 2 2 3" xfId="16593" xr:uid="{89AC814F-5E84-4866-A786-E3325729E790}"/>
    <cellStyle name="Normal 3 2 3 2 2 4 2 3" xfId="20001" xr:uid="{B08C6106-B774-4C52-B47D-F4699FCFB54A}"/>
    <cellStyle name="Normal 3 2 3 2 2 4 2 4" xfId="12380" xr:uid="{E0DD5FD9-E897-4702-96A9-54C0A9A3B59B}"/>
    <cellStyle name="Normal 3 2 3 2 2 4 3" xfId="5953" xr:uid="{00000000-0005-0000-0000-00008C110000}"/>
    <cellStyle name="Normal 3 2 3 2 2 4 3 2" xfId="22069" xr:uid="{4A693B63-C9EC-421B-AA39-72B6BA15B0CF}"/>
    <cellStyle name="Normal 3 2 3 2 2 4 3 3" xfId="14448" xr:uid="{373B62E4-14A1-4D0D-ADB1-100920F27EAA}"/>
    <cellStyle name="Normal 3 2 3 2 2 4 4" xfId="17856" xr:uid="{5E7307CD-4932-4B8A-B153-234AD48192B0}"/>
    <cellStyle name="Normal 3 2 3 2 2 4 5" xfId="10235" xr:uid="{71EDE6B7-3B3D-469A-9722-45E171ACECA9}"/>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24627" xr:uid="{DDC5C2DA-4C10-4C28-B973-E6F1AAC90844}"/>
    <cellStyle name="Normal 3 2 3 2 2 5 2 2 3" xfId="17006" xr:uid="{8968EF60-678F-4EDB-9DC1-764938EC94F4}"/>
    <cellStyle name="Normal 3 2 3 2 2 5 2 3" xfId="20414" xr:uid="{9B97F3FA-71E8-4143-8A30-5D7697873CAB}"/>
    <cellStyle name="Normal 3 2 3 2 2 5 2 4" xfId="12793" xr:uid="{6A5DDF6E-8587-424B-86C1-4F35F192E64E}"/>
    <cellStyle name="Normal 3 2 3 2 2 5 3" xfId="6366" xr:uid="{00000000-0005-0000-0000-000090110000}"/>
    <cellStyle name="Normal 3 2 3 2 2 5 3 2" xfId="22482" xr:uid="{55840163-418F-437F-9720-995362EEFBD8}"/>
    <cellStyle name="Normal 3 2 3 2 2 5 3 3" xfId="14861" xr:uid="{60436209-550C-4AFE-BFED-8805DAF34A95}"/>
    <cellStyle name="Normal 3 2 3 2 2 5 4" xfId="18269" xr:uid="{6B284CDA-E565-4605-B097-9974991170D3}"/>
    <cellStyle name="Normal 3 2 3 2 2 5 5" xfId="10648" xr:uid="{2114059C-BC9D-4E33-857E-62BC36DA6E5A}"/>
    <cellStyle name="Normal 3 2 3 2 2 6" xfId="2496" xr:uid="{00000000-0005-0000-0000-000091110000}"/>
    <cellStyle name="Normal 3 2 3 2 2 6 2" xfId="6779" xr:uid="{00000000-0005-0000-0000-000092110000}"/>
    <cellStyle name="Normal 3 2 3 2 2 6 2 2" xfId="22895" xr:uid="{0A062FD1-4EAA-4CA5-AA29-5392DF5D70D6}"/>
    <cellStyle name="Normal 3 2 3 2 2 6 2 3" xfId="15274" xr:uid="{62FEBB2C-AAD0-4D0F-A989-12EFC16F9FC0}"/>
    <cellStyle name="Normal 3 2 3 2 2 6 3" xfId="18682" xr:uid="{C1FF14C1-014E-4E38-8099-1C3BBA0901C4}"/>
    <cellStyle name="Normal 3 2 3 2 2 6 4" xfId="11061" xr:uid="{D19E225B-AFA5-4E67-B750-58619A58369A}"/>
    <cellStyle name="Normal 3 2 3 2 2 7" xfId="4713" xr:uid="{00000000-0005-0000-0000-000093110000}"/>
    <cellStyle name="Normal 3 2 3 2 2 7 2" xfId="20830" xr:uid="{1EF1FCB2-9A5D-4766-AF88-1E99751D7901}"/>
    <cellStyle name="Normal 3 2 3 2 2 7 3" xfId="13209" xr:uid="{5F5558A5-1861-4B68-B9E3-54227B8ED784}"/>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23387" xr:uid="{49E588D1-8AF6-4D41-9F07-F2D6F83316FA}"/>
    <cellStyle name="Normal 3 2 3 2 3 2 2 3" xfId="15766" xr:uid="{42E02485-72C1-4AF3-8109-62871E529AD8}"/>
    <cellStyle name="Normal 3 2 3 2 3 2 3" xfId="19174" xr:uid="{43E40249-0504-444F-AE5F-5234E5B25CFC}"/>
    <cellStyle name="Normal 3 2 3 2 3 2 4" xfId="11553" xr:uid="{EBA2D6A1-DA8A-4186-AE03-ADF253F4EDEE}"/>
    <cellStyle name="Normal 3 2 3 2 3 3" xfId="5126" xr:uid="{00000000-0005-0000-0000-000097110000}"/>
    <cellStyle name="Normal 3 2 3 2 3 3 2" xfId="21242" xr:uid="{A0F24078-DD19-4475-A140-4215E2F4ED9F}"/>
    <cellStyle name="Normal 3 2 3 2 3 3 3" xfId="13621" xr:uid="{62F23613-BBEC-475E-8F9E-A833E6967B04}"/>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23800" xr:uid="{73E688D5-FD7F-44FA-8494-6D5E75AE6215}"/>
    <cellStyle name="Normal 3 2 3 2 4 2 2 3" xfId="16179" xr:uid="{FE992D95-12A4-4A3E-96A7-A834DD6CA3A4}"/>
    <cellStyle name="Normal 3 2 3 2 4 2 3" xfId="19587" xr:uid="{202A817A-8EE4-422A-81C2-BA8984EDFFFF}"/>
    <cellStyle name="Normal 3 2 3 2 4 2 4" xfId="11966" xr:uid="{85DE108E-F384-4A2F-B2A3-F3D89578A18B}"/>
    <cellStyle name="Normal 3 2 3 2 4 3" xfId="5539" xr:uid="{00000000-0005-0000-0000-00009B110000}"/>
    <cellStyle name="Normal 3 2 3 2 4 3 2" xfId="21655" xr:uid="{4C9C9DE4-DD76-40C3-AEEE-A942991760CD}"/>
    <cellStyle name="Normal 3 2 3 2 4 3 3" xfId="14034" xr:uid="{B0F7EDDF-C901-4C3F-AED3-32B7A78D3A31}"/>
    <cellStyle name="Normal 3 2 3 2 4 4" xfId="17442" xr:uid="{59161FF0-475E-4FD3-9C35-3C9DE7DA393B}"/>
    <cellStyle name="Normal 3 2 3 2 4 5" xfId="9821" xr:uid="{667650B7-3CC8-4D4A-8CFE-B80726CA6991}"/>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24213" xr:uid="{EB1E81C0-28D1-4A61-9457-8949DCB28765}"/>
    <cellStyle name="Normal 3 2 3 2 5 2 2 3" xfId="16592" xr:uid="{3BC68A8E-7F92-4377-9577-9CB3F804E1FB}"/>
    <cellStyle name="Normal 3 2 3 2 5 2 3" xfId="20000" xr:uid="{7DB278F7-243A-4D38-AA55-A42BC95FD5EC}"/>
    <cellStyle name="Normal 3 2 3 2 5 2 4" xfId="12379" xr:uid="{BAAAA81B-5F4A-43B4-96BB-FB1C99237A9F}"/>
    <cellStyle name="Normal 3 2 3 2 5 3" xfId="5952" xr:uid="{00000000-0005-0000-0000-00009F110000}"/>
    <cellStyle name="Normal 3 2 3 2 5 3 2" xfId="22068" xr:uid="{AF59A4A6-3CB8-4286-A473-6A21E4ACCE29}"/>
    <cellStyle name="Normal 3 2 3 2 5 3 3" xfId="14447" xr:uid="{CCF2BEBF-B087-466F-827E-4A85A8E2BEB9}"/>
    <cellStyle name="Normal 3 2 3 2 5 4" xfId="17855" xr:uid="{089C3D9A-24AA-44BE-A664-8CA4574EFD7C}"/>
    <cellStyle name="Normal 3 2 3 2 5 5" xfId="10234" xr:uid="{098F0065-77F2-486C-9B18-1D150092C5CA}"/>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24626" xr:uid="{6EE1E7BB-4EFF-4F05-9F8E-67E412E640A0}"/>
    <cellStyle name="Normal 3 2 3 2 6 2 2 3" xfId="17005" xr:uid="{0FB45E3C-3834-4BB5-8830-0CD975B4D11D}"/>
    <cellStyle name="Normal 3 2 3 2 6 2 3" xfId="20413" xr:uid="{48B0B13B-C42F-4A86-A2A6-1EB219F4D765}"/>
    <cellStyle name="Normal 3 2 3 2 6 2 4" xfId="12792" xr:uid="{6F053E48-0A6B-49B7-8330-2142E01DD5F9}"/>
    <cellStyle name="Normal 3 2 3 2 6 3" xfId="6365" xr:uid="{00000000-0005-0000-0000-0000A3110000}"/>
    <cellStyle name="Normal 3 2 3 2 6 3 2" xfId="22481" xr:uid="{FB2E18A6-AA25-43AD-94EF-F911D22F9480}"/>
    <cellStyle name="Normal 3 2 3 2 6 3 3" xfId="14860" xr:uid="{7FF525B5-C026-4F4E-8BEE-E3840986D571}"/>
    <cellStyle name="Normal 3 2 3 2 6 4" xfId="18268" xr:uid="{92633339-DB0E-4862-B153-7C11D4506D9A}"/>
    <cellStyle name="Normal 3 2 3 2 6 5" xfId="10647" xr:uid="{CC174412-C4F5-4EDA-9410-082EB45DFEAA}"/>
    <cellStyle name="Normal 3 2 3 2 7" xfId="2495" xr:uid="{00000000-0005-0000-0000-0000A4110000}"/>
    <cellStyle name="Normal 3 2 3 2 7 2" xfId="6778" xr:uid="{00000000-0005-0000-0000-0000A5110000}"/>
    <cellStyle name="Normal 3 2 3 2 7 2 2" xfId="22894" xr:uid="{EF43057F-29EE-4B6D-940F-85692DDF3AE2}"/>
    <cellStyle name="Normal 3 2 3 2 7 2 3" xfId="15273" xr:uid="{B60DAE6A-F9AB-4C70-BAC2-9DE32B25EB9A}"/>
    <cellStyle name="Normal 3 2 3 2 7 3" xfId="18681" xr:uid="{1EAE1042-217F-4603-A39F-C3FB96182BBD}"/>
    <cellStyle name="Normal 3 2 3 2 7 4" xfId="11060" xr:uid="{F3D2763D-15AD-4A27-B033-32350F45CFA6}"/>
    <cellStyle name="Normal 3 2 3 2 8" xfId="4712" xr:uid="{00000000-0005-0000-0000-0000A6110000}"/>
    <cellStyle name="Normal 3 2 3 2 8 2" xfId="20829" xr:uid="{D58C7230-B373-43D6-9460-FB963EC27693}"/>
    <cellStyle name="Normal 3 2 3 2 8 3" xfId="13208" xr:uid="{1840B7F0-E2F4-4C24-9168-893154B3BF62}"/>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23389" xr:uid="{5F0BBD51-7292-434E-9B56-F9ABB7C7A3AD}"/>
    <cellStyle name="Normal 3 2 3 3 2 2 2 3" xfId="15768" xr:uid="{40C9CEBA-AC34-45DD-9BE0-C6E9C4E2D88F}"/>
    <cellStyle name="Normal 3 2 3 3 2 2 3" xfId="19176" xr:uid="{3A4B675B-2DE6-4E1F-883E-BEC66191CCBD}"/>
    <cellStyle name="Normal 3 2 3 3 2 2 4" xfId="11555" xr:uid="{19E98C2C-57FC-4477-8CCD-E9CEB7667B05}"/>
    <cellStyle name="Normal 3 2 3 3 2 3" xfId="5128" xr:uid="{00000000-0005-0000-0000-0000AB110000}"/>
    <cellStyle name="Normal 3 2 3 3 2 3 2" xfId="21244" xr:uid="{A2CFA457-29EF-49A9-A202-DDEE22E3FA37}"/>
    <cellStyle name="Normal 3 2 3 3 2 3 3" xfId="13623" xr:uid="{F3D9A5FE-EC9E-4BE4-811F-CC4C85E1A846}"/>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23802" xr:uid="{A85030A0-7A71-406F-B469-872A81CA02EB}"/>
    <cellStyle name="Normal 3 2 3 3 3 2 2 3" xfId="16181" xr:uid="{E771AD6A-BE9B-4B0F-A46A-C074FD68C831}"/>
    <cellStyle name="Normal 3 2 3 3 3 2 3" xfId="19589" xr:uid="{ABE5A3D1-B9FD-4A2D-A0B1-785D03809F30}"/>
    <cellStyle name="Normal 3 2 3 3 3 2 4" xfId="11968" xr:uid="{28F5B5E8-E8AD-4267-BB5E-F10D41902F57}"/>
    <cellStyle name="Normal 3 2 3 3 3 3" xfId="5541" xr:uid="{00000000-0005-0000-0000-0000AF110000}"/>
    <cellStyle name="Normal 3 2 3 3 3 3 2" xfId="21657" xr:uid="{014C223A-351C-4810-96B3-2F73C528FA2F}"/>
    <cellStyle name="Normal 3 2 3 3 3 3 3" xfId="14036" xr:uid="{A5EA00FE-0653-44C3-A1B6-F5B722C6598D}"/>
    <cellStyle name="Normal 3 2 3 3 3 4" xfId="17444" xr:uid="{CA33BAFE-7831-4CD8-A450-639904235CB8}"/>
    <cellStyle name="Normal 3 2 3 3 3 5" xfId="9823" xr:uid="{C7FE4DBA-A1CC-4CE6-BA0F-F1CD580BF246}"/>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24215" xr:uid="{B68282B6-747E-4043-9B2F-DEF882CFE9D0}"/>
    <cellStyle name="Normal 3 2 3 3 4 2 2 3" xfId="16594" xr:uid="{155F2810-7BFA-4E71-96F2-03E451C781D4}"/>
    <cellStyle name="Normal 3 2 3 3 4 2 3" xfId="20002" xr:uid="{D4556CB9-2043-411D-9B54-7C7D919CEA24}"/>
    <cellStyle name="Normal 3 2 3 3 4 2 4" xfId="12381" xr:uid="{B81B31B2-582A-43B5-8C81-DEE20E931679}"/>
    <cellStyle name="Normal 3 2 3 3 4 3" xfId="5954" xr:uid="{00000000-0005-0000-0000-0000B3110000}"/>
    <cellStyle name="Normal 3 2 3 3 4 3 2" xfId="22070" xr:uid="{AE79486F-AFAB-4423-8C65-3E72817F13C0}"/>
    <cellStyle name="Normal 3 2 3 3 4 3 3" xfId="14449" xr:uid="{724C893B-C580-4BEE-B358-8F82E77B7DB6}"/>
    <cellStyle name="Normal 3 2 3 3 4 4" xfId="17857" xr:uid="{D25C6141-FEC0-4249-8B06-1460551162A1}"/>
    <cellStyle name="Normal 3 2 3 3 4 5" xfId="10236" xr:uid="{19D64235-F70D-4B73-9DA4-1BE55835DD3C}"/>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24628" xr:uid="{24E1AAA8-B6BA-4038-B8DF-7583D5F47689}"/>
    <cellStyle name="Normal 3 2 3 3 5 2 2 3" xfId="17007" xr:uid="{EC44B5D0-1BAE-4BF9-9458-448CB7C3FB66}"/>
    <cellStyle name="Normal 3 2 3 3 5 2 3" xfId="20415" xr:uid="{F747D28B-33E7-43C8-9439-64AA9FEFC50E}"/>
    <cellStyle name="Normal 3 2 3 3 5 2 4" xfId="12794" xr:uid="{435A0DCE-BCE5-49CA-9274-3A7A0963308D}"/>
    <cellStyle name="Normal 3 2 3 3 5 3" xfId="6367" xr:uid="{00000000-0005-0000-0000-0000B7110000}"/>
    <cellStyle name="Normal 3 2 3 3 5 3 2" xfId="22483" xr:uid="{BDF6F83A-C63E-4607-B9CB-C195CEFC61BA}"/>
    <cellStyle name="Normal 3 2 3 3 5 3 3" xfId="14862" xr:uid="{57A8DF42-346D-4C66-BC9B-4A08206C61EF}"/>
    <cellStyle name="Normal 3 2 3 3 5 4" xfId="18270" xr:uid="{3B3B64A7-3F1B-4EC8-A587-F8C0D67E478A}"/>
    <cellStyle name="Normal 3 2 3 3 5 5" xfId="10649" xr:uid="{78745C5B-B588-4C89-8192-E99D621102B2}"/>
    <cellStyle name="Normal 3 2 3 3 6" xfId="2497" xr:uid="{00000000-0005-0000-0000-0000B8110000}"/>
    <cellStyle name="Normal 3 2 3 3 6 2" xfId="6780" xr:uid="{00000000-0005-0000-0000-0000B9110000}"/>
    <cellStyle name="Normal 3 2 3 3 6 2 2" xfId="22896" xr:uid="{43342009-0D1B-44A0-9CF6-4BA7F3C35CF4}"/>
    <cellStyle name="Normal 3 2 3 3 6 2 3" xfId="15275" xr:uid="{A5319DF5-0D3C-4CA8-A42B-078901BFAA38}"/>
    <cellStyle name="Normal 3 2 3 3 6 3" xfId="18683" xr:uid="{AEB7FA88-F26A-4132-96B1-4B3882F11167}"/>
    <cellStyle name="Normal 3 2 3 3 6 4" xfId="11062" xr:uid="{26297354-0B7E-4816-8157-DD9A4EBD5C4A}"/>
    <cellStyle name="Normal 3 2 3 3 7" xfId="4714" xr:uid="{00000000-0005-0000-0000-0000BA110000}"/>
    <cellStyle name="Normal 3 2 3 3 7 2" xfId="20831" xr:uid="{D6F13EAD-B546-4A7A-8448-43090B6BC7C5}"/>
    <cellStyle name="Normal 3 2 3 3 7 3" xfId="13210" xr:uid="{70172EB3-4C65-42B6-B177-838912957FB5}"/>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2 2 2" xfId="23386" xr:uid="{EC8212A0-B296-41B7-8A44-C66D946FCBF6}"/>
    <cellStyle name="Normal 3 2 3 4 2 2 3" xfId="15765" xr:uid="{5F728000-2593-42EE-9442-B56F00AB6422}"/>
    <cellStyle name="Normal 3 2 3 4 2 3" xfId="19173" xr:uid="{65391145-C205-493D-BBC4-B27390B915EC}"/>
    <cellStyle name="Normal 3 2 3 4 2 4" xfId="11552" xr:uid="{98926B9F-E705-40D7-8630-130D7D5DBF36}"/>
    <cellStyle name="Normal 3 2 3 4 3" xfId="5125" xr:uid="{00000000-0005-0000-0000-0000BE110000}"/>
    <cellStyle name="Normal 3 2 3 4 3 2" xfId="21241" xr:uid="{F7D5118D-5DCB-4BB2-9C41-DF2824F5D3D0}"/>
    <cellStyle name="Normal 3 2 3 4 3 3" xfId="13620" xr:uid="{0258DBE6-2693-4F3B-86E4-4192CEC7716E}"/>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2 2 2" xfId="23799" xr:uid="{E690AFFC-EC6A-441D-AC22-D3301E4E2D65}"/>
    <cellStyle name="Normal 3 2 3 5 2 2 3" xfId="16178" xr:uid="{641A0E6F-E57D-430F-AA9C-CB76CAE87199}"/>
    <cellStyle name="Normal 3 2 3 5 2 3" xfId="19586" xr:uid="{45E9F977-71EA-439F-AB1F-F20ABCE348F0}"/>
    <cellStyle name="Normal 3 2 3 5 2 4" xfId="11965" xr:uid="{8DC02468-6224-4B23-AF1E-26821FB296F4}"/>
    <cellStyle name="Normal 3 2 3 5 3" xfId="5538" xr:uid="{00000000-0005-0000-0000-0000C2110000}"/>
    <cellStyle name="Normal 3 2 3 5 3 2" xfId="21654" xr:uid="{15CA6746-F97D-4FD6-B07E-EE19AF3ABC80}"/>
    <cellStyle name="Normal 3 2 3 5 3 3" xfId="14033" xr:uid="{C3CB64B1-0A28-414D-AE67-D220C7AE0EBF}"/>
    <cellStyle name="Normal 3 2 3 5 4" xfId="17441" xr:uid="{82D1AADA-4DF4-4990-B82D-50565E64D8DF}"/>
    <cellStyle name="Normal 3 2 3 5 5" xfId="9820" xr:uid="{4443B3F2-65E8-468C-82AD-E43629040C39}"/>
    <cellStyle name="Normal 3 2 3 6" xfId="1644" xr:uid="{00000000-0005-0000-0000-0000C3110000}"/>
    <cellStyle name="Normal 3 2 3 6 2" xfId="3874" xr:uid="{00000000-0005-0000-0000-0000C4110000}"/>
    <cellStyle name="Normal 3 2 3 6 2 2" xfId="8096" xr:uid="{00000000-0005-0000-0000-0000C5110000}"/>
    <cellStyle name="Normal 3 2 3 6 2 2 2" xfId="24212" xr:uid="{451FE278-25E0-4BD3-A8C0-5721F4EF35DD}"/>
    <cellStyle name="Normal 3 2 3 6 2 2 3" xfId="16591" xr:uid="{581EE93D-A46B-4880-AFB0-A1E7D241E74E}"/>
    <cellStyle name="Normal 3 2 3 6 2 3" xfId="19999" xr:uid="{11CFD63C-4D65-44A3-9D04-08A8054271FD}"/>
    <cellStyle name="Normal 3 2 3 6 2 4" xfId="12378" xr:uid="{E2A2B953-D034-4FE2-95D9-A52E3FABA0CF}"/>
    <cellStyle name="Normal 3 2 3 6 3" xfId="5951" xr:uid="{00000000-0005-0000-0000-0000C6110000}"/>
    <cellStyle name="Normal 3 2 3 6 3 2" xfId="22067" xr:uid="{038A93F1-0120-47CB-BD62-378988F8264B}"/>
    <cellStyle name="Normal 3 2 3 6 3 3" xfId="14446" xr:uid="{D882B3AB-9828-4DA0-AF81-2CA7AE96ED95}"/>
    <cellStyle name="Normal 3 2 3 6 4" xfId="17854" xr:uid="{21F589AD-AA4D-4C35-943A-D29B1E3B8F92}"/>
    <cellStyle name="Normal 3 2 3 6 5" xfId="10233" xr:uid="{2846390D-59B7-4685-AEFF-96703B165C08}"/>
    <cellStyle name="Normal 3 2 3 7" xfId="2058" xr:uid="{00000000-0005-0000-0000-0000C7110000}"/>
    <cellStyle name="Normal 3 2 3 7 2" xfId="4287" xr:uid="{00000000-0005-0000-0000-0000C8110000}"/>
    <cellStyle name="Normal 3 2 3 7 2 2" xfId="8509" xr:uid="{00000000-0005-0000-0000-0000C9110000}"/>
    <cellStyle name="Normal 3 2 3 7 2 2 2" xfId="24625" xr:uid="{578CEBC7-F68A-49C3-A6F4-F517729F2804}"/>
    <cellStyle name="Normal 3 2 3 7 2 2 3" xfId="17004" xr:uid="{98EFE23B-4E4C-4A1E-90F8-B2E89EC281D6}"/>
    <cellStyle name="Normal 3 2 3 7 2 3" xfId="20412" xr:uid="{CFF8A0D1-F493-47AA-92FE-B2D5E88A6970}"/>
    <cellStyle name="Normal 3 2 3 7 2 4" xfId="12791" xr:uid="{0C586053-3FF3-4C14-88A1-8840B31D888F}"/>
    <cellStyle name="Normal 3 2 3 7 3" xfId="6364" xr:uid="{00000000-0005-0000-0000-0000CA110000}"/>
    <cellStyle name="Normal 3 2 3 7 3 2" xfId="22480" xr:uid="{74DFDDCE-13B1-433F-BCB8-44D607BF6F74}"/>
    <cellStyle name="Normal 3 2 3 7 3 3" xfId="14859" xr:uid="{74252A5B-A9E8-4DFF-B525-E98E2130DF42}"/>
    <cellStyle name="Normal 3 2 3 7 4" xfId="18267" xr:uid="{CB4D8FA5-9747-4748-8F24-28529629601C}"/>
    <cellStyle name="Normal 3 2 3 7 5" xfId="10646" xr:uid="{E9B452AF-0DF2-4C57-9A5B-8EF0DF00BACF}"/>
    <cellStyle name="Normal 3 2 3 8" xfId="2494" xr:uid="{00000000-0005-0000-0000-0000CB110000}"/>
    <cellStyle name="Normal 3 2 3 8 2" xfId="6777" xr:uid="{00000000-0005-0000-0000-0000CC110000}"/>
    <cellStyle name="Normal 3 2 3 8 2 2" xfId="22893" xr:uid="{D1C5D660-E88C-4D98-8EC2-240E91D7E7B8}"/>
    <cellStyle name="Normal 3 2 3 8 2 3" xfId="15272" xr:uid="{A8EEC71F-F6C3-4B6E-8728-F4ECD73CFA09}"/>
    <cellStyle name="Normal 3 2 3 8 3" xfId="18680" xr:uid="{80AA56D5-CC70-4176-B7A2-2F3A4872BA3E}"/>
    <cellStyle name="Normal 3 2 3 8 4" xfId="11059" xr:uid="{80EEED3B-32FF-426A-A667-CB6982E8665C}"/>
    <cellStyle name="Normal 3 2 3 9" xfId="4711" xr:uid="{00000000-0005-0000-0000-0000CD110000}"/>
    <cellStyle name="Normal 3 2 3 9 2" xfId="20828" xr:uid="{D6B5905B-A62C-4C3E-ACC3-0BE35575093A}"/>
    <cellStyle name="Normal 3 2 3 9 3" xfId="13207" xr:uid="{BB9A3F64-4CF0-441A-B132-AD6ED77C8C37}"/>
    <cellStyle name="Normal 3 2 4" xfId="809" xr:uid="{00000000-0005-0000-0000-0000CE110000}"/>
    <cellStyle name="Normal 3 2 4 2" xfId="3047" xr:uid="{00000000-0005-0000-0000-0000CF110000}"/>
    <cellStyle name="Normal 3 2 4 2 2" xfId="7269" xr:uid="{00000000-0005-0000-0000-0000D0110000}"/>
    <cellStyle name="Normal 3 2 4 2 2 2" xfId="23385" xr:uid="{F75F9DF0-0EA3-4EEF-92E3-5A1100CA7188}"/>
    <cellStyle name="Normal 3 2 4 2 2 3" xfId="15764" xr:uid="{00663A75-BB06-40E1-AD39-BEF6CB6FBA2B}"/>
    <cellStyle name="Normal 3 2 4 2 3" xfId="19172" xr:uid="{B7508056-6A40-4309-9C49-D41140A2464E}"/>
    <cellStyle name="Normal 3 2 4 2 4" xfId="11551" xr:uid="{DC562E35-6AD8-46CF-BC9B-FA883A2EB7BC}"/>
    <cellStyle name="Normal 3 2 4 3" xfId="5124" xr:uid="{00000000-0005-0000-0000-0000D1110000}"/>
    <cellStyle name="Normal 3 2 4 3 2" xfId="21240" xr:uid="{2FD21896-56FA-40F0-AB2A-1A8F4C367D15}"/>
    <cellStyle name="Normal 3 2 4 3 3" xfId="13619" xr:uid="{BD495C50-4C61-4997-87DA-8BA5DB4271AD}"/>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2 2 2" xfId="23798" xr:uid="{96290A0D-C070-4CBF-85F7-72069550C598}"/>
    <cellStyle name="Normal 3 2 5 2 2 3" xfId="16177" xr:uid="{0883C8AC-98D2-4714-B619-705F863C86D3}"/>
    <cellStyle name="Normal 3 2 5 2 3" xfId="19585" xr:uid="{79E80C49-BECD-4B4F-BB15-71E78FDACFE8}"/>
    <cellStyle name="Normal 3 2 5 2 4" xfId="11964" xr:uid="{529B23BE-CDD9-4613-8E08-E745B8529AF9}"/>
    <cellStyle name="Normal 3 2 5 3" xfId="5537" xr:uid="{00000000-0005-0000-0000-0000D5110000}"/>
    <cellStyle name="Normal 3 2 5 3 2" xfId="21653" xr:uid="{0A496022-0C50-4BA6-A45F-061495B08B3B}"/>
    <cellStyle name="Normal 3 2 5 3 3" xfId="14032" xr:uid="{BED47E06-55CA-45EA-9EA9-A8F946F0866A}"/>
    <cellStyle name="Normal 3 2 5 4" xfId="17440" xr:uid="{271F22DC-3BF3-4CCA-AE76-1791BE8AAFAE}"/>
    <cellStyle name="Normal 3 2 5 5" xfId="9819" xr:uid="{8DB85DED-D031-49E2-8660-50E98DDF39AF}"/>
    <cellStyle name="Normal 3 2 6" xfId="1643" xr:uid="{00000000-0005-0000-0000-0000D6110000}"/>
    <cellStyle name="Normal 3 2 6 2" xfId="3873" xr:uid="{00000000-0005-0000-0000-0000D7110000}"/>
    <cellStyle name="Normal 3 2 6 2 2" xfId="8095" xr:uid="{00000000-0005-0000-0000-0000D8110000}"/>
    <cellStyle name="Normal 3 2 6 2 2 2" xfId="24211" xr:uid="{BC1E714E-9559-49D7-B611-32AA2DF770BB}"/>
    <cellStyle name="Normal 3 2 6 2 2 3" xfId="16590" xr:uid="{E810DCCD-7E33-4E94-822D-3502508866CA}"/>
    <cellStyle name="Normal 3 2 6 2 3" xfId="19998" xr:uid="{09441F6B-8E4E-4856-A042-EB1A9EA1C03D}"/>
    <cellStyle name="Normal 3 2 6 2 4" xfId="12377" xr:uid="{738CB638-749D-45C0-AC67-2AE32D48949A}"/>
    <cellStyle name="Normal 3 2 6 3" xfId="5950" xr:uid="{00000000-0005-0000-0000-0000D9110000}"/>
    <cellStyle name="Normal 3 2 6 3 2" xfId="22066" xr:uid="{80C964D8-5F4F-46C8-A235-3D350863568B}"/>
    <cellStyle name="Normal 3 2 6 3 3" xfId="14445" xr:uid="{BEFAD880-C80D-4E4A-B509-3825D1DBEB6C}"/>
    <cellStyle name="Normal 3 2 6 4" xfId="17853" xr:uid="{46E8D906-640A-4C48-B746-A4F4F2B48C7D}"/>
    <cellStyle name="Normal 3 2 6 5" xfId="10232" xr:uid="{28FD957C-7E3C-406B-8995-30B19E4E7A04}"/>
    <cellStyle name="Normal 3 2 7" xfId="2057" xr:uid="{00000000-0005-0000-0000-0000DA110000}"/>
    <cellStyle name="Normal 3 2 7 2" xfId="4286" xr:uid="{00000000-0005-0000-0000-0000DB110000}"/>
    <cellStyle name="Normal 3 2 7 2 2" xfId="8508" xr:uid="{00000000-0005-0000-0000-0000DC110000}"/>
    <cellStyle name="Normal 3 2 7 2 2 2" xfId="24624" xr:uid="{7979D9A6-9A4E-488A-A30A-D6ED68FA6F9D}"/>
    <cellStyle name="Normal 3 2 7 2 2 3" xfId="17003" xr:uid="{707C3E57-12BE-497B-87A0-9BE66ED35144}"/>
    <cellStyle name="Normal 3 2 7 2 3" xfId="20411" xr:uid="{1859E181-A65E-4788-9D03-58D53B1612B4}"/>
    <cellStyle name="Normal 3 2 7 2 4" xfId="12790" xr:uid="{A34703D1-7B85-41C8-90C3-C8AF871402DB}"/>
    <cellStyle name="Normal 3 2 7 3" xfId="6363" xr:uid="{00000000-0005-0000-0000-0000DD110000}"/>
    <cellStyle name="Normal 3 2 7 3 2" xfId="22479" xr:uid="{FF6BB20F-A8A7-45EE-B87E-46496FCB832A}"/>
    <cellStyle name="Normal 3 2 7 3 3" xfId="14858" xr:uid="{CBBFB54C-E76B-481A-9711-D8FC57D0849F}"/>
    <cellStyle name="Normal 3 2 7 4" xfId="18266" xr:uid="{123EFF92-5959-4F71-A6B5-F8724AE8F4C8}"/>
    <cellStyle name="Normal 3 2 7 5" xfId="10645" xr:uid="{78966809-36EB-4D4D-8F0B-BE896F4029C2}"/>
    <cellStyle name="Normal 3 2 8" xfId="2493" xr:uid="{00000000-0005-0000-0000-0000DE110000}"/>
    <cellStyle name="Normal 3 2 8 2" xfId="6776" xr:uid="{00000000-0005-0000-0000-0000DF110000}"/>
    <cellStyle name="Normal 3 2 8 2 2" xfId="22892" xr:uid="{8A24681B-67BE-4172-A602-B560DCC4E744}"/>
    <cellStyle name="Normal 3 2 8 2 3" xfId="15271" xr:uid="{349BFAEF-7988-495D-A5C8-3DD08AB04332}"/>
    <cellStyle name="Normal 3 2 8 3" xfId="18679" xr:uid="{A9A37DAC-FA2F-432A-9B5D-79DE1F09A0F3}"/>
    <cellStyle name="Normal 3 2 8 4" xfId="11058" xr:uid="{F4A95299-AB43-45CB-A104-EB2571952CB8}"/>
    <cellStyle name="Normal 3 2 9" xfId="4710" xr:uid="{00000000-0005-0000-0000-0000E0110000}"/>
    <cellStyle name="Normal 3 2 9 2" xfId="20827" xr:uid="{B200B073-109E-4886-9FDD-F6BF8617E00B}"/>
    <cellStyle name="Normal 3 2 9 3" xfId="13206" xr:uid="{B2062A80-694C-46F7-A301-BDDF27589A2B}"/>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24629" xr:uid="{5C19680B-2AB1-4F77-A353-A66B4453400C}"/>
    <cellStyle name="Normal 4 2 2 10 2 2 3" xfId="17008" xr:uid="{18F7FE8D-F536-4E36-A1F5-DD31B9BDBFC3}"/>
    <cellStyle name="Normal 4 2 2 10 2 3" xfId="20416" xr:uid="{8ACFC1F7-B943-4E86-ACE5-062A7440095B}"/>
    <cellStyle name="Normal 4 2 2 10 2 4" xfId="12795" xr:uid="{FC2BA7F5-4F03-4183-A9E0-F8F7E6F76E48}"/>
    <cellStyle name="Normal 4 2 2 10 3" xfId="6368" xr:uid="{00000000-0005-0000-0000-0000ED110000}"/>
    <cellStyle name="Normal 4 2 2 10 3 2" xfId="22484" xr:uid="{51D63526-5656-475B-9EA1-72C5E6F47EF5}"/>
    <cellStyle name="Normal 4 2 2 10 3 3" xfId="14863" xr:uid="{7D4DDFEE-1BCD-4DEC-A8D7-BCEDAB63A1BE}"/>
    <cellStyle name="Normal 4 2 2 10 4" xfId="18271" xr:uid="{BDE6C564-15EB-4D6C-B0C4-186084B052A9}"/>
    <cellStyle name="Normal 4 2 2 10 5" xfId="10650" xr:uid="{1AF75BB0-E44A-4329-94E2-26C234D7DCB5}"/>
    <cellStyle name="Normal 4 2 2 11" xfId="2498" xr:uid="{00000000-0005-0000-0000-0000EE110000}"/>
    <cellStyle name="Normal 4 2 2 11 2" xfId="6781" xr:uid="{00000000-0005-0000-0000-0000EF110000}"/>
    <cellStyle name="Normal 4 2 2 11 2 2" xfId="22897" xr:uid="{2D75C8D3-CFB3-4C42-8E4B-9BE5585F1CC9}"/>
    <cellStyle name="Normal 4 2 2 11 2 3" xfId="15276" xr:uid="{43D77CA8-0A6A-4CE9-8224-14A6C2121C4F}"/>
    <cellStyle name="Normal 4 2 2 11 3" xfId="18684" xr:uid="{6C2D8AD6-E078-4D58-BC06-FF9748059055}"/>
    <cellStyle name="Normal 4 2 2 11 4" xfId="11063" xr:uid="{C843E661-61B3-4AEF-96AE-E87D8B52691B}"/>
    <cellStyle name="Normal 4 2 2 12" xfId="4716" xr:uid="{00000000-0005-0000-0000-0000F0110000}"/>
    <cellStyle name="Normal 4 2 2 12 2" xfId="20832" xr:uid="{38E7102A-A852-4768-81B7-14D285F3AC9E}"/>
    <cellStyle name="Normal 4 2 2 12 3" xfId="13211" xr:uid="{0DF1CB98-4742-45BB-B48C-B559D6D5F75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0 2" xfId="20833" xr:uid="{CF08C7D2-C711-4C6B-B61F-4750467B954D}"/>
    <cellStyle name="Normal 4 2 2 3 10 3" xfId="13212" xr:uid="{86FF84F5-FA9E-42B8-906F-E472F7420531}"/>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23394" xr:uid="{A39CEDEC-49B8-4DED-A9C1-D928586416E1}"/>
    <cellStyle name="Normal 4 2 2 3 2 2 2 2 2 2 3" xfId="15773" xr:uid="{795486F3-37CC-4D6F-A8A0-81ED7C30AE03}"/>
    <cellStyle name="Normal 4 2 2 3 2 2 2 2 2 3" xfId="19181" xr:uid="{929893EF-ADAF-4244-8F67-8298E456A2FA}"/>
    <cellStyle name="Normal 4 2 2 3 2 2 2 2 2 4" xfId="11560" xr:uid="{0C23754F-73C4-43E4-ADED-403F2C3BFD6F}"/>
    <cellStyle name="Normal 4 2 2 3 2 2 2 2 3" xfId="5133" xr:uid="{00000000-0005-0000-0000-0000FA110000}"/>
    <cellStyle name="Normal 4 2 2 3 2 2 2 2 3 2" xfId="21249" xr:uid="{914318F8-E1B7-43DD-8DE8-4046A6A76B59}"/>
    <cellStyle name="Normal 4 2 2 3 2 2 2 2 3 3" xfId="13628" xr:uid="{1E78EDD7-CDDB-450A-A5AD-2739734594C7}"/>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23807" xr:uid="{5216BA29-CD6B-4EBA-9558-D7D905D76215}"/>
    <cellStyle name="Normal 4 2 2 3 2 2 2 3 2 2 3" xfId="16186" xr:uid="{10858E14-2F8C-49B6-86AD-C760FAF6C7CD}"/>
    <cellStyle name="Normal 4 2 2 3 2 2 2 3 2 3" xfId="19594" xr:uid="{D59EA1F3-8E49-4BAD-A868-A459420C755F}"/>
    <cellStyle name="Normal 4 2 2 3 2 2 2 3 2 4" xfId="11973" xr:uid="{AF421AD1-5280-4BA2-8232-465F8130542F}"/>
    <cellStyle name="Normal 4 2 2 3 2 2 2 3 3" xfId="5546" xr:uid="{00000000-0005-0000-0000-0000FE110000}"/>
    <cellStyle name="Normal 4 2 2 3 2 2 2 3 3 2" xfId="21662" xr:uid="{5DDD8296-7CCF-4518-9462-F8EE90603E66}"/>
    <cellStyle name="Normal 4 2 2 3 2 2 2 3 3 3" xfId="14041" xr:uid="{550820F5-311B-480D-BC29-54924AE3A7D7}"/>
    <cellStyle name="Normal 4 2 2 3 2 2 2 3 4" xfId="17449" xr:uid="{F374C4AB-CEC9-4469-85B5-7D772014FADF}"/>
    <cellStyle name="Normal 4 2 2 3 2 2 2 3 5" xfId="9828" xr:uid="{A324C6D7-9C18-471F-AA53-03553C389A28}"/>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24220" xr:uid="{55959075-168F-4584-B377-9DC596CFFDD5}"/>
    <cellStyle name="Normal 4 2 2 3 2 2 2 4 2 2 3" xfId="16599" xr:uid="{135E89D8-60D8-4273-950C-577292406CF9}"/>
    <cellStyle name="Normal 4 2 2 3 2 2 2 4 2 3" xfId="20007" xr:uid="{FDE2D4F1-B26B-4937-94ED-072274ED3A87}"/>
    <cellStyle name="Normal 4 2 2 3 2 2 2 4 2 4" xfId="12386" xr:uid="{224845C7-24F7-45C9-8A45-51BB68A0598E}"/>
    <cellStyle name="Normal 4 2 2 3 2 2 2 4 3" xfId="5959" xr:uid="{00000000-0005-0000-0000-000002120000}"/>
    <cellStyle name="Normal 4 2 2 3 2 2 2 4 3 2" xfId="22075" xr:uid="{3BE025C7-D0EE-4725-A990-DDA13DFF6D2D}"/>
    <cellStyle name="Normal 4 2 2 3 2 2 2 4 3 3" xfId="14454" xr:uid="{396E3969-1FB8-4125-9173-13B04A27E1F8}"/>
    <cellStyle name="Normal 4 2 2 3 2 2 2 4 4" xfId="17862" xr:uid="{8F1A08A9-3284-4967-8497-B8FF1555BBE7}"/>
    <cellStyle name="Normal 4 2 2 3 2 2 2 4 5" xfId="10241" xr:uid="{6C10C89F-BBC7-4291-A1E8-2F015CEC1BA6}"/>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24633" xr:uid="{C06EE701-AFE6-4FAC-8CE0-3D4E5BE66AB7}"/>
    <cellStyle name="Normal 4 2 2 3 2 2 2 5 2 2 3" xfId="17012" xr:uid="{DA6BDC18-9C98-40D3-835F-79CE70273769}"/>
    <cellStyle name="Normal 4 2 2 3 2 2 2 5 2 3" xfId="20420" xr:uid="{74FA4A2D-0229-4ADD-975E-971655D68E65}"/>
    <cellStyle name="Normal 4 2 2 3 2 2 2 5 2 4" xfId="12799" xr:uid="{F33B54B4-4D56-45FD-A80E-327E6D21DC16}"/>
    <cellStyle name="Normal 4 2 2 3 2 2 2 5 3" xfId="6372" xr:uid="{00000000-0005-0000-0000-000006120000}"/>
    <cellStyle name="Normal 4 2 2 3 2 2 2 5 3 2" xfId="22488" xr:uid="{C9FBD2F4-6E1E-4A3E-BE80-8EF808D87CC7}"/>
    <cellStyle name="Normal 4 2 2 3 2 2 2 5 3 3" xfId="14867" xr:uid="{46A22AFD-9DA1-4EB7-9F91-0BF5D852760F}"/>
    <cellStyle name="Normal 4 2 2 3 2 2 2 5 4" xfId="18275" xr:uid="{E8347695-A26C-4FFF-98A3-C84C9F376831}"/>
    <cellStyle name="Normal 4 2 2 3 2 2 2 5 5" xfId="10654" xr:uid="{E57DA535-2517-4E6A-9F37-4686580DB0FA}"/>
    <cellStyle name="Normal 4 2 2 3 2 2 2 6" xfId="2502" xr:uid="{00000000-0005-0000-0000-000007120000}"/>
    <cellStyle name="Normal 4 2 2 3 2 2 2 6 2" xfId="6785" xr:uid="{00000000-0005-0000-0000-000008120000}"/>
    <cellStyle name="Normal 4 2 2 3 2 2 2 6 2 2" xfId="22901" xr:uid="{168B44D9-D21F-4FED-8BE9-406587D8ED24}"/>
    <cellStyle name="Normal 4 2 2 3 2 2 2 6 2 3" xfId="15280" xr:uid="{F6D457FC-8EE1-43C9-8F78-2C306250A89A}"/>
    <cellStyle name="Normal 4 2 2 3 2 2 2 6 3" xfId="18688" xr:uid="{3F59267F-F4E5-4392-802A-82BE9E8A34F2}"/>
    <cellStyle name="Normal 4 2 2 3 2 2 2 6 4" xfId="11067" xr:uid="{115FBEC9-1235-42D7-818A-9E6C0D7B852A}"/>
    <cellStyle name="Normal 4 2 2 3 2 2 2 7" xfId="4720" xr:uid="{00000000-0005-0000-0000-000009120000}"/>
    <cellStyle name="Normal 4 2 2 3 2 2 2 7 2" xfId="20836" xr:uid="{3CFACA58-5F82-4B05-A172-B83317302C7F}"/>
    <cellStyle name="Normal 4 2 2 3 2 2 2 7 3" xfId="13215" xr:uid="{9C1823E8-16B4-4D98-AA9C-A1D2E2A112FA}"/>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23393" xr:uid="{4181D556-76F6-4EC4-B7F2-7141B505C9FD}"/>
    <cellStyle name="Normal 4 2 2 3 2 2 3 2 2 3" xfId="15772" xr:uid="{E6DF5E20-F6F0-4529-97EE-1BB8CA6A4B5B}"/>
    <cellStyle name="Normal 4 2 2 3 2 2 3 2 3" xfId="19180" xr:uid="{F22FD2B2-62F1-4B57-93A7-6F020D413B49}"/>
    <cellStyle name="Normal 4 2 2 3 2 2 3 2 4" xfId="11559" xr:uid="{596775E0-543D-4B01-93CF-72AAE8DF1A31}"/>
    <cellStyle name="Normal 4 2 2 3 2 2 3 3" xfId="5132" xr:uid="{00000000-0005-0000-0000-00000D120000}"/>
    <cellStyle name="Normal 4 2 2 3 2 2 3 3 2" xfId="21248" xr:uid="{4026BF45-B4B3-4251-B958-DE70A4E7BBCD}"/>
    <cellStyle name="Normal 4 2 2 3 2 2 3 3 3" xfId="13627" xr:uid="{8292AFF6-8B5C-4579-8C8B-C1AAD3C5D413}"/>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23806" xr:uid="{3D1A24AC-F245-4ACD-9B3E-E67E27B6413A}"/>
    <cellStyle name="Normal 4 2 2 3 2 2 4 2 2 3" xfId="16185" xr:uid="{3286E45D-7ADA-4879-A4BB-F35FE5F861B3}"/>
    <cellStyle name="Normal 4 2 2 3 2 2 4 2 3" xfId="19593" xr:uid="{AA8F9C71-7B2F-4F35-A0A2-0F3E023C5DF5}"/>
    <cellStyle name="Normal 4 2 2 3 2 2 4 2 4" xfId="11972" xr:uid="{1A15D606-50AB-42D3-8BE5-8DE4E1B3E9CC}"/>
    <cellStyle name="Normal 4 2 2 3 2 2 4 3" xfId="5545" xr:uid="{00000000-0005-0000-0000-000011120000}"/>
    <cellStyle name="Normal 4 2 2 3 2 2 4 3 2" xfId="21661" xr:uid="{4BBCB863-7E09-46C0-88B8-FAF46604D1CF}"/>
    <cellStyle name="Normal 4 2 2 3 2 2 4 3 3" xfId="14040" xr:uid="{20AA2037-CDA7-44A6-8083-A75BDBE6AAA5}"/>
    <cellStyle name="Normal 4 2 2 3 2 2 4 4" xfId="17448" xr:uid="{BAB1B8D9-7601-47BF-AB63-FDFFCEA8D579}"/>
    <cellStyle name="Normal 4 2 2 3 2 2 4 5" xfId="9827" xr:uid="{EC53512E-7DE4-410A-A5C4-99D77E7A966A}"/>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24219" xr:uid="{F9EA3AA6-1401-486C-A671-3573AAC84259}"/>
    <cellStyle name="Normal 4 2 2 3 2 2 5 2 2 3" xfId="16598" xr:uid="{BA54B583-FE6C-4683-9346-2D1961B87F9B}"/>
    <cellStyle name="Normal 4 2 2 3 2 2 5 2 3" xfId="20006" xr:uid="{9890FF2B-8247-4791-9D8A-AC4E6AE1A6BA}"/>
    <cellStyle name="Normal 4 2 2 3 2 2 5 2 4" xfId="12385" xr:uid="{6787DB9B-2C06-4B39-A75B-2144FC82A053}"/>
    <cellStyle name="Normal 4 2 2 3 2 2 5 3" xfId="5958" xr:uid="{00000000-0005-0000-0000-000015120000}"/>
    <cellStyle name="Normal 4 2 2 3 2 2 5 3 2" xfId="22074" xr:uid="{3C5966DC-50A1-4041-A971-010BAE572EC8}"/>
    <cellStyle name="Normal 4 2 2 3 2 2 5 3 3" xfId="14453" xr:uid="{156F2142-DA4F-47B0-8E93-4F08592C10E0}"/>
    <cellStyle name="Normal 4 2 2 3 2 2 5 4" xfId="17861" xr:uid="{7B56E96E-D144-4AD1-8AF2-59792CA3004F}"/>
    <cellStyle name="Normal 4 2 2 3 2 2 5 5" xfId="10240" xr:uid="{13136030-6C2F-4914-984A-66B050EC48FA}"/>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24632" xr:uid="{1849790D-A64B-47BA-B030-034D4AFDF826}"/>
    <cellStyle name="Normal 4 2 2 3 2 2 6 2 2 3" xfId="17011" xr:uid="{C3A7D6EC-3FB8-4CE4-9BA9-36253BD82088}"/>
    <cellStyle name="Normal 4 2 2 3 2 2 6 2 3" xfId="20419" xr:uid="{BA9C378D-F933-4AC5-A0CA-09D785F0FE28}"/>
    <cellStyle name="Normal 4 2 2 3 2 2 6 2 4" xfId="12798" xr:uid="{CD27C0BF-B42E-4329-BE0F-7D87D63A01A4}"/>
    <cellStyle name="Normal 4 2 2 3 2 2 6 3" xfId="6371" xr:uid="{00000000-0005-0000-0000-000019120000}"/>
    <cellStyle name="Normal 4 2 2 3 2 2 6 3 2" xfId="22487" xr:uid="{8A00C5A0-F503-418C-B4B1-10315562D5BE}"/>
    <cellStyle name="Normal 4 2 2 3 2 2 6 3 3" xfId="14866" xr:uid="{2B289316-885A-47B8-9533-CB6FE69007B4}"/>
    <cellStyle name="Normal 4 2 2 3 2 2 6 4" xfId="18274" xr:uid="{187A3B06-5C67-45F8-8985-893F1F938598}"/>
    <cellStyle name="Normal 4 2 2 3 2 2 6 5" xfId="10653" xr:uid="{DB954A5E-EE63-4ECF-9CC1-81A8A84379E1}"/>
    <cellStyle name="Normal 4 2 2 3 2 2 7" xfId="2501" xr:uid="{00000000-0005-0000-0000-00001A120000}"/>
    <cellStyle name="Normal 4 2 2 3 2 2 7 2" xfId="6784" xr:uid="{00000000-0005-0000-0000-00001B120000}"/>
    <cellStyle name="Normal 4 2 2 3 2 2 7 2 2" xfId="22900" xr:uid="{AEB72922-9C2A-448D-A732-91BE58B6640F}"/>
    <cellStyle name="Normal 4 2 2 3 2 2 7 2 3" xfId="15279" xr:uid="{EFF90F3A-D798-49E4-8311-D74834F3544E}"/>
    <cellStyle name="Normal 4 2 2 3 2 2 7 3" xfId="18687" xr:uid="{7E65EB76-C1AE-46E6-9900-691360DF58E7}"/>
    <cellStyle name="Normal 4 2 2 3 2 2 7 4" xfId="11066" xr:uid="{4B29AA78-05D8-4C85-ADB4-204C63AF231A}"/>
    <cellStyle name="Normal 4 2 2 3 2 2 8" xfId="4719" xr:uid="{00000000-0005-0000-0000-00001C120000}"/>
    <cellStyle name="Normal 4 2 2 3 2 2 8 2" xfId="20835" xr:uid="{957A95EE-71D2-48F4-94EA-A611E8DFBFE5}"/>
    <cellStyle name="Normal 4 2 2 3 2 2 8 3" xfId="13214" xr:uid="{FA93485C-B73A-464B-80CE-856C2FA8AA37}"/>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23395" xr:uid="{05C0339C-8806-4518-BEDA-FA9EA07F0E12}"/>
    <cellStyle name="Normal 4 2 2 3 2 3 2 2 2 3" xfId="15774" xr:uid="{DC48EFA6-DB08-437D-B01C-303B9A919B3B}"/>
    <cellStyle name="Normal 4 2 2 3 2 3 2 2 3" xfId="19182" xr:uid="{45674BFF-58FF-4C7B-B999-F83BB9041C6E}"/>
    <cellStyle name="Normal 4 2 2 3 2 3 2 2 4" xfId="11561" xr:uid="{AEB6F77E-0259-4C7F-9715-702BEBB571ED}"/>
    <cellStyle name="Normal 4 2 2 3 2 3 2 3" xfId="5134" xr:uid="{00000000-0005-0000-0000-000021120000}"/>
    <cellStyle name="Normal 4 2 2 3 2 3 2 3 2" xfId="21250" xr:uid="{C326C183-404B-4D01-A3CF-F7A1E6BE8381}"/>
    <cellStyle name="Normal 4 2 2 3 2 3 2 3 3" xfId="13629" xr:uid="{A1B119C9-DDB0-4CFE-9867-BD4F8FD643A7}"/>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23808" xr:uid="{FAC46CF5-7E4F-4875-943F-81CDD91AB3FD}"/>
    <cellStyle name="Normal 4 2 2 3 2 3 3 2 2 3" xfId="16187" xr:uid="{7303191D-8B5E-4DB5-AAF2-9048166425CB}"/>
    <cellStyle name="Normal 4 2 2 3 2 3 3 2 3" xfId="19595" xr:uid="{00A1E94F-3E6F-4608-BF4A-9C34F57B84A7}"/>
    <cellStyle name="Normal 4 2 2 3 2 3 3 2 4" xfId="11974" xr:uid="{D3F848D8-7D04-458F-81A7-27804058F120}"/>
    <cellStyle name="Normal 4 2 2 3 2 3 3 3" xfId="5547" xr:uid="{00000000-0005-0000-0000-000025120000}"/>
    <cellStyle name="Normal 4 2 2 3 2 3 3 3 2" xfId="21663" xr:uid="{04E16EB4-F655-43DD-84F1-D761B87878F3}"/>
    <cellStyle name="Normal 4 2 2 3 2 3 3 3 3" xfId="14042" xr:uid="{8BDBAB93-8590-40B8-B16E-881D421A57F3}"/>
    <cellStyle name="Normal 4 2 2 3 2 3 3 4" xfId="17450" xr:uid="{AFF9627D-C6AA-4770-8E58-3B8CD5BD7AA7}"/>
    <cellStyle name="Normal 4 2 2 3 2 3 3 5" xfId="9829" xr:uid="{C9C75D68-4EC4-4CD8-9DC6-393978B686AF}"/>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24221" xr:uid="{197DDDA6-0C92-4A38-A8E7-B4A0B200F51D}"/>
    <cellStyle name="Normal 4 2 2 3 2 3 4 2 2 3" xfId="16600" xr:uid="{DE676C6A-D65F-4A69-8027-0A4911F4A83B}"/>
    <cellStyle name="Normal 4 2 2 3 2 3 4 2 3" xfId="20008" xr:uid="{27C83F3C-A212-4AD4-A8A0-B9EECC16B3BD}"/>
    <cellStyle name="Normal 4 2 2 3 2 3 4 2 4" xfId="12387" xr:uid="{C700C187-698F-4D6C-B625-C5602A9EEF03}"/>
    <cellStyle name="Normal 4 2 2 3 2 3 4 3" xfId="5960" xr:uid="{00000000-0005-0000-0000-000029120000}"/>
    <cellStyle name="Normal 4 2 2 3 2 3 4 3 2" xfId="22076" xr:uid="{91048750-0F54-442B-A063-EEF4EF02093F}"/>
    <cellStyle name="Normal 4 2 2 3 2 3 4 3 3" xfId="14455" xr:uid="{F737D6E1-88B5-4ADF-8205-9C3B407AB2E6}"/>
    <cellStyle name="Normal 4 2 2 3 2 3 4 4" xfId="17863" xr:uid="{C04B1137-83D1-4CBB-B499-B8AFDF2BE345}"/>
    <cellStyle name="Normal 4 2 2 3 2 3 4 5" xfId="10242" xr:uid="{C383B07E-0C33-4030-BD9B-F9919C377EBD}"/>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24634" xr:uid="{81134AF9-6301-4BE0-9B02-7204746DF965}"/>
    <cellStyle name="Normal 4 2 2 3 2 3 5 2 2 3" xfId="17013" xr:uid="{6D9F8BCB-AFBD-44CD-84F2-93027AFBBF04}"/>
    <cellStyle name="Normal 4 2 2 3 2 3 5 2 3" xfId="20421" xr:uid="{12305516-0076-41AB-A4F5-BB3BF9D5449C}"/>
    <cellStyle name="Normal 4 2 2 3 2 3 5 2 4" xfId="12800" xr:uid="{9F55867B-A606-44C7-9D8D-FB115D581DB9}"/>
    <cellStyle name="Normal 4 2 2 3 2 3 5 3" xfId="6373" xr:uid="{00000000-0005-0000-0000-00002D120000}"/>
    <cellStyle name="Normal 4 2 2 3 2 3 5 3 2" xfId="22489" xr:uid="{4C380923-84A6-413C-9EB9-0B3ADCA51B27}"/>
    <cellStyle name="Normal 4 2 2 3 2 3 5 3 3" xfId="14868" xr:uid="{E63F41B1-13BD-43E6-9875-870F2AD0DDCA}"/>
    <cellStyle name="Normal 4 2 2 3 2 3 5 4" xfId="18276" xr:uid="{2A4DE90E-7671-4AE5-9E9D-01D76F903B7C}"/>
    <cellStyle name="Normal 4 2 2 3 2 3 5 5" xfId="10655" xr:uid="{FDE767A4-9252-46B7-A325-24C22FB9D321}"/>
    <cellStyle name="Normal 4 2 2 3 2 3 6" xfId="2503" xr:uid="{00000000-0005-0000-0000-00002E120000}"/>
    <cellStyle name="Normal 4 2 2 3 2 3 6 2" xfId="6786" xr:uid="{00000000-0005-0000-0000-00002F120000}"/>
    <cellStyle name="Normal 4 2 2 3 2 3 6 2 2" xfId="22902" xr:uid="{67082F3C-E402-4AC4-BD9C-D825A3A5F145}"/>
    <cellStyle name="Normal 4 2 2 3 2 3 6 2 3" xfId="15281" xr:uid="{509E0C3B-32E9-4045-BC32-997C6F68D7F2}"/>
    <cellStyle name="Normal 4 2 2 3 2 3 6 3" xfId="18689" xr:uid="{E1A552EF-DBCB-44F3-B03C-271177D67CB9}"/>
    <cellStyle name="Normal 4 2 2 3 2 3 6 4" xfId="11068" xr:uid="{5237A4C5-2B52-4218-AD72-DA380B1B9974}"/>
    <cellStyle name="Normal 4 2 2 3 2 3 7" xfId="4721" xr:uid="{00000000-0005-0000-0000-000030120000}"/>
    <cellStyle name="Normal 4 2 2 3 2 3 7 2" xfId="20837" xr:uid="{2062B057-C827-4796-A7B4-04D93486500C}"/>
    <cellStyle name="Normal 4 2 2 3 2 3 7 3" xfId="13216" xr:uid="{077EE924-8651-4DF6-88A2-DB4090E144B9}"/>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23392" xr:uid="{4E126A3F-DC70-4C2D-BE3B-421FF0F54AEE}"/>
    <cellStyle name="Normal 4 2 2 3 2 4 2 2 3" xfId="15771" xr:uid="{D00545DA-D8A2-4F3E-9520-6CC13A8A3F34}"/>
    <cellStyle name="Normal 4 2 2 3 2 4 2 3" xfId="19179" xr:uid="{1B097479-1CFC-4612-BE64-0E12A43BEB23}"/>
    <cellStyle name="Normal 4 2 2 3 2 4 2 4" xfId="11558" xr:uid="{7C2680C4-B39A-4785-B551-2259AD7C4EB6}"/>
    <cellStyle name="Normal 4 2 2 3 2 4 3" xfId="5131" xr:uid="{00000000-0005-0000-0000-000034120000}"/>
    <cellStyle name="Normal 4 2 2 3 2 4 3 2" xfId="21247" xr:uid="{C93723FD-9F2F-4C31-A90E-2B71558BFF5E}"/>
    <cellStyle name="Normal 4 2 2 3 2 4 3 3" xfId="13626" xr:uid="{517A85E6-A9C1-461F-B7E0-44C0C6EECFA8}"/>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23805" xr:uid="{EE2DBBEF-9D70-4154-8086-F70180B3FE39}"/>
    <cellStyle name="Normal 4 2 2 3 2 5 2 2 3" xfId="16184" xr:uid="{EA26C572-2E78-43E3-A9A9-F742B6BAB0C1}"/>
    <cellStyle name="Normal 4 2 2 3 2 5 2 3" xfId="19592" xr:uid="{2E76638D-7014-4EF2-849D-E1E958A7EC23}"/>
    <cellStyle name="Normal 4 2 2 3 2 5 2 4" xfId="11971" xr:uid="{91026D85-76FB-4EF1-B53D-E3F45A36069B}"/>
    <cellStyle name="Normal 4 2 2 3 2 5 3" xfId="5544" xr:uid="{00000000-0005-0000-0000-000038120000}"/>
    <cellStyle name="Normal 4 2 2 3 2 5 3 2" xfId="21660" xr:uid="{07C1AD1C-14D0-43B2-9EE8-0DD71E81373A}"/>
    <cellStyle name="Normal 4 2 2 3 2 5 3 3" xfId="14039" xr:uid="{E995E63F-2016-415F-A6EF-95AED0E1EF1C}"/>
    <cellStyle name="Normal 4 2 2 3 2 5 4" xfId="17447" xr:uid="{005F4299-BE56-44BD-A061-639B7CBEE628}"/>
    <cellStyle name="Normal 4 2 2 3 2 5 5" xfId="9826" xr:uid="{E1A93309-1CA3-465F-8CCE-BD652D76FE17}"/>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24218" xr:uid="{A2AC803D-7B21-48F4-9441-225D38284403}"/>
    <cellStyle name="Normal 4 2 2 3 2 6 2 2 3" xfId="16597" xr:uid="{4E70F48F-43C4-4D8A-9A9B-D36C68B0394F}"/>
    <cellStyle name="Normal 4 2 2 3 2 6 2 3" xfId="20005" xr:uid="{3F3B15F7-A9C0-4604-BB4B-3C7A7853F5E6}"/>
    <cellStyle name="Normal 4 2 2 3 2 6 2 4" xfId="12384" xr:uid="{E7067B11-4398-4B28-AD37-A6031B3C75E6}"/>
    <cellStyle name="Normal 4 2 2 3 2 6 3" xfId="5957" xr:uid="{00000000-0005-0000-0000-00003C120000}"/>
    <cellStyle name="Normal 4 2 2 3 2 6 3 2" xfId="22073" xr:uid="{1851C3AA-C30D-4B23-BA9D-7B945E2DA466}"/>
    <cellStyle name="Normal 4 2 2 3 2 6 3 3" xfId="14452" xr:uid="{816F9C05-A514-48A4-85FC-FF60664B2CB1}"/>
    <cellStyle name="Normal 4 2 2 3 2 6 4" xfId="17860" xr:uid="{6DD80C76-E5BF-4590-856F-3115E7E3F68C}"/>
    <cellStyle name="Normal 4 2 2 3 2 6 5" xfId="10239" xr:uid="{DF936685-4DF0-4EC6-BF1A-7905CE7D53FF}"/>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24631" xr:uid="{45877A61-07AD-4924-9406-2DD561E3ABE5}"/>
    <cellStyle name="Normal 4 2 2 3 2 7 2 2 3" xfId="17010" xr:uid="{697AC3CA-EFC1-46E8-B144-58ABB6E48F1B}"/>
    <cellStyle name="Normal 4 2 2 3 2 7 2 3" xfId="20418" xr:uid="{CF76E838-8898-4E0A-9690-A304F2DA4A21}"/>
    <cellStyle name="Normal 4 2 2 3 2 7 2 4" xfId="12797" xr:uid="{570A0008-D167-4ECD-9AC9-28E25FD08D03}"/>
    <cellStyle name="Normal 4 2 2 3 2 7 3" xfId="6370" xr:uid="{00000000-0005-0000-0000-000040120000}"/>
    <cellStyle name="Normal 4 2 2 3 2 7 3 2" xfId="22486" xr:uid="{E554431E-3B5A-4BC3-9771-3EBCE1F97651}"/>
    <cellStyle name="Normal 4 2 2 3 2 7 3 3" xfId="14865" xr:uid="{1FD878C2-5E7F-4C8F-BDEB-36665DD8D91C}"/>
    <cellStyle name="Normal 4 2 2 3 2 7 4" xfId="18273" xr:uid="{325C5EDC-9607-4673-9D9C-6D80D566EEF2}"/>
    <cellStyle name="Normal 4 2 2 3 2 7 5" xfId="10652" xr:uid="{E03F05DA-7821-4249-95E3-57AE88A912E1}"/>
    <cellStyle name="Normal 4 2 2 3 2 8" xfId="2500" xr:uid="{00000000-0005-0000-0000-000041120000}"/>
    <cellStyle name="Normal 4 2 2 3 2 8 2" xfId="6783" xr:uid="{00000000-0005-0000-0000-000042120000}"/>
    <cellStyle name="Normal 4 2 2 3 2 8 2 2" xfId="22899" xr:uid="{087C98E5-881C-4C0D-A5A0-26A97737B4EB}"/>
    <cellStyle name="Normal 4 2 2 3 2 8 2 3" xfId="15278" xr:uid="{01C70DCB-B952-4F91-94F3-BA6C73B9FE7A}"/>
    <cellStyle name="Normal 4 2 2 3 2 8 3" xfId="18686" xr:uid="{59E48523-54DE-4131-8DA1-A0D803A09783}"/>
    <cellStyle name="Normal 4 2 2 3 2 8 4" xfId="11065" xr:uid="{D7D78FDA-87FF-4F09-BB21-30D43C6BA7C0}"/>
    <cellStyle name="Normal 4 2 2 3 2 9" xfId="4718" xr:uid="{00000000-0005-0000-0000-000043120000}"/>
    <cellStyle name="Normal 4 2 2 3 2 9 2" xfId="20834" xr:uid="{3E5EC6A0-44B4-48D7-8361-E95534A1B93E}"/>
    <cellStyle name="Normal 4 2 2 3 2 9 3" xfId="13213" xr:uid="{4478CD61-FFF9-4D04-AC10-30E80746380E}"/>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23397" xr:uid="{BFEE6068-BDC3-4C52-9E8A-5E1410CA13FA}"/>
    <cellStyle name="Normal 4 2 2 3 3 2 2 2 2 3" xfId="15776" xr:uid="{CC44F58B-59D8-4E37-9463-07D9A9F0AFF7}"/>
    <cellStyle name="Normal 4 2 2 3 3 2 2 2 3" xfId="19184" xr:uid="{19D18D29-6D0A-40C8-9B55-513F7776D0FF}"/>
    <cellStyle name="Normal 4 2 2 3 3 2 2 2 4" xfId="11563" xr:uid="{F0D5C879-E0CC-4348-A97C-A3629A29888D}"/>
    <cellStyle name="Normal 4 2 2 3 3 2 2 3" xfId="5136" xr:uid="{00000000-0005-0000-0000-000049120000}"/>
    <cellStyle name="Normal 4 2 2 3 3 2 2 3 2" xfId="21252" xr:uid="{5751933C-53E1-4F46-B907-8D4A5C87C225}"/>
    <cellStyle name="Normal 4 2 2 3 3 2 2 3 3" xfId="13631" xr:uid="{03A7FD7C-46EE-49B0-AF2D-5FD312A6EE19}"/>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23810" xr:uid="{3506521C-F173-4151-BD4C-7AB71CD31FD2}"/>
    <cellStyle name="Normal 4 2 2 3 3 2 3 2 2 3" xfId="16189" xr:uid="{1CFCB2BF-E4F4-4F35-9F06-C2A6936F26D4}"/>
    <cellStyle name="Normal 4 2 2 3 3 2 3 2 3" xfId="19597" xr:uid="{0C2FDBBD-A02A-4840-8450-FF6B77783BA8}"/>
    <cellStyle name="Normal 4 2 2 3 3 2 3 2 4" xfId="11976" xr:uid="{B27A4BBD-9717-4B2B-B3A4-717A84C360DC}"/>
    <cellStyle name="Normal 4 2 2 3 3 2 3 3" xfId="5549" xr:uid="{00000000-0005-0000-0000-00004D120000}"/>
    <cellStyle name="Normal 4 2 2 3 3 2 3 3 2" xfId="21665" xr:uid="{FFE21967-DAC6-4E8F-B5F6-AC2962336A47}"/>
    <cellStyle name="Normal 4 2 2 3 3 2 3 3 3" xfId="14044" xr:uid="{EE5B193D-11EF-4539-98D0-F02B96CC49F2}"/>
    <cellStyle name="Normal 4 2 2 3 3 2 3 4" xfId="17452" xr:uid="{C3B93FB3-8639-45B7-B4A6-3A7B4E3EBB84}"/>
    <cellStyle name="Normal 4 2 2 3 3 2 3 5" xfId="9831" xr:uid="{A0AE5C9A-09E1-4260-9561-1AACB85B6674}"/>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24223" xr:uid="{BA6D940F-3A95-4150-9F6E-1CD675C24BFC}"/>
    <cellStyle name="Normal 4 2 2 3 3 2 4 2 2 3" xfId="16602" xr:uid="{63FADB23-ED27-4583-B9C3-1CECF8F37E6B}"/>
    <cellStyle name="Normal 4 2 2 3 3 2 4 2 3" xfId="20010" xr:uid="{527526D7-50A8-4F0D-850C-EA6726A5D666}"/>
    <cellStyle name="Normal 4 2 2 3 3 2 4 2 4" xfId="12389" xr:uid="{F91AA6C0-3400-4D0E-BCF5-7F327A7B2C62}"/>
    <cellStyle name="Normal 4 2 2 3 3 2 4 3" xfId="5962" xr:uid="{00000000-0005-0000-0000-000051120000}"/>
    <cellStyle name="Normal 4 2 2 3 3 2 4 3 2" xfId="22078" xr:uid="{FC1795BF-407D-4822-A4E9-7C66C07A9AF1}"/>
    <cellStyle name="Normal 4 2 2 3 3 2 4 3 3" xfId="14457" xr:uid="{AD982AC0-3764-4621-B8AD-272BC9A3820A}"/>
    <cellStyle name="Normal 4 2 2 3 3 2 4 4" xfId="17865" xr:uid="{65331BF1-4FE6-4059-9B0D-3CAA1EE845F5}"/>
    <cellStyle name="Normal 4 2 2 3 3 2 4 5" xfId="10244" xr:uid="{2342AE16-EBC3-435A-AFDC-D87F65DF9622}"/>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24636" xr:uid="{A09004BC-4565-4515-988C-F3702038750F}"/>
    <cellStyle name="Normal 4 2 2 3 3 2 5 2 2 3" xfId="17015" xr:uid="{297C2B22-467D-4A4A-BD62-4ABDA81764CB}"/>
    <cellStyle name="Normal 4 2 2 3 3 2 5 2 3" xfId="20423" xr:uid="{0EF32FDD-7F5F-450A-963D-CE90FB782E63}"/>
    <cellStyle name="Normal 4 2 2 3 3 2 5 2 4" xfId="12802" xr:uid="{89AA431E-C5ED-4362-B1BB-D431C02FB992}"/>
    <cellStyle name="Normal 4 2 2 3 3 2 5 3" xfId="6375" xr:uid="{00000000-0005-0000-0000-000055120000}"/>
    <cellStyle name="Normal 4 2 2 3 3 2 5 3 2" xfId="22491" xr:uid="{72711846-4C24-4631-BD1D-633193EE68A6}"/>
    <cellStyle name="Normal 4 2 2 3 3 2 5 3 3" xfId="14870" xr:uid="{52B44B42-1422-4FF4-9002-54EF16BFCD37}"/>
    <cellStyle name="Normal 4 2 2 3 3 2 5 4" xfId="18278" xr:uid="{B0F059E6-C64D-4A36-8B4F-31F24B2D1231}"/>
    <cellStyle name="Normal 4 2 2 3 3 2 5 5" xfId="10657" xr:uid="{965F6B99-C626-4B75-B0D7-D2FEE028EE3F}"/>
    <cellStyle name="Normal 4 2 2 3 3 2 6" xfId="2505" xr:uid="{00000000-0005-0000-0000-000056120000}"/>
    <cellStyle name="Normal 4 2 2 3 3 2 6 2" xfId="6788" xr:uid="{00000000-0005-0000-0000-000057120000}"/>
    <cellStyle name="Normal 4 2 2 3 3 2 6 2 2" xfId="22904" xr:uid="{9929A175-16CC-4771-9F51-B3C2118E64A4}"/>
    <cellStyle name="Normal 4 2 2 3 3 2 6 2 3" xfId="15283" xr:uid="{0E087FF2-ABD6-462E-BB1D-FB52E59FB40A}"/>
    <cellStyle name="Normal 4 2 2 3 3 2 6 3" xfId="18691" xr:uid="{1B0CC1CF-DEC9-4C6F-B3D1-48219F36BAF6}"/>
    <cellStyle name="Normal 4 2 2 3 3 2 6 4" xfId="11070" xr:uid="{BAD52CD4-DDBC-4D8F-A5FC-8510D58D8D4A}"/>
    <cellStyle name="Normal 4 2 2 3 3 2 7" xfId="4723" xr:uid="{00000000-0005-0000-0000-000058120000}"/>
    <cellStyle name="Normal 4 2 2 3 3 2 7 2" xfId="20839" xr:uid="{90F37972-FB81-44E9-B2A1-9DA1FA1F084C}"/>
    <cellStyle name="Normal 4 2 2 3 3 2 7 3" xfId="13218" xr:uid="{B61E3D71-9B7A-401B-93FD-2D1EABB6B29B}"/>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23396" xr:uid="{C47C3FC3-3AB8-4635-81E5-6C577E5361D1}"/>
    <cellStyle name="Normal 4 2 2 3 3 3 2 2 3" xfId="15775" xr:uid="{84D37114-9716-4FE5-BF11-4C94D7A50ECE}"/>
    <cellStyle name="Normal 4 2 2 3 3 3 2 3" xfId="19183" xr:uid="{9C64FC39-B8A2-4A67-811A-2BA9DF1EE0CD}"/>
    <cellStyle name="Normal 4 2 2 3 3 3 2 4" xfId="11562" xr:uid="{8312705B-97E7-4CEF-86C7-871054803004}"/>
    <cellStyle name="Normal 4 2 2 3 3 3 3" xfId="5135" xr:uid="{00000000-0005-0000-0000-00005C120000}"/>
    <cellStyle name="Normal 4 2 2 3 3 3 3 2" xfId="21251" xr:uid="{F4E3E89C-8BE1-4826-843F-A9997E01A0A7}"/>
    <cellStyle name="Normal 4 2 2 3 3 3 3 3" xfId="13630" xr:uid="{930C4968-BCA4-4274-9397-96D531CC621D}"/>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23809" xr:uid="{AAE728CF-1EE3-4EBA-8E4B-B07D971E75C5}"/>
    <cellStyle name="Normal 4 2 2 3 3 4 2 2 3" xfId="16188" xr:uid="{7202C120-2D23-4D96-82F5-8CE5464B5C48}"/>
    <cellStyle name="Normal 4 2 2 3 3 4 2 3" xfId="19596" xr:uid="{F2FF8F7D-7A0B-4D4C-82C8-FF03799FE809}"/>
    <cellStyle name="Normal 4 2 2 3 3 4 2 4" xfId="11975" xr:uid="{3E9B4665-E29A-4BC1-B7C2-013B7E60D631}"/>
    <cellStyle name="Normal 4 2 2 3 3 4 3" xfId="5548" xr:uid="{00000000-0005-0000-0000-000060120000}"/>
    <cellStyle name="Normal 4 2 2 3 3 4 3 2" xfId="21664" xr:uid="{CB859259-2181-4927-BDAB-0BCC9571E608}"/>
    <cellStyle name="Normal 4 2 2 3 3 4 3 3" xfId="14043" xr:uid="{4EAE799D-4187-4802-BB5B-12514D0B0CED}"/>
    <cellStyle name="Normal 4 2 2 3 3 4 4" xfId="17451" xr:uid="{00A84033-DEE9-40E2-AFAD-62D474CBBEB9}"/>
    <cellStyle name="Normal 4 2 2 3 3 4 5" xfId="9830" xr:uid="{3A9A01EC-F8BC-4CC7-BEDE-4D6E98F57246}"/>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24222" xr:uid="{DB40FD44-1E0F-472B-8F15-0B4967FD7B3B}"/>
    <cellStyle name="Normal 4 2 2 3 3 5 2 2 3" xfId="16601" xr:uid="{75731A4D-8FFF-4164-B8D9-75F98EA8BC24}"/>
    <cellStyle name="Normal 4 2 2 3 3 5 2 3" xfId="20009" xr:uid="{B98D30D2-C380-4D9A-91D6-AA7D22EF7F6E}"/>
    <cellStyle name="Normal 4 2 2 3 3 5 2 4" xfId="12388" xr:uid="{5FB2337A-8DEC-4621-AA2D-AF5E64EE3CCE}"/>
    <cellStyle name="Normal 4 2 2 3 3 5 3" xfId="5961" xr:uid="{00000000-0005-0000-0000-000064120000}"/>
    <cellStyle name="Normal 4 2 2 3 3 5 3 2" xfId="22077" xr:uid="{B4D6E8D6-95EF-4F2A-986E-7D62A7F66BFE}"/>
    <cellStyle name="Normal 4 2 2 3 3 5 3 3" xfId="14456" xr:uid="{2C894B94-54E4-49D7-BAF3-4E1BD9ADC3FF}"/>
    <cellStyle name="Normal 4 2 2 3 3 5 4" xfId="17864" xr:uid="{92ADE9A4-2787-44E9-B09C-E6D3563080C7}"/>
    <cellStyle name="Normal 4 2 2 3 3 5 5" xfId="10243" xr:uid="{1D6E4408-776D-41AC-A276-B171E210F581}"/>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24635" xr:uid="{CFC099E8-5EEF-4791-B987-ACF62E0BA410}"/>
    <cellStyle name="Normal 4 2 2 3 3 6 2 2 3" xfId="17014" xr:uid="{FFEE6CAC-F6B8-41A7-AD23-CC8910235822}"/>
    <cellStyle name="Normal 4 2 2 3 3 6 2 3" xfId="20422" xr:uid="{ED2CB08B-E2AD-404E-9018-A9EFF8867DD5}"/>
    <cellStyle name="Normal 4 2 2 3 3 6 2 4" xfId="12801" xr:uid="{1246C07C-F034-47BC-ACFE-DDDCE44876FB}"/>
    <cellStyle name="Normal 4 2 2 3 3 6 3" xfId="6374" xr:uid="{00000000-0005-0000-0000-000068120000}"/>
    <cellStyle name="Normal 4 2 2 3 3 6 3 2" xfId="22490" xr:uid="{8680AFD6-C254-4A72-A03A-B2FA4A489643}"/>
    <cellStyle name="Normal 4 2 2 3 3 6 3 3" xfId="14869" xr:uid="{41AC5A33-F96E-4A52-AA1A-30E73D617C0C}"/>
    <cellStyle name="Normal 4 2 2 3 3 6 4" xfId="18277" xr:uid="{FAA155E6-8561-4478-9FE7-FB2A8B80D9BC}"/>
    <cellStyle name="Normal 4 2 2 3 3 6 5" xfId="10656" xr:uid="{E2A7A7E2-B69E-4172-87BE-F92A195538B7}"/>
    <cellStyle name="Normal 4 2 2 3 3 7" xfId="2504" xr:uid="{00000000-0005-0000-0000-000069120000}"/>
    <cellStyle name="Normal 4 2 2 3 3 7 2" xfId="6787" xr:uid="{00000000-0005-0000-0000-00006A120000}"/>
    <cellStyle name="Normal 4 2 2 3 3 7 2 2" xfId="22903" xr:uid="{9F627B0A-77D8-4FA5-8606-6FEBC595C2ED}"/>
    <cellStyle name="Normal 4 2 2 3 3 7 2 3" xfId="15282" xr:uid="{2EC023E6-38C6-4023-8462-60428C0502F5}"/>
    <cellStyle name="Normal 4 2 2 3 3 7 3" xfId="18690" xr:uid="{16125C0F-A6ED-4B46-9E35-BEC794D702EA}"/>
    <cellStyle name="Normal 4 2 2 3 3 7 4" xfId="11069" xr:uid="{4941C158-55C3-4CC4-BD61-96B869B91147}"/>
    <cellStyle name="Normal 4 2 2 3 3 8" xfId="4722" xr:uid="{00000000-0005-0000-0000-00006B120000}"/>
    <cellStyle name="Normal 4 2 2 3 3 8 2" xfId="20838" xr:uid="{2F5F05EE-B147-41C1-91A0-5118438C0D6A}"/>
    <cellStyle name="Normal 4 2 2 3 3 8 3" xfId="13217" xr:uid="{259141E1-408F-4D10-925B-1562D1BE201E}"/>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23398" xr:uid="{E97B6494-21D0-4756-99F2-9B6D2D6BBB1C}"/>
    <cellStyle name="Normal 4 2 2 3 4 2 2 2 3" xfId="15777" xr:uid="{88B148D9-7249-4F8F-AC0D-9942BA449E0A}"/>
    <cellStyle name="Normal 4 2 2 3 4 2 2 3" xfId="19185" xr:uid="{558ADFFA-886D-4E6A-9F16-31CAA86927D0}"/>
    <cellStyle name="Normal 4 2 2 3 4 2 2 4" xfId="11564" xr:uid="{AAA2D3B7-750E-461E-B580-354E07180668}"/>
    <cellStyle name="Normal 4 2 2 3 4 2 3" xfId="5137" xr:uid="{00000000-0005-0000-0000-000070120000}"/>
    <cellStyle name="Normal 4 2 2 3 4 2 3 2" xfId="21253" xr:uid="{0D3DC132-4EAF-4B7C-8AA5-5778EF15C74E}"/>
    <cellStyle name="Normal 4 2 2 3 4 2 3 3" xfId="13632" xr:uid="{0F7AA4AA-70A1-4EC0-973D-852EB431B47E}"/>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23811" xr:uid="{BA2E0FB1-0DAA-412E-9419-5B42E2389D2F}"/>
    <cellStyle name="Normal 4 2 2 3 4 3 2 2 3" xfId="16190" xr:uid="{FA98DCE9-F8C5-43D6-A465-F3566B547FDF}"/>
    <cellStyle name="Normal 4 2 2 3 4 3 2 3" xfId="19598" xr:uid="{DEE326D2-F1A2-44A9-87E4-3709F56CD2E7}"/>
    <cellStyle name="Normal 4 2 2 3 4 3 2 4" xfId="11977" xr:uid="{F6BF710F-F3F0-423C-AA32-26CB5C88B61E}"/>
    <cellStyle name="Normal 4 2 2 3 4 3 3" xfId="5550" xr:uid="{00000000-0005-0000-0000-000074120000}"/>
    <cellStyle name="Normal 4 2 2 3 4 3 3 2" xfId="21666" xr:uid="{3DD10BF9-E45B-4E42-BE79-2DDCC59D0DC8}"/>
    <cellStyle name="Normal 4 2 2 3 4 3 3 3" xfId="14045" xr:uid="{0919BB9E-F4F4-4049-BDB1-9457358E95F7}"/>
    <cellStyle name="Normal 4 2 2 3 4 3 4" xfId="17453" xr:uid="{2DB3DC48-6A07-4993-88E0-E29D8C0A08AE}"/>
    <cellStyle name="Normal 4 2 2 3 4 3 5" xfId="9832" xr:uid="{16367C74-A639-4A76-BE05-560C54594842}"/>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24224" xr:uid="{020547CE-EADB-460D-911A-9407E8414093}"/>
    <cellStyle name="Normal 4 2 2 3 4 4 2 2 3" xfId="16603" xr:uid="{BF7735DB-05D7-4522-9095-7F5B250EEDF2}"/>
    <cellStyle name="Normal 4 2 2 3 4 4 2 3" xfId="20011" xr:uid="{98541D80-7058-4BA1-B8BF-BAA0FCB03AAB}"/>
    <cellStyle name="Normal 4 2 2 3 4 4 2 4" xfId="12390" xr:uid="{9BB600DA-7B89-4A64-82BA-45E6F9A765E3}"/>
    <cellStyle name="Normal 4 2 2 3 4 4 3" xfId="5963" xr:uid="{00000000-0005-0000-0000-000078120000}"/>
    <cellStyle name="Normal 4 2 2 3 4 4 3 2" xfId="22079" xr:uid="{F585DCEF-F3F1-49FA-813F-6BF6600627B0}"/>
    <cellStyle name="Normal 4 2 2 3 4 4 3 3" xfId="14458" xr:uid="{CFB3F789-F10A-4C23-A39C-B52EFBAADE39}"/>
    <cellStyle name="Normal 4 2 2 3 4 4 4" xfId="17866" xr:uid="{3EB73832-28F0-462B-9BC7-EF4E6667885E}"/>
    <cellStyle name="Normal 4 2 2 3 4 4 5" xfId="10245" xr:uid="{CF8A8448-A58C-4284-AFCF-E066CB1D079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24637" xr:uid="{07F2E6E6-0044-4D30-AEE5-A10B4D0CAECC}"/>
    <cellStyle name="Normal 4 2 2 3 4 5 2 2 3" xfId="17016" xr:uid="{8D07E87B-9C65-44AA-9310-FA94E763EC5B}"/>
    <cellStyle name="Normal 4 2 2 3 4 5 2 3" xfId="20424" xr:uid="{1917990D-E887-406F-9370-F5AD06AC1522}"/>
    <cellStyle name="Normal 4 2 2 3 4 5 2 4" xfId="12803" xr:uid="{15639514-F9CD-490D-83EC-DCD30E449FEA}"/>
    <cellStyle name="Normal 4 2 2 3 4 5 3" xfId="6376" xr:uid="{00000000-0005-0000-0000-00007C120000}"/>
    <cellStyle name="Normal 4 2 2 3 4 5 3 2" xfId="22492" xr:uid="{A4A8C59D-D166-41BA-989B-B1E93701465C}"/>
    <cellStyle name="Normal 4 2 2 3 4 5 3 3" xfId="14871" xr:uid="{E2D58C4D-9711-4C0E-BFC6-1ED914A73E97}"/>
    <cellStyle name="Normal 4 2 2 3 4 5 4" xfId="18279" xr:uid="{48B3D1AB-851E-40F4-AF8C-6AF0D59F358E}"/>
    <cellStyle name="Normal 4 2 2 3 4 5 5" xfId="10658" xr:uid="{5E18F4E7-17EF-4A49-AE23-3BAFCEDA7A57}"/>
    <cellStyle name="Normal 4 2 2 3 4 6" xfId="2506" xr:uid="{00000000-0005-0000-0000-00007D120000}"/>
    <cellStyle name="Normal 4 2 2 3 4 6 2" xfId="6789" xr:uid="{00000000-0005-0000-0000-00007E120000}"/>
    <cellStyle name="Normal 4 2 2 3 4 6 2 2" xfId="22905" xr:uid="{512832F4-9E80-48E9-AB49-2D07D7716DB1}"/>
    <cellStyle name="Normal 4 2 2 3 4 6 2 3" xfId="15284" xr:uid="{E77A9622-C062-4B2A-8B6F-5A68CEEFF7AB}"/>
    <cellStyle name="Normal 4 2 2 3 4 6 3" xfId="18692" xr:uid="{D082CB76-8FC8-4D1D-B61B-D7537681AC5D}"/>
    <cellStyle name="Normal 4 2 2 3 4 6 4" xfId="11071" xr:uid="{60344C97-E24E-4BAA-A8AD-B01764CD0E1D}"/>
    <cellStyle name="Normal 4 2 2 3 4 7" xfId="4724" xr:uid="{00000000-0005-0000-0000-00007F120000}"/>
    <cellStyle name="Normal 4 2 2 3 4 7 2" xfId="20840" xr:uid="{CD018247-E159-4808-9D23-0E9AB7A7BB64}"/>
    <cellStyle name="Normal 4 2 2 3 4 7 3" xfId="13219" xr:uid="{76255403-14B9-4EB2-9E1B-C91DC8D6FA54}"/>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23391" xr:uid="{D94AEE19-E85D-4501-90B0-E6CBD19D79CE}"/>
    <cellStyle name="Normal 4 2 2 3 5 2 2 3" xfId="15770" xr:uid="{61D569D4-4727-4C00-B311-8AADA7E9BF0B}"/>
    <cellStyle name="Normal 4 2 2 3 5 2 3" xfId="19178" xr:uid="{305D883E-8423-476F-A7A1-C7781D72987A}"/>
    <cellStyle name="Normal 4 2 2 3 5 2 4" xfId="11557" xr:uid="{27F34CC8-43B5-4CD9-9C0B-BFDCD5B64B94}"/>
    <cellStyle name="Normal 4 2 2 3 5 3" xfId="5130" xr:uid="{00000000-0005-0000-0000-000083120000}"/>
    <cellStyle name="Normal 4 2 2 3 5 3 2" xfId="21246" xr:uid="{C9C458E1-ED28-4840-BEA7-2BF1509C34B9}"/>
    <cellStyle name="Normal 4 2 2 3 5 3 3" xfId="13625" xr:uid="{106451ED-BC45-46E5-8D16-5EA853EE7C8C}"/>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23804" xr:uid="{1490DC1C-9833-4D7C-BC09-F7E7219C58A0}"/>
    <cellStyle name="Normal 4 2 2 3 6 2 2 3" xfId="16183" xr:uid="{0A140C39-4875-41EB-AFEB-64CDA657FD4E}"/>
    <cellStyle name="Normal 4 2 2 3 6 2 3" xfId="19591" xr:uid="{3B3C1111-154A-4A42-B161-237C60020021}"/>
    <cellStyle name="Normal 4 2 2 3 6 2 4" xfId="11970" xr:uid="{D8697AEA-A645-4EED-BACA-D493E33228BC}"/>
    <cellStyle name="Normal 4 2 2 3 6 3" xfId="5543" xr:uid="{00000000-0005-0000-0000-000087120000}"/>
    <cellStyle name="Normal 4 2 2 3 6 3 2" xfId="21659" xr:uid="{99F87E30-3EC6-43E5-B9F2-345EECCEE098}"/>
    <cellStyle name="Normal 4 2 2 3 6 3 3" xfId="14038" xr:uid="{3099FB57-2E01-45BA-8DD0-D764E33CB835}"/>
    <cellStyle name="Normal 4 2 2 3 6 4" xfId="17446" xr:uid="{29A0C5E4-6A35-4A2A-AC33-7033BC3FD183}"/>
    <cellStyle name="Normal 4 2 2 3 6 5" xfId="9825" xr:uid="{0DB1487C-2EBD-46E8-AB97-0F2704655FBF}"/>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24217" xr:uid="{B7C3CFE9-2A50-481D-9DE6-92476EC803D6}"/>
    <cellStyle name="Normal 4 2 2 3 7 2 2 3" xfId="16596" xr:uid="{D00D25B2-A5C2-4973-AD62-5DAFB179D7BB}"/>
    <cellStyle name="Normal 4 2 2 3 7 2 3" xfId="20004" xr:uid="{9218DFE0-D2C8-43EF-8575-BABF1F9FE944}"/>
    <cellStyle name="Normal 4 2 2 3 7 2 4" xfId="12383" xr:uid="{05DFC20F-8BA1-42B5-8E23-A0FCFDBFDEE9}"/>
    <cellStyle name="Normal 4 2 2 3 7 3" xfId="5956" xr:uid="{00000000-0005-0000-0000-00008B120000}"/>
    <cellStyle name="Normal 4 2 2 3 7 3 2" xfId="22072" xr:uid="{746400D0-EF48-4904-A364-8646EA9F13AD}"/>
    <cellStyle name="Normal 4 2 2 3 7 3 3" xfId="14451" xr:uid="{8D0EF140-D4AB-4FCF-BFD1-E2B2B771ACB0}"/>
    <cellStyle name="Normal 4 2 2 3 7 4" xfId="17859" xr:uid="{58613B2B-992B-4B6B-89C7-E43A0F063CE3}"/>
    <cellStyle name="Normal 4 2 2 3 7 5" xfId="10238" xr:uid="{1F537710-4370-4223-8D6B-323AFAA9744A}"/>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24630" xr:uid="{6BAB44FA-86D4-4188-B93B-586AB9918682}"/>
    <cellStyle name="Normal 4 2 2 3 8 2 2 3" xfId="17009" xr:uid="{489792A4-BF05-4001-B4D0-40520E0E6721}"/>
    <cellStyle name="Normal 4 2 2 3 8 2 3" xfId="20417" xr:uid="{D15EC155-B992-4712-8471-0FE4576D44C3}"/>
    <cellStyle name="Normal 4 2 2 3 8 2 4" xfId="12796" xr:uid="{A80075ED-4D27-436C-8A7F-91554F616BEE}"/>
    <cellStyle name="Normal 4 2 2 3 8 3" xfId="6369" xr:uid="{00000000-0005-0000-0000-00008F120000}"/>
    <cellStyle name="Normal 4 2 2 3 8 3 2" xfId="22485" xr:uid="{E222A173-9FD4-4F46-95DA-2A0F5C31923A}"/>
    <cellStyle name="Normal 4 2 2 3 8 3 3" xfId="14864" xr:uid="{2F2AC33F-A474-46C0-A2FF-DA6181C56B69}"/>
    <cellStyle name="Normal 4 2 2 3 8 4" xfId="18272" xr:uid="{42A5AB17-E985-4A50-A3DD-FA055E94D331}"/>
    <cellStyle name="Normal 4 2 2 3 8 5" xfId="10651" xr:uid="{17C73992-D8B4-4E0A-8DC5-B88658BA97E5}"/>
    <cellStyle name="Normal 4 2 2 3 9" xfId="2499" xr:uid="{00000000-0005-0000-0000-000090120000}"/>
    <cellStyle name="Normal 4 2 2 3 9 2" xfId="6782" xr:uid="{00000000-0005-0000-0000-000091120000}"/>
    <cellStyle name="Normal 4 2 2 3 9 2 2" xfId="22898" xr:uid="{0D3B5030-5F12-412A-89B8-875C0BAFB169}"/>
    <cellStyle name="Normal 4 2 2 3 9 2 3" xfId="15277" xr:uid="{6D1FBA98-47DE-4B83-91CD-7727A8C696D4}"/>
    <cellStyle name="Normal 4 2 2 3 9 3" xfId="18685" xr:uid="{AF4013B8-129F-4F97-9662-8597DCF7B882}"/>
    <cellStyle name="Normal 4 2 2 3 9 4" xfId="11064" xr:uid="{211EC082-ABB9-4BA4-9154-25E8659A43F8}"/>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23401" xr:uid="{393DA70A-3751-45E9-896C-6257FBB16B46}"/>
    <cellStyle name="Normal 4 2 2 4 2 2 2 2 2 3" xfId="15780" xr:uid="{BBAC297B-B6C9-45AD-A6FC-F0F6AC20239B}"/>
    <cellStyle name="Normal 4 2 2 4 2 2 2 2 3" xfId="19188" xr:uid="{78CC7829-975B-4CBB-B045-BFD1D0E30AA9}"/>
    <cellStyle name="Normal 4 2 2 4 2 2 2 2 4" xfId="11567" xr:uid="{E809397C-6E50-43DF-BBC5-5E302A089888}"/>
    <cellStyle name="Normal 4 2 2 4 2 2 2 3" xfId="5140" xr:uid="{00000000-0005-0000-0000-000098120000}"/>
    <cellStyle name="Normal 4 2 2 4 2 2 2 3 2" xfId="21256" xr:uid="{855D3CA9-CCEA-466E-B996-7DDAE4AB06AB}"/>
    <cellStyle name="Normal 4 2 2 4 2 2 2 3 3" xfId="13635" xr:uid="{A2741A67-13F2-4F01-A4B2-38A03849485C}"/>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23814" xr:uid="{FA31F653-8C5F-4936-A03B-9D1846D368D6}"/>
    <cellStyle name="Normal 4 2 2 4 2 2 3 2 2 3" xfId="16193" xr:uid="{277F7A4A-2364-4CE2-B91A-35378C5E385C}"/>
    <cellStyle name="Normal 4 2 2 4 2 2 3 2 3" xfId="19601" xr:uid="{08469304-3E1A-4486-B9B9-3AB7318A2FA8}"/>
    <cellStyle name="Normal 4 2 2 4 2 2 3 2 4" xfId="11980" xr:uid="{E49A5202-61FA-4B12-BA66-7BE5F12A400A}"/>
    <cellStyle name="Normal 4 2 2 4 2 2 3 3" xfId="5553" xr:uid="{00000000-0005-0000-0000-00009C120000}"/>
    <cellStyle name="Normal 4 2 2 4 2 2 3 3 2" xfId="21669" xr:uid="{5F71EEFC-EC94-44A9-A39B-1003232AB5DE}"/>
    <cellStyle name="Normal 4 2 2 4 2 2 3 3 3" xfId="14048" xr:uid="{75BB0E96-CBA9-4BDA-A021-92E07A4EC8F6}"/>
    <cellStyle name="Normal 4 2 2 4 2 2 3 4" xfId="17456" xr:uid="{E9B7A5A2-5BD3-41F5-913F-E677DBB3F699}"/>
    <cellStyle name="Normal 4 2 2 4 2 2 3 5" xfId="9835" xr:uid="{58741E51-D22C-4EA2-9991-D7C1739AFFE1}"/>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24227" xr:uid="{E5F06596-D2D6-4984-8221-80C26F826BD8}"/>
    <cellStyle name="Normal 4 2 2 4 2 2 4 2 2 3" xfId="16606" xr:uid="{9C75A1C7-C33F-4059-89C6-480D6B5CC0E2}"/>
    <cellStyle name="Normal 4 2 2 4 2 2 4 2 3" xfId="20014" xr:uid="{2B999B28-8EB1-4FD8-A62F-73E2DF32FE37}"/>
    <cellStyle name="Normal 4 2 2 4 2 2 4 2 4" xfId="12393" xr:uid="{9D6EC25F-1BB9-42C0-BFAB-BFA9E6C49454}"/>
    <cellStyle name="Normal 4 2 2 4 2 2 4 3" xfId="5966" xr:uid="{00000000-0005-0000-0000-0000A0120000}"/>
    <cellStyle name="Normal 4 2 2 4 2 2 4 3 2" xfId="22082" xr:uid="{D2A1BE05-711E-4622-97D7-B5E77F09781E}"/>
    <cellStyle name="Normal 4 2 2 4 2 2 4 3 3" xfId="14461" xr:uid="{15331762-71CF-4EF8-A317-55A7DF200684}"/>
    <cellStyle name="Normal 4 2 2 4 2 2 4 4" xfId="17869" xr:uid="{4A07FC20-EE56-47AA-921C-9DF929267683}"/>
    <cellStyle name="Normal 4 2 2 4 2 2 4 5" xfId="10248" xr:uid="{6EBA0E57-EC81-4669-8D7D-499F26D53EB5}"/>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24640" xr:uid="{962A4EC2-DCEA-4FDD-B2A5-2518EE5B86C0}"/>
    <cellStyle name="Normal 4 2 2 4 2 2 5 2 2 3" xfId="17019" xr:uid="{88B7D248-1A1D-45C7-8EE6-6B09661FC846}"/>
    <cellStyle name="Normal 4 2 2 4 2 2 5 2 3" xfId="20427" xr:uid="{9BDFB271-4681-4040-A1CB-8B7B14145AB0}"/>
    <cellStyle name="Normal 4 2 2 4 2 2 5 2 4" xfId="12806" xr:uid="{38090CFD-3E8B-4CA9-9F56-E4A8D7470064}"/>
    <cellStyle name="Normal 4 2 2 4 2 2 5 3" xfId="6379" xr:uid="{00000000-0005-0000-0000-0000A4120000}"/>
    <cellStyle name="Normal 4 2 2 4 2 2 5 3 2" xfId="22495" xr:uid="{D64734D6-3A9B-41BD-934B-F0CB8DE7CE0D}"/>
    <cellStyle name="Normal 4 2 2 4 2 2 5 3 3" xfId="14874" xr:uid="{89B174E5-42C6-4223-9EAC-480CBFF5CD6D}"/>
    <cellStyle name="Normal 4 2 2 4 2 2 5 4" xfId="18282" xr:uid="{91F986F2-7536-46BA-AAD7-290FB08B3B8E}"/>
    <cellStyle name="Normal 4 2 2 4 2 2 5 5" xfId="10661" xr:uid="{6590C7FF-85C4-4F95-9C31-11C81A7575A5}"/>
    <cellStyle name="Normal 4 2 2 4 2 2 6" xfId="2509" xr:uid="{00000000-0005-0000-0000-0000A5120000}"/>
    <cellStyle name="Normal 4 2 2 4 2 2 6 2" xfId="6792" xr:uid="{00000000-0005-0000-0000-0000A6120000}"/>
    <cellStyle name="Normal 4 2 2 4 2 2 6 2 2" xfId="22908" xr:uid="{99BF5A8A-634D-4F8A-A50A-737BCA284BF3}"/>
    <cellStyle name="Normal 4 2 2 4 2 2 6 2 3" xfId="15287" xr:uid="{D7CA29D4-7E86-40C7-BB8F-9A4D8752604B}"/>
    <cellStyle name="Normal 4 2 2 4 2 2 6 3" xfId="18695" xr:uid="{A3D9535F-18E9-4CF0-A939-0B3A435A8F19}"/>
    <cellStyle name="Normal 4 2 2 4 2 2 6 4" xfId="11074" xr:uid="{5398D43C-55E2-425D-B874-A448396BBA05}"/>
    <cellStyle name="Normal 4 2 2 4 2 2 7" xfId="4727" xr:uid="{00000000-0005-0000-0000-0000A7120000}"/>
    <cellStyle name="Normal 4 2 2 4 2 2 7 2" xfId="20843" xr:uid="{19C4E07E-F828-459F-963A-93099CDA896C}"/>
    <cellStyle name="Normal 4 2 2 4 2 2 7 3" xfId="13222" xr:uid="{F8792988-583B-4890-8D53-C20B8476C179}"/>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23400" xr:uid="{2D6CA087-1928-4FE8-85CB-CA2DFF0D3CBE}"/>
    <cellStyle name="Normal 4 2 2 4 2 3 2 2 3" xfId="15779" xr:uid="{E483C626-1EBB-4E40-9FC6-F60D5BC2C169}"/>
    <cellStyle name="Normal 4 2 2 4 2 3 2 3" xfId="19187" xr:uid="{D8C1C2AC-A9D6-495A-9A79-1BFBAB6E5A8B}"/>
    <cellStyle name="Normal 4 2 2 4 2 3 2 4" xfId="11566" xr:uid="{EFF7F8C6-F690-4C91-A5D6-DB100514E8EF}"/>
    <cellStyle name="Normal 4 2 2 4 2 3 3" xfId="5139" xr:uid="{00000000-0005-0000-0000-0000AB120000}"/>
    <cellStyle name="Normal 4 2 2 4 2 3 3 2" xfId="21255" xr:uid="{9DBA4F4B-1568-482B-AA14-E17BD05CDCB5}"/>
    <cellStyle name="Normal 4 2 2 4 2 3 3 3" xfId="13634" xr:uid="{E2965F23-6F5D-4B4E-B2B8-2DA89200A743}"/>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23813" xr:uid="{75923A31-729D-42A9-B693-E6958E148BD4}"/>
    <cellStyle name="Normal 4 2 2 4 2 4 2 2 3" xfId="16192" xr:uid="{D49FAF06-4C0A-49B4-AB26-841A775FC5B2}"/>
    <cellStyle name="Normal 4 2 2 4 2 4 2 3" xfId="19600" xr:uid="{6A08E608-8FE5-4F2C-9EE1-A6E72EBF4C1B}"/>
    <cellStyle name="Normal 4 2 2 4 2 4 2 4" xfId="11979" xr:uid="{0F713D06-7299-4E02-9464-FA9983E37E44}"/>
    <cellStyle name="Normal 4 2 2 4 2 4 3" xfId="5552" xr:uid="{00000000-0005-0000-0000-0000AF120000}"/>
    <cellStyle name="Normal 4 2 2 4 2 4 3 2" xfId="21668" xr:uid="{908FF3D2-95A3-410D-879D-2F6933C62F7A}"/>
    <cellStyle name="Normal 4 2 2 4 2 4 3 3" xfId="14047" xr:uid="{E318FB43-1B53-467A-9806-B479DD9EF02A}"/>
    <cellStyle name="Normal 4 2 2 4 2 4 4" xfId="17455" xr:uid="{DFF93104-967C-4A72-B182-A3556E36F257}"/>
    <cellStyle name="Normal 4 2 2 4 2 4 5" xfId="9834" xr:uid="{F8A38C1D-F94B-4423-8AB1-0FD3BC2D299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24226" xr:uid="{DE7A1BC5-4C8D-439A-ABC4-6B9DC41B37A6}"/>
    <cellStyle name="Normal 4 2 2 4 2 5 2 2 3" xfId="16605" xr:uid="{0E8A4B04-74C4-41FF-8038-18471F0EA0F9}"/>
    <cellStyle name="Normal 4 2 2 4 2 5 2 3" xfId="20013" xr:uid="{69E7786D-1085-4249-8C07-98BF6D3D00F6}"/>
    <cellStyle name="Normal 4 2 2 4 2 5 2 4" xfId="12392" xr:uid="{011FC14D-2872-425C-9CA3-80F542627490}"/>
    <cellStyle name="Normal 4 2 2 4 2 5 3" xfId="5965" xr:uid="{00000000-0005-0000-0000-0000B3120000}"/>
    <cellStyle name="Normal 4 2 2 4 2 5 3 2" xfId="22081" xr:uid="{D945BB7A-192D-4DE5-93EA-13AE81BB3FC3}"/>
    <cellStyle name="Normal 4 2 2 4 2 5 3 3" xfId="14460" xr:uid="{B002EFFC-96D6-4153-B2C3-DC67A5E453DA}"/>
    <cellStyle name="Normal 4 2 2 4 2 5 4" xfId="17868" xr:uid="{ABA55939-13E4-4A0E-A135-307146F6E760}"/>
    <cellStyle name="Normal 4 2 2 4 2 5 5" xfId="10247" xr:uid="{705C5477-976D-462F-8B2E-47DC5CECEFB5}"/>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24639" xr:uid="{10547C7E-0BC7-43D5-83C0-6170728B45F0}"/>
    <cellStyle name="Normal 4 2 2 4 2 6 2 2 3" xfId="17018" xr:uid="{06A72E38-6E2E-4003-A58D-BFF530FD7967}"/>
    <cellStyle name="Normal 4 2 2 4 2 6 2 3" xfId="20426" xr:uid="{C1191D63-F314-4D0B-AC88-1401AB401A20}"/>
    <cellStyle name="Normal 4 2 2 4 2 6 2 4" xfId="12805" xr:uid="{02BB21AE-E85B-497A-8577-0A248B02399C}"/>
    <cellStyle name="Normal 4 2 2 4 2 6 3" xfId="6378" xr:uid="{00000000-0005-0000-0000-0000B7120000}"/>
    <cellStyle name="Normal 4 2 2 4 2 6 3 2" xfId="22494" xr:uid="{DB72032F-A88D-4B7E-918F-507AC5E00634}"/>
    <cellStyle name="Normal 4 2 2 4 2 6 3 3" xfId="14873" xr:uid="{7270B978-D8D6-4547-8924-F4C9352FDA91}"/>
    <cellStyle name="Normal 4 2 2 4 2 6 4" xfId="18281" xr:uid="{2B7B81AF-823E-48A4-A1C6-68EE20CB4D74}"/>
    <cellStyle name="Normal 4 2 2 4 2 6 5" xfId="10660" xr:uid="{A2C2ED9F-B96F-4832-A33B-6674406CA7C9}"/>
    <cellStyle name="Normal 4 2 2 4 2 7" xfId="2508" xr:uid="{00000000-0005-0000-0000-0000B8120000}"/>
    <cellStyle name="Normal 4 2 2 4 2 7 2" xfId="6791" xr:uid="{00000000-0005-0000-0000-0000B9120000}"/>
    <cellStyle name="Normal 4 2 2 4 2 7 2 2" xfId="22907" xr:uid="{A571E60D-91CC-432F-AF77-0D9AD963C309}"/>
    <cellStyle name="Normal 4 2 2 4 2 7 2 3" xfId="15286" xr:uid="{0D06D53A-F85D-47DF-827A-1289F31ACE27}"/>
    <cellStyle name="Normal 4 2 2 4 2 7 3" xfId="18694" xr:uid="{05CA0A08-89CB-479F-AF56-BDF855F12AE4}"/>
    <cellStyle name="Normal 4 2 2 4 2 7 4" xfId="11073" xr:uid="{2B398F4D-E2BD-46BE-953E-12FD31F2B1E9}"/>
    <cellStyle name="Normal 4 2 2 4 2 8" xfId="4726" xr:uid="{00000000-0005-0000-0000-0000BA120000}"/>
    <cellStyle name="Normal 4 2 2 4 2 8 2" xfId="20842" xr:uid="{63BCA672-E295-4273-A1AC-8915563BA106}"/>
    <cellStyle name="Normal 4 2 2 4 2 8 3" xfId="13221" xr:uid="{CC382B2C-CD3E-44DA-9C46-9F4F5A7204DD}"/>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23402" xr:uid="{1C86733D-ED6A-4779-9351-DCB1F0EE8D05}"/>
    <cellStyle name="Normal 4 2 2 4 3 2 2 2 3" xfId="15781" xr:uid="{0A8A4C1A-CBC9-47EB-BB45-E0292C05FE01}"/>
    <cellStyle name="Normal 4 2 2 4 3 2 2 3" xfId="19189" xr:uid="{83C6BBEB-A6D3-4E8C-9520-68AFF8803F9B}"/>
    <cellStyle name="Normal 4 2 2 4 3 2 2 4" xfId="11568" xr:uid="{033CFA64-F43C-4069-A463-BF97AFA72A6C}"/>
    <cellStyle name="Normal 4 2 2 4 3 2 3" xfId="5141" xr:uid="{00000000-0005-0000-0000-0000BF120000}"/>
    <cellStyle name="Normal 4 2 2 4 3 2 3 2" xfId="21257" xr:uid="{6C1FA23A-0233-4C37-9F02-1BA6E7727FCE}"/>
    <cellStyle name="Normal 4 2 2 4 3 2 3 3" xfId="13636" xr:uid="{F99ED6E3-5A18-4137-BB41-8AC60490421B}"/>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23815" xr:uid="{61B7A8A9-7476-4685-8E24-0D319E35287E}"/>
    <cellStyle name="Normal 4 2 2 4 3 3 2 2 3" xfId="16194" xr:uid="{ADE040F8-9F85-403C-8E27-3B69702AEFEE}"/>
    <cellStyle name="Normal 4 2 2 4 3 3 2 3" xfId="19602" xr:uid="{CF00F622-D647-477F-9F46-3657A3E34D46}"/>
    <cellStyle name="Normal 4 2 2 4 3 3 2 4" xfId="11981" xr:uid="{B874CAC5-876A-4D31-AEDD-437519C5487A}"/>
    <cellStyle name="Normal 4 2 2 4 3 3 3" xfId="5554" xr:uid="{00000000-0005-0000-0000-0000C3120000}"/>
    <cellStyle name="Normal 4 2 2 4 3 3 3 2" xfId="21670" xr:uid="{CEF5478E-EB5D-45F3-ADED-7862017FCE78}"/>
    <cellStyle name="Normal 4 2 2 4 3 3 3 3" xfId="14049" xr:uid="{30F1EB37-01F1-45C6-BC66-3946F8C9D6D6}"/>
    <cellStyle name="Normal 4 2 2 4 3 3 4" xfId="17457" xr:uid="{FC90BF78-5187-442B-9667-CEA8D76C0C6D}"/>
    <cellStyle name="Normal 4 2 2 4 3 3 5" xfId="9836" xr:uid="{984A89EA-467A-4633-B287-0A337C4AA206}"/>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24228" xr:uid="{80FE698D-42AE-48C4-AB32-3D4FC6F5CF19}"/>
    <cellStyle name="Normal 4 2 2 4 3 4 2 2 3" xfId="16607" xr:uid="{9AD1F52E-1B8D-4D66-BBB4-DDAD8CBDE043}"/>
    <cellStyle name="Normal 4 2 2 4 3 4 2 3" xfId="20015" xr:uid="{BB41C374-05EF-4C0C-A136-5E1FB37C1D3F}"/>
    <cellStyle name="Normal 4 2 2 4 3 4 2 4" xfId="12394" xr:uid="{961DC060-6D69-448B-9043-836E1E14CB5B}"/>
    <cellStyle name="Normal 4 2 2 4 3 4 3" xfId="5967" xr:uid="{00000000-0005-0000-0000-0000C7120000}"/>
    <cellStyle name="Normal 4 2 2 4 3 4 3 2" xfId="22083" xr:uid="{F6000F52-0C1F-409D-80A3-E5CA40F1143E}"/>
    <cellStyle name="Normal 4 2 2 4 3 4 3 3" xfId="14462" xr:uid="{7754844E-09FA-4E20-8C51-B8ECD8B246EF}"/>
    <cellStyle name="Normal 4 2 2 4 3 4 4" xfId="17870" xr:uid="{3500DD91-44D6-4C9B-AAFA-77E44BE1A6DA}"/>
    <cellStyle name="Normal 4 2 2 4 3 4 5" xfId="10249" xr:uid="{4EE1F8A0-8FA6-4090-B32A-30E23BBF19B7}"/>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24641" xr:uid="{2C385EA8-A825-4B84-82F1-A0CA390AD44E}"/>
    <cellStyle name="Normal 4 2 2 4 3 5 2 2 3" xfId="17020" xr:uid="{FCB0FCE1-25D7-41BF-9D2C-943DF0C77085}"/>
    <cellStyle name="Normal 4 2 2 4 3 5 2 3" xfId="20428" xr:uid="{33EC7AF4-0A5E-4564-80B0-BB359311EC5B}"/>
    <cellStyle name="Normal 4 2 2 4 3 5 2 4" xfId="12807" xr:uid="{9F862DEE-B19B-428E-9D28-3535FD1FE83B}"/>
    <cellStyle name="Normal 4 2 2 4 3 5 3" xfId="6380" xr:uid="{00000000-0005-0000-0000-0000CB120000}"/>
    <cellStyle name="Normal 4 2 2 4 3 5 3 2" xfId="22496" xr:uid="{7C6543C0-413A-45D3-B099-640E6C230E7E}"/>
    <cellStyle name="Normal 4 2 2 4 3 5 3 3" xfId="14875" xr:uid="{B3F871E4-69DF-4B0E-BC3B-39F2ED805202}"/>
    <cellStyle name="Normal 4 2 2 4 3 5 4" xfId="18283" xr:uid="{D9B9A5BA-B4FF-4A4B-854B-8DE315E90E1D}"/>
    <cellStyle name="Normal 4 2 2 4 3 5 5" xfId="10662" xr:uid="{CE642DE7-E23E-4DFC-9301-2A778F27A01A}"/>
    <cellStyle name="Normal 4 2 2 4 3 6" xfId="2510" xr:uid="{00000000-0005-0000-0000-0000CC120000}"/>
    <cellStyle name="Normal 4 2 2 4 3 6 2" xfId="6793" xr:uid="{00000000-0005-0000-0000-0000CD120000}"/>
    <cellStyle name="Normal 4 2 2 4 3 6 2 2" xfId="22909" xr:uid="{D19ACC37-D6C2-4DC7-A560-17DEDB403EA4}"/>
    <cellStyle name="Normal 4 2 2 4 3 6 2 3" xfId="15288" xr:uid="{AA00DD6F-2CCC-4E30-9C4B-5263BD647B18}"/>
    <cellStyle name="Normal 4 2 2 4 3 6 3" xfId="18696" xr:uid="{61881DEC-1F3D-41E0-A0B7-1194AC3323E5}"/>
    <cellStyle name="Normal 4 2 2 4 3 6 4" xfId="11075" xr:uid="{DF8A8AA0-216D-4E8A-8423-DD01CBC662CA}"/>
    <cellStyle name="Normal 4 2 2 4 3 7" xfId="4728" xr:uid="{00000000-0005-0000-0000-0000CE120000}"/>
    <cellStyle name="Normal 4 2 2 4 3 7 2" xfId="20844" xr:uid="{D0992A75-6B49-41FE-A60C-C95DA3E7F042}"/>
    <cellStyle name="Normal 4 2 2 4 3 7 3" xfId="13223" xr:uid="{2309620A-4E8A-44A0-86F7-3CDABD384E0E}"/>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23399" xr:uid="{E1ECF14A-4B25-4705-908B-63DCAC379512}"/>
    <cellStyle name="Normal 4 2 2 4 4 2 2 3" xfId="15778" xr:uid="{119C4DE7-A20A-4C6B-94DF-1F4D97503258}"/>
    <cellStyle name="Normal 4 2 2 4 4 2 3" xfId="19186" xr:uid="{F3D3C892-B9FB-466E-864E-8FA0A912C85D}"/>
    <cellStyle name="Normal 4 2 2 4 4 2 4" xfId="11565" xr:uid="{F128A173-4979-4EF3-980E-8B28DC4EF806}"/>
    <cellStyle name="Normal 4 2 2 4 4 3" xfId="5138" xr:uid="{00000000-0005-0000-0000-0000D2120000}"/>
    <cellStyle name="Normal 4 2 2 4 4 3 2" xfId="21254" xr:uid="{89D20450-3A90-4B99-B7EC-9C16F753CF24}"/>
    <cellStyle name="Normal 4 2 2 4 4 3 3" xfId="13633" xr:uid="{26B679AE-816F-4E26-B04A-CD349229D71C}"/>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23812" xr:uid="{7420734D-17C2-462D-88DE-9CAB96AEC6B5}"/>
    <cellStyle name="Normal 4 2 2 4 5 2 2 3" xfId="16191" xr:uid="{3BFD7B1F-8995-4A30-86FC-D7AA293F452B}"/>
    <cellStyle name="Normal 4 2 2 4 5 2 3" xfId="19599" xr:uid="{90DA4EDE-56B7-4C8F-B590-20111CC3E619}"/>
    <cellStyle name="Normal 4 2 2 4 5 2 4" xfId="11978" xr:uid="{BF144B96-B965-41A8-BDBA-4CD7A5BE4ADB}"/>
    <cellStyle name="Normal 4 2 2 4 5 3" xfId="5551" xr:uid="{00000000-0005-0000-0000-0000D6120000}"/>
    <cellStyle name="Normal 4 2 2 4 5 3 2" xfId="21667" xr:uid="{860D1266-4754-443A-9CE6-53F62C484B7A}"/>
    <cellStyle name="Normal 4 2 2 4 5 3 3" xfId="14046" xr:uid="{A93E1894-7EB1-422D-8EF8-7105F9DF93D4}"/>
    <cellStyle name="Normal 4 2 2 4 5 4" xfId="17454" xr:uid="{FBEA41BD-947E-447B-9A8E-E93A99F75C21}"/>
    <cellStyle name="Normal 4 2 2 4 5 5" xfId="9833" xr:uid="{50907DAB-2410-40F4-80A0-52DACEF621BA}"/>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24225" xr:uid="{77ABC293-3CC0-4D31-AF49-CA1AF4CC8519}"/>
    <cellStyle name="Normal 4 2 2 4 6 2 2 3" xfId="16604" xr:uid="{362C7364-39F6-447B-BD79-EED39E4D48AB}"/>
    <cellStyle name="Normal 4 2 2 4 6 2 3" xfId="20012" xr:uid="{C5BCB866-827A-46E7-A06C-1ED7CD949C82}"/>
    <cellStyle name="Normal 4 2 2 4 6 2 4" xfId="12391" xr:uid="{7E7BAEDB-3601-4A9F-8388-9B6BD31A29A6}"/>
    <cellStyle name="Normal 4 2 2 4 6 3" xfId="5964" xr:uid="{00000000-0005-0000-0000-0000DA120000}"/>
    <cellStyle name="Normal 4 2 2 4 6 3 2" xfId="22080" xr:uid="{5516BA3C-80B5-44AB-AF60-957827156457}"/>
    <cellStyle name="Normal 4 2 2 4 6 3 3" xfId="14459" xr:uid="{21353145-55B4-49D4-8173-BA3DEF7C2D68}"/>
    <cellStyle name="Normal 4 2 2 4 6 4" xfId="17867" xr:uid="{12BC7E00-B93B-4E20-93DC-6EC34CCB0E09}"/>
    <cellStyle name="Normal 4 2 2 4 6 5" xfId="10246" xr:uid="{B6880DEB-EC7D-4712-9C6E-BA129F0E53AB}"/>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24638" xr:uid="{6AAAAF67-7C13-4BD4-AB73-B2A7EF20F3F4}"/>
    <cellStyle name="Normal 4 2 2 4 7 2 2 3" xfId="17017" xr:uid="{F2605D96-6078-4BA9-9273-B285028A31E8}"/>
    <cellStyle name="Normal 4 2 2 4 7 2 3" xfId="20425" xr:uid="{201927A6-B538-4234-8146-3D8F2F3C14CE}"/>
    <cellStyle name="Normal 4 2 2 4 7 2 4" xfId="12804" xr:uid="{9A75C7FA-509C-4607-AA69-89BA30C11328}"/>
    <cellStyle name="Normal 4 2 2 4 7 3" xfId="6377" xr:uid="{00000000-0005-0000-0000-0000DE120000}"/>
    <cellStyle name="Normal 4 2 2 4 7 3 2" xfId="22493" xr:uid="{80480566-6605-426A-AA7D-97D8571E6C72}"/>
    <cellStyle name="Normal 4 2 2 4 7 3 3" xfId="14872" xr:uid="{D6BF3D1E-B068-4997-8EBC-931B3DBC6729}"/>
    <cellStyle name="Normal 4 2 2 4 7 4" xfId="18280" xr:uid="{AA6ED6A8-EEA7-4D34-9A6E-11605D286C79}"/>
    <cellStyle name="Normal 4 2 2 4 7 5" xfId="10659" xr:uid="{A9B05FC6-D3D5-406C-9039-ECA6FE399621}"/>
    <cellStyle name="Normal 4 2 2 4 8" xfId="2507" xr:uid="{00000000-0005-0000-0000-0000DF120000}"/>
    <cellStyle name="Normal 4 2 2 4 8 2" xfId="6790" xr:uid="{00000000-0005-0000-0000-0000E0120000}"/>
    <cellStyle name="Normal 4 2 2 4 8 2 2" xfId="22906" xr:uid="{5C8B14BF-999A-46D6-A1C5-94826F0D5DCE}"/>
    <cellStyle name="Normal 4 2 2 4 8 2 3" xfId="15285" xr:uid="{6E81BFCB-8D87-4B28-9CF3-325BA402E42E}"/>
    <cellStyle name="Normal 4 2 2 4 8 3" xfId="18693" xr:uid="{30DE5965-C13C-4B96-BA3B-9747C5914E63}"/>
    <cellStyle name="Normal 4 2 2 4 8 4" xfId="11072" xr:uid="{1D952430-2160-4F57-B6D5-E55C51641FEC}"/>
    <cellStyle name="Normal 4 2 2 4 9" xfId="4725" xr:uid="{00000000-0005-0000-0000-0000E1120000}"/>
    <cellStyle name="Normal 4 2 2 4 9 2" xfId="20841" xr:uid="{101BD3EC-993A-41DA-8936-A7580762C023}"/>
    <cellStyle name="Normal 4 2 2 4 9 3" xfId="13220" xr:uid="{4626C2BD-B6C5-4B31-B51A-6841DA95880C}"/>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23404" xr:uid="{C63EA17D-65E5-46ED-96E2-BF92157161A3}"/>
    <cellStyle name="Normal 4 2 2 5 2 2 2 2 3" xfId="15783" xr:uid="{32EF7041-C3E6-4360-8000-9E70674BD6F9}"/>
    <cellStyle name="Normal 4 2 2 5 2 2 2 3" xfId="19191" xr:uid="{BF395A53-4751-4AF7-9A85-2F0E6845CB65}"/>
    <cellStyle name="Normal 4 2 2 5 2 2 2 4" xfId="11570" xr:uid="{03725705-655A-4DEF-8B4E-2B2440E0FC53}"/>
    <cellStyle name="Normal 4 2 2 5 2 2 3" xfId="5143" xr:uid="{00000000-0005-0000-0000-0000E7120000}"/>
    <cellStyle name="Normal 4 2 2 5 2 2 3 2" xfId="21259" xr:uid="{F3175E32-B5F2-4D93-9CF5-BF0AC063D7D3}"/>
    <cellStyle name="Normal 4 2 2 5 2 2 3 3" xfId="13638" xr:uid="{9655322B-187B-4AB6-8088-1B4A9A38428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23817" xr:uid="{501674DE-0463-44DF-A2CD-F5998AA4598D}"/>
    <cellStyle name="Normal 4 2 2 5 2 3 2 2 3" xfId="16196" xr:uid="{3EA62534-E3E0-4E6E-8407-E3209F493ADB}"/>
    <cellStyle name="Normal 4 2 2 5 2 3 2 3" xfId="19604" xr:uid="{CF219A95-7BD0-4E61-9DF3-ED7054E77A14}"/>
    <cellStyle name="Normal 4 2 2 5 2 3 2 4" xfId="11983" xr:uid="{0B0462A6-293F-449E-B167-470A69B01C8F}"/>
    <cellStyle name="Normal 4 2 2 5 2 3 3" xfId="5556" xr:uid="{00000000-0005-0000-0000-0000EB120000}"/>
    <cellStyle name="Normal 4 2 2 5 2 3 3 2" xfId="21672" xr:uid="{E60A0216-0C77-4CD9-B4FC-3FEC49A48E4E}"/>
    <cellStyle name="Normal 4 2 2 5 2 3 3 3" xfId="14051" xr:uid="{50342885-D890-4CD8-ABF6-E21AAA4B6205}"/>
    <cellStyle name="Normal 4 2 2 5 2 3 4" xfId="17459" xr:uid="{F3717DA6-5B33-4871-86EB-DD6BBAA16179}"/>
    <cellStyle name="Normal 4 2 2 5 2 3 5" xfId="9838" xr:uid="{96D38561-01B5-45A4-A815-590B9743C9B1}"/>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24230" xr:uid="{3D28575B-4551-42D1-BDE6-01D29BDFD7FF}"/>
    <cellStyle name="Normal 4 2 2 5 2 4 2 2 3" xfId="16609" xr:uid="{EAAC08CD-1632-4AAB-950E-5B0B910AADC0}"/>
    <cellStyle name="Normal 4 2 2 5 2 4 2 3" xfId="20017" xr:uid="{30A11F06-CCFD-4602-88BF-E3304AE5773E}"/>
    <cellStyle name="Normal 4 2 2 5 2 4 2 4" xfId="12396" xr:uid="{9FD13E3E-8B71-4B51-BD80-51138832A773}"/>
    <cellStyle name="Normal 4 2 2 5 2 4 3" xfId="5969" xr:uid="{00000000-0005-0000-0000-0000EF120000}"/>
    <cellStyle name="Normal 4 2 2 5 2 4 3 2" xfId="22085" xr:uid="{00B3D994-F9D2-4FC0-A312-B81F71EEAE12}"/>
    <cellStyle name="Normal 4 2 2 5 2 4 3 3" xfId="14464" xr:uid="{209458B2-EEF9-4265-B3A5-04D2151F49BC}"/>
    <cellStyle name="Normal 4 2 2 5 2 4 4" xfId="17872" xr:uid="{4A1BCC74-6FCE-4EAA-8AFA-6E61D9AED89A}"/>
    <cellStyle name="Normal 4 2 2 5 2 4 5" xfId="10251" xr:uid="{5C3544F6-AF9C-436B-97BE-06A269B539D1}"/>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24643" xr:uid="{1FD8BF74-DD7D-4EBC-AC7C-F37E558A4431}"/>
    <cellStyle name="Normal 4 2 2 5 2 5 2 2 3" xfId="17022" xr:uid="{42DD7736-D550-4943-995F-AB3DC097140A}"/>
    <cellStyle name="Normal 4 2 2 5 2 5 2 3" xfId="20430" xr:uid="{BE20ACF3-143C-4DD9-A062-D2D2BA23E999}"/>
    <cellStyle name="Normal 4 2 2 5 2 5 2 4" xfId="12809" xr:uid="{68BF53D0-D604-4514-977F-12FFD1FBFA79}"/>
    <cellStyle name="Normal 4 2 2 5 2 5 3" xfId="6382" xr:uid="{00000000-0005-0000-0000-0000F3120000}"/>
    <cellStyle name="Normal 4 2 2 5 2 5 3 2" xfId="22498" xr:uid="{41CC9D85-91C7-49D3-AB89-E7607C646036}"/>
    <cellStyle name="Normal 4 2 2 5 2 5 3 3" xfId="14877" xr:uid="{32C020E7-3D3F-421F-BBBE-8A368B118986}"/>
    <cellStyle name="Normal 4 2 2 5 2 5 4" xfId="18285" xr:uid="{E50A237A-AD24-47DF-938E-E9585100F715}"/>
    <cellStyle name="Normal 4 2 2 5 2 5 5" xfId="10664" xr:uid="{276AC8FA-653E-43BB-B331-22B43D254CD2}"/>
    <cellStyle name="Normal 4 2 2 5 2 6" xfId="2512" xr:uid="{00000000-0005-0000-0000-0000F4120000}"/>
    <cellStyle name="Normal 4 2 2 5 2 6 2" xfId="6795" xr:uid="{00000000-0005-0000-0000-0000F5120000}"/>
    <cellStyle name="Normal 4 2 2 5 2 6 2 2" xfId="22911" xr:uid="{F6F550EB-A79A-458D-B2E0-EDFDCA161373}"/>
    <cellStyle name="Normal 4 2 2 5 2 6 2 3" xfId="15290" xr:uid="{F8534265-D79E-415C-81FD-14D44349150A}"/>
    <cellStyle name="Normal 4 2 2 5 2 6 3" xfId="18698" xr:uid="{C63EDA5E-FCAD-4A24-BD37-E9E742904A04}"/>
    <cellStyle name="Normal 4 2 2 5 2 6 4" xfId="11077" xr:uid="{820AA63C-DA54-4EA6-8311-199A389CE0D1}"/>
    <cellStyle name="Normal 4 2 2 5 2 7" xfId="4730" xr:uid="{00000000-0005-0000-0000-0000F6120000}"/>
    <cellStyle name="Normal 4 2 2 5 2 7 2" xfId="20846" xr:uid="{C387E5B9-AF52-4633-BDFA-014EA25FD4DB}"/>
    <cellStyle name="Normal 4 2 2 5 2 7 3" xfId="13225" xr:uid="{D59C07C2-5A18-451A-A20E-96652FCE5AE1}"/>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23403" xr:uid="{FD56FA68-8292-48F9-AD24-F6D24D2E5D12}"/>
    <cellStyle name="Normal 4 2 2 5 3 2 2 3" xfId="15782" xr:uid="{12395F5D-2196-415A-9098-64B0DF46865E}"/>
    <cellStyle name="Normal 4 2 2 5 3 2 3" xfId="19190" xr:uid="{85C18EBC-E0DE-4B68-9FD9-915A6B4DED07}"/>
    <cellStyle name="Normal 4 2 2 5 3 2 4" xfId="11569" xr:uid="{289E7409-27E0-49A2-848B-7AFC008681DA}"/>
    <cellStyle name="Normal 4 2 2 5 3 3" xfId="5142" xr:uid="{00000000-0005-0000-0000-0000FA120000}"/>
    <cellStyle name="Normal 4 2 2 5 3 3 2" xfId="21258" xr:uid="{6A3D0368-0F8A-49B1-B404-9FEA81DF3DC3}"/>
    <cellStyle name="Normal 4 2 2 5 3 3 3" xfId="13637" xr:uid="{84B0B373-07B7-4A22-B7C8-CEA0B9AC3895}"/>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23816" xr:uid="{B1F5BE32-5CA2-40FB-BA57-30A085296379}"/>
    <cellStyle name="Normal 4 2 2 5 4 2 2 3" xfId="16195" xr:uid="{045B26AC-452A-4D07-B4F3-744B7310D1BB}"/>
    <cellStyle name="Normal 4 2 2 5 4 2 3" xfId="19603" xr:uid="{C9FDA456-3498-4A85-AE0F-5B36AE9FD278}"/>
    <cellStyle name="Normal 4 2 2 5 4 2 4" xfId="11982" xr:uid="{35CF399E-C4C9-4FF9-8404-F9B71DCB5374}"/>
    <cellStyle name="Normal 4 2 2 5 4 3" xfId="5555" xr:uid="{00000000-0005-0000-0000-0000FE120000}"/>
    <cellStyle name="Normal 4 2 2 5 4 3 2" xfId="21671" xr:uid="{54542A07-286C-453D-BDD6-A013EA175DDE}"/>
    <cellStyle name="Normal 4 2 2 5 4 3 3" xfId="14050" xr:uid="{B6A60AAF-A3D4-46ED-A82B-9E034AE473DE}"/>
    <cellStyle name="Normal 4 2 2 5 4 4" xfId="17458" xr:uid="{509ECABB-8077-4F4F-B7E4-CE84E7FEE9C2}"/>
    <cellStyle name="Normal 4 2 2 5 4 5" xfId="9837" xr:uid="{F1A5E13E-092F-43E6-9E80-508E20054EB4}"/>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24229" xr:uid="{09CA7416-C4E4-4629-A47D-FB8CD50F8299}"/>
    <cellStyle name="Normal 4 2 2 5 5 2 2 3" xfId="16608" xr:uid="{1107A2DA-59D6-4A95-B9B4-7236925AABA1}"/>
    <cellStyle name="Normal 4 2 2 5 5 2 3" xfId="20016" xr:uid="{5CDD8B8A-0EBE-4B07-BFF7-66D79A978310}"/>
    <cellStyle name="Normal 4 2 2 5 5 2 4" xfId="12395" xr:uid="{09123AED-88DA-4B3F-8FC2-C6CDC25B332B}"/>
    <cellStyle name="Normal 4 2 2 5 5 3" xfId="5968" xr:uid="{00000000-0005-0000-0000-000002130000}"/>
    <cellStyle name="Normal 4 2 2 5 5 3 2" xfId="22084" xr:uid="{3F119874-D219-43C0-A492-9AD8981DC521}"/>
    <cellStyle name="Normal 4 2 2 5 5 3 3" xfId="14463" xr:uid="{8A39BDBC-49E1-4434-B56F-16A650C60815}"/>
    <cellStyle name="Normal 4 2 2 5 5 4" xfId="17871" xr:uid="{ED7C3826-E986-4F7F-9EF1-0C52D5464A2E}"/>
    <cellStyle name="Normal 4 2 2 5 5 5" xfId="10250" xr:uid="{EECCBB82-AA02-47AF-89B2-B3FAED62BFAE}"/>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24642" xr:uid="{FF250C27-1B0B-4EEA-94B9-01DEF893FCBE}"/>
    <cellStyle name="Normal 4 2 2 5 6 2 2 3" xfId="17021" xr:uid="{6510C32A-D114-4F40-AE76-0C20F4515CA1}"/>
    <cellStyle name="Normal 4 2 2 5 6 2 3" xfId="20429" xr:uid="{A3FA9A59-F685-4883-BA03-0F04625DE0A5}"/>
    <cellStyle name="Normal 4 2 2 5 6 2 4" xfId="12808" xr:uid="{5434C796-BB00-40EF-871B-E2913F6261D3}"/>
    <cellStyle name="Normal 4 2 2 5 6 3" xfId="6381" xr:uid="{00000000-0005-0000-0000-000006130000}"/>
    <cellStyle name="Normal 4 2 2 5 6 3 2" xfId="22497" xr:uid="{97C5B6FE-3BD5-4E99-BD1D-C5665236612A}"/>
    <cellStyle name="Normal 4 2 2 5 6 3 3" xfId="14876" xr:uid="{674851CC-DA20-42F8-A622-32846AA21DAA}"/>
    <cellStyle name="Normal 4 2 2 5 6 4" xfId="18284" xr:uid="{EF8EC8BA-8A70-4E48-AA38-BCD5C04BACD7}"/>
    <cellStyle name="Normal 4 2 2 5 6 5" xfId="10663" xr:uid="{9753F494-175E-4EF5-85A3-3A9E68CC838F}"/>
    <cellStyle name="Normal 4 2 2 5 7" xfId="2511" xr:uid="{00000000-0005-0000-0000-000007130000}"/>
    <cellStyle name="Normal 4 2 2 5 7 2" xfId="6794" xr:uid="{00000000-0005-0000-0000-000008130000}"/>
    <cellStyle name="Normal 4 2 2 5 7 2 2" xfId="22910" xr:uid="{63D9DABE-E9DE-4D3C-B658-1D944982B8B7}"/>
    <cellStyle name="Normal 4 2 2 5 7 2 3" xfId="15289" xr:uid="{B6714CD4-AE4B-4B38-9CB3-A9FA2DA47BB7}"/>
    <cellStyle name="Normal 4 2 2 5 7 3" xfId="18697" xr:uid="{EC490394-1976-4795-903C-747689C7E4E9}"/>
    <cellStyle name="Normal 4 2 2 5 7 4" xfId="11076" xr:uid="{DF7343A9-118D-4E70-91F0-54472DDB4DDB}"/>
    <cellStyle name="Normal 4 2 2 5 8" xfId="4729" xr:uid="{00000000-0005-0000-0000-000009130000}"/>
    <cellStyle name="Normal 4 2 2 5 8 2" xfId="20845" xr:uid="{9DB49140-286E-4ACC-86BB-CD6B9C9CCD83}"/>
    <cellStyle name="Normal 4 2 2 5 8 3" xfId="13224" xr:uid="{DCEAD22D-151F-44F6-BCD6-9EFB8D23E3DF}"/>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23405" xr:uid="{E3FAE0FE-AF6E-4C54-B35D-A5E7AB9FAFE1}"/>
    <cellStyle name="Normal 4 2 2 6 2 2 2 3" xfId="15784" xr:uid="{349C64C6-427B-43BD-A975-48412E10B081}"/>
    <cellStyle name="Normal 4 2 2 6 2 2 3" xfId="19192" xr:uid="{0B0DF71A-7885-417A-A808-CF57974029B6}"/>
    <cellStyle name="Normal 4 2 2 6 2 2 4" xfId="11571" xr:uid="{C528BC34-BA84-44CA-8519-A9E361E549DB}"/>
    <cellStyle name="Normal 4 2 2 6 2 3" xfId="5144" xr:uid="{00000000-0005-0000-0000-00000E130000}"/>
    <cellStyle name="Normal 4 2 2 6 2 3 2" xfId="21260" xr:uid="{0C3E6F7F-C766-4AFA-AE15-D7A3BAA2728B}"/>
    <cellStyle name="Normal 4 2 2 6 2 3 3" xfId="13639" xr:uid="{EA6A0435-1C1D-4ED0-B300-BB83D86538EA}"/>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23818" xr:uid="{BF738A98-B7FC-4ABC-9A58-34B643784297}"/>
    <cellStyle name="Normal 4 2 2 6 3 2 2 3" xfId="16197" xr:uid="{470E5A9C-240B-4CB5-9144-37EF27AA31CC}"/>
    <cellStyle name="Normal 4 2 2 6 3 2 3" xfId="19605" xr:uid="{52B8E0E7-032B-4F89-A1A4-4E32D3757875}"/>
    <cellStyle name="Normal 4 2 2 6 3 2 4" xfId="11984" xr:uid="{1B1AEA40-A4DA-4A9B-9975-F0503B9965B0}"/>
    <cellStyle name="Normal 4 2 2 6 3 3" xfId="5557" xr:uid="{00000000-0005-0000-0000-000012130000}"/>
    <cellStyle name="Normal 4 2 2 6 3 3 2" xfId="21673" xr:uid="{6751F0CF-CBC8-469B-B7F0-E12237FBEFC3}"/>
    <cellStyle name="Normal 4 2 2 6 3 3 3" xfId="14052" xr:uid="{164A0160-7DAD-4230-BA5A-C9F9BCE8BFF4}"/>
    <cellStyle name="Normal 4 2 2 6 3 4" xfId="17460" xr:uid="{42740938-D6E6-416E-9462-DC58D7B5E1C3}"/>
    <cellStyle name="Normal 4 2 2 6 3 5" xfId="9839" xr:uid="{99EAD142-CD6E-4E22-9278-9BD3D3D665BE}"/>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24231" xr:uid="{92B951DD-346B-420C-9D57-F4F699960566}"/>
    <cellStyle name="Normal 4 2 2 6 4 2 2 3" xfId="16610" xr:uid="{C75800B1-FC6E-4ECD-BF28-38F9806A42F6}"/>
    <cellStyle name="Normal 4 2 2 6 4 2 3" xfId="20018" xr:uid="{A8F5BDB9-F6D2-40C8-8CFE-BB8C88B3E06B}"/>
    <cellStyle name="Normal 4 2 2 6 4 2 4" xfId="12397" xr:uid="{6B67C130-91E4-463F-9253-EF436A96B286}"/>
    <cellStyle name="Normal 4 2 2 6 4 3" xfId="5970" xr:uid="{00000000-0005-0000-0000-000016130000}"/>
    <cellStyle name="Normal 4 2 2 6 4 3 2" xfId="22086" xr:uid="{C9221F43-F39E-406B-B77F-298EE86EB15E}"/>
    <cellStyle name="Normal 4 2 2 6 4 3 3" xfId="14465" xr:uid="{D9897547-32BF-4D59-8960-CE594C976B47}"/>
    <cellStyle name="Normal 4 2 2 6 4 4" xfId="17873" xr:uid="{427F30D2-D5B8-4E6D-AFDA-E8FB506898A8}"/>
    <cellStyle name="Normal 4 2 2 6 4 5" xfId="10252" xr:uid="{72D3629E-818E-4DD1-AE01-EB73B8763F7D}"/>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24644" xr:uid="{93638D2B-5241-4523-9A53-B4278DD72B46}"/>
    <cellStyle name="Normal 4 2 2 6 5 2 2 3" xfId="17023" xr:uid="{4507344D-ECC3-4087-BF75-02D246B43DF7}"/>
    <cellStyle name="Normal 4 2 2 6 5 2 3" xfId="20431" xr:uid="{000D121A-F2CB-4488-8C83-0696BF3DFC69}"/>
    <cellStyle name="Normal 4 2 2 6 5 2 4" xfId="12810" xr:uid="{41CFD3B6-A30D-43AE-968E-BE9DD5055A7A}"/>
    <cellStyle name="Normal 4 2 2 6 5 3" xfId="6383" xr:uid="{00000000-0005-0000-0000-00001A130000}"/>
    <cellStyle name="Normal 4 2 2 6 5 3 2" xfId="22499" xr:uid="{5A1E1E31-7513-4E61-91C3-D789500EB052}"/>
    <cellStyle name="Normal 4 2 2 6 5 3 3" xfId="14878" xr:uid="{3EA83F2C-8460-43FC-A46D-3E4FC82D9E54}"/>
    <cellStyle name="Normal 4 2 2 6 5 4" xfId="18286" xr:uid="{0B5B6E59-4061-4162-9D3A-22E58308E291}"/>
    <cellStyle name="Normal 4 2 2 6 5 5" xfId="10665" xr:uid="{389DAE29-998C-46A6-9558-D3B9CFE332A4}"/>
    <cellStyle name="Normal 4 2 2 6 6" xfId="2513" xr:uid="{00000000-0005-0000-0000-00001B130000}"/>
    <cellStyle name="Normal 4 2 2 6 6 2" xfId="6796" xr:uid="{00000000-0005-0000-0000-00001C130000}"/>
    <cellStyle name="Normal 4 2 2 6 6 2 2" xfId="22912" xr:uid="{E619D0F5-591B-4982-9488-B43FAA27D00A}"/>
    <cellStyle name="Normal 4 2 2 6 6 2 3" xfId="15291" xr:uid="{570DD757-A097-467F-A7E2-F8F84866DEE0}"/>
    <cellStyle name="Normal 4 2 2 6 6 3" xfId="18699" xr:uid="{A15D202D-F745-464D-A780-BBC5ADE69865}"/>
    <cellStyle name="Normal 4 2 2 6 6 4" xfId="11078" xr:uid="{38650A90-C6F6-43EC-BAD4-C3D4C08C4A3D}"/>
    <cellStyle name="Normal 4 2 2 6 7" xfId="4731" xr:uid="{00000000-0005-0000-0000-00001D130000}"/>
    <cellStyle name="Normal 4 2 2 6 7 2" xfId="20847" xr:uid="{68BAE1F8-6176-450F-B58C-784442EA8364}"/>
    <cellStyle name="Normal 4 2 2 6 7 3" xfId="13226" xr:uid="{6F40ACC2-32A7-4C25-AC01-FD79CFFB8E1D}"/>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2 2 2" xfId="23390" xr:uid="{4832898F-4BFB-4595-A588-D483087D8AD7}"/>
    <cellStyle name="Normal 4 2 2 7 2 2 3" xfId="15769" xr:uid="{53978719-CDBA-4E5D-A3D9-87DF8C0DCECD}"/>
    <cellStyle name="Normal 4 2 2 7 2 3" xfId="19177" xr:uid="{3D9B5555-2AAF-4E51-AD95-C2374AE9DF51}"/>
    <cellStyle name="Normal 4 2 2 7 2 4" xfId="11556" xr:uid="{05D1195A-AF87-4035-A704-8192CE580A8D}"/>
    <cellStyle name="Normal 4 2 2 7 3" xfId="5129" xr:uid="{00000000-0005-0000-0000-000021130000}"/>
    <cellStyle name="Normal 4 2 2 7 3 2" xfId="21245" xr:uid="{BD09E0BF-FDD2-4EBB-ADEF-F48439124CA1}"/>
    <cellStyle name="Normal 4 2 2 7 3 3" xfId="13624" xr:uid="{38F817B9-5236-482D-8F3A-CD792B756A9B}"/>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2 2 2" xfId="23803" xr:uid="{88B50397-33D7-46C8-9F89-4FBD37487096}"/>
    <cellStyle name="Normal 4 2 2 8 2 2 3" xfId="16182" xr:uid="{DC3711B5-547F-4370-B9CE-D1178BDF938E}"/>
    <cellStyle name="Normal 4 2 2 8 2 3" xfId="19590" xr:uid="{F77E7B4E-25CD-41F1-BA83-04637E858DAC}"/>
    <cellStyle name="Normal 4 2 2 8 2 4" xfId="11969" xr:uid="{9A411178-B3F1-4916-9140-36FAE21B3A17}"/>
    <cellStyle name="Normal 4 2 2 8 3" xfId="5542" xr:uid="{00000000-0005-0000-0000-000025130000}"/>
    <cellStyle name="Normal 4 2 2 8 3 2" xfId="21658" xr:uid="{AFB6DCC7-F33B-4257-917C-1738076B8F66}"/>
    <cellStyle name="Normal 4 2 2 8 3 3" xfId="14037" xr:uid="{0870E4FF-ED25-4E48-BD69-9D3471FA397A}"/>
    <cellStyle name="Normal 4 2 2 8 4" xfId="17445" xr:uid="{E6E78ADE-79F3-4B7A-AB80-452D7895F942}"/>
    <cellStyle name="Normal 4 2 2 8 5" xfId="9824" xr:uid="{B199348E-A870-4464-9D6A-7B517E9C03BE}"/>
    <cellStyle name="Normal 4 2 2 9" xfId="1648" xr:uid="{00000000-0005-0000-0000-000026130000}"/>
    <cellStyle name="Normal 4 2 2 9 2" xfId="3878" xr:uid="{00000000-0005-0000-0000-000027130000}"/>
    <cellStyle name="Normal 4 2 2 9 2 2" xfId="8100" xr:uid="{00000000-0005-0000-0000-000028130000}"/>
    <cellStyle name="Normal 4 2 2 9 2 2 2" xfId="24216" xr:uid="{47043B0F-A6B9-47E3-AEC7-640E600EEE46}"/>
    <cellStyle name="Normal 4 2 2 9 2 2 3" xfId="16595" xr:uid="{10C7986B-BB6D-4E2D-A78D-46CF93B802CB}"/>
    <cellStyle name="Normal 4 2 2 9 2 3" xfId="20003" xr:uid="{A484E05F-1B81-4CA8-B985-FC642113907C}"/>
    <cellStyle name="Normal 4 2 2 9 2 4" xfId="12382" xr:uid="{29C10973-3A80-4B62-93F5-99B38EDF60F7}"/>
    <cellStyle name="Normal 4 2 2 9 3" xfId="5955" xr:uid="{00000000-0005-0000-0000-000029130000}"/>
    <cellStyle name="Normal 4 2 2 9 3 2" xfId="22071" xr:uid="{111592D1-3C60-4435-9FAE-F5FE34E62580}"/>
    <cellStyle name="Normal 4 2 2 9 3 3" xfId="14450" xr:uid="{6852387A-F2B6-4D0E-B4F9-A25CE5665145}"/>
    <cellStyle name="Normal 4 2 2 9 4" xfId="17858" xr:uid="{14116060-2FF8-4FA1-B362-85EB8616C1D8}"/>
    <cellStyle name="Normal 4 2 2 9 5" xfId="10237" xr:uid="{443E5FAC-35E1-4CD0-950D-C34AEDAAF6FC}"/>
    <cellStyle name="Normal 4 2 3" xfId="354" xr:uid="{00000000-0005-0000-0000-00002A130000}"/>
    <cellStyle name="Normal 4 2 4" xfId="355" xr:uid="{00000000-0005-0000-0000-00002B130000}"/>
    <cellStyle name="Normal 4 2 4 10" xfId="4732" xr:uid="{00000000-0005-0000-0000-00002C130000}"/>
    <cellStyle name="Normal 4 2 4 10 2" xfId="20848" xr:uid="{DF1850D4-230B-487D-A268-B28CB61C2C0B}"/>
    <cellStyle name="Normal 4 2 4 10 3" xfId="13227" xr:uid="{FA2A76F9-02A0-4036-AEC5-215759383102}"/>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23409" xr:uid="{3B7A4DA2-B2A9-482F-98C6-9A0C86D3A45A}"/>
    <cellStyle name="Normal 4 2 4 2 2 2 2 2 2 3" xfId="15788" xr:uid="{B4A3BE30-4C61-4A0A-AF24-CA8008F6DBBB}"/>
    <cellStyle name="Normal 4 2 4 2 2 2 2 2 3" xfId="19196" xr:uid="{BE71AF02-8A21-4A5E-A297-030D7917D250}"/>
    <cellStyle name="Normal 4 2 4 2 2 2 2 2 4" xfId="11575" xr:uid="{036FD061-1D5F-4D58-A5C8-0BBD7CBDE0F3}"/>
    <cellStyle name="Normal 4 2 4 2 2 2 2 3" xfId="5148" xr:uid="{00000000-0005-0000-0000-000033130000}"/>
    <cellStyle name="Normal 4 2 4 2 2 2 2 3 2" xfId="21264" xr:uid="{5DD0DDB1-19B4-4D37-92FE-01C1F2E42D30}"/>
    <cellStyle name="Normal 4 2 4 2 2 2 2 3 3" xfId="13643" xr:uid="{3C4B60A1-9664-457B-B3F2-0D264FBF4E79}"/>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23822" xr:uid="{113765C4-6C6D-480B-A21D-8932EDBC65DF}"/>
    <cellStyle name="Normal 4 2 4 2 2 2 3 2 2 3" xfId="16201" xr:uid="{0CF64D4C-47E7-47B5-93AC-71EC8AA732EA}"/>
    <cellStyle name="Normal 4 2 4 2 2 2 3 2 3" xfId="19609" xr:uid="{291EDE70-36C6-4967-AB18-147AF57545B9}"/>
    <cellStyle name="Normal 4 2 4 2 2 2 3 2 4" xfId="11988" xr:uid="{34F01CCB-B7CD-4106-B6A3-86AA883D4E62}"/>
    <cellStyle name="Normal 4 2 4 2 2 2 3 3" xfId="5561" xr:uid="{00000000-0005-0000-0000-000037130000}"/>
    <cellStyle name="Normal 4 2 4 2 2 2 3 3 2" xfId="21677" xr:uid="{D9A14BCC-1958-41D9-948A-19A07DA9BFEA}"/>
    <cellStyle name="Normal 4 2 4 2 2 2 3 3 3" xfId="14056" xr:uid="{C030266D-CD39-482B-B741-9A05D4C916AC}"/>
    <cellStyle name="Normal 4 2 4 2 2 2 3 4" xfId="17464" xr:uid="{6675382D-0507-45A1-A728-40F4BC3F7CE8}"/>
    <cellStyle name="Normal 4 2 4 2 2 2 3 5" xfId="9843" xr:uid="{401CA0DB-6C56-4962-B60D-506E5CED3A9F}"/>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24235" xr:uid="{3480413C-E1F7-4068-A4F7-67199D6E3FEC}"/>
    <cellStyle name="Normal 4 2 4 2 2 2 4 2 2 3" xfId="16614" xr:uid="{B5FBA48D-D451-474B-BFD0-6D22535D7037}"/>
    <cellStyle name="Normal 4 2 4 2 2 2 4 2 3" xfId="20022" xr:uid="{D38270B0-BBAB-4C5C-948C-1C3DB4E37AD3}"/>
    <cellStyle name="Normal 4 2 4 2 2 2 4 2 4" xfId="12401" xr:uid="{62E0EDB6-F27D-4A1B-91F7-0691E3885C46}"/>
    <cellStyle name="Normal 4 2 4 2 2 2 4 3" xfId="5974" xr:uid="{00000000-0005-0000-0000-00003B130000}"/>
    <cellStyle name="Normal 4 2 4 2 2 2 4 3 2" xfId="22090" xr:uid="{8FAE65A5-2F1C-4264-9188-32F6C4768E68}"/>
    <cellStyle name="Normal 4 2 4 2 2 2 4 3 3" xfId="14469" xr:uid="{0992B2FE-EBB1-4C0D-A849-A75A4E13EDFC}"/>
    <cellStyle name="Normal 4 2 4 2 2 2 4 4" xfId="17877" xr:uid="{49936788-295E-49EB-8117-220C4B4793F9}"/>
    <cellStyle name="Normal 4 2 4 2 2 2 4 5" xfId="10256" xr:uid="{0389E468-B9E1-4FC9-91A0-93A3AA9599ED}"/>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24648" xr:uid="{61DE7468-EE7D-466D-A4C7-13F25796A839}"/>
    <cellStyle name="Normal 4 2 4 2 2 2 5 2 2 3" xfId="17027" xr:uid="{D4405132-D123-4691-A842-BDAC13AE5727}"/>
    <cellStyle name="Normal 4 2 4 2 2 2 5 2 3" xfId="20435" xr:uid="{2DBCD9B0-43B5-4A60-987A-37BB2E24DF66}"/>
    <cellStyle name="Normal 4 2 4 2 2 2 5 2 4" xfId="12814" xr:uid="{422E89CD-CE2A-4462-AC5D-8F0225A7A418}"/>
    <cellStyle name="Normal 4 2 4 2 2 2 5 3" xfId="6387" xr:uid="{00000000-0005-0000-0000-00003F130000}"/>
    <cellStyle name="Normal 4 2 4 2 2 2 5 3 2" xfId="22503" xr:uid="{60147E2B-7F79-41CF-92B9-49967EB4B4A5}"/>
    <cellStyle name="Normal 4 2 4 2 2 2 5 3 3" xfId="14882" xr:uid="{DF1166BE-496F-4CDF-8D36-6A9D76226588}"/>
    <cellStyle name="Normal 4 2 4 2 2 2 5 4" xfId="18290" xr:uid="{0B7636E6-8424-4529-BB16-8FDE060C840C}"/>
    <cellStyle name="Normal 4 2 4 2 2 2 5 5" xfId="10669" xr:uid="{9A00D7CF-9038-4210-82C8-B383A6865023}"/>
    <cellStyle name="Normal 4 2 4 2 2 2 6" xfId="2517" xr:uid="{00000000-0005-0000-0000-000040130000}"/>
    <cellStyle name="Normal 4 2 4 2 2 2 6 2" xfId="6800" xr:uid="{00000000-0005-0000-0000-000041130000}"/>
    <cellStyle name="Normal 4 2 4 2 2 2 6 2 2" xfId="22916" xr:uid="{D6C70D7D-3C2C-4B87-B0DD-5A8C25F52DEB}"/>
    <cellStyle name="Normal 4 2 4 2 2 2 6 2 3" xfId="15295" xr:uid="{B76FBF0F-8AD0-4AFC-8537-03444A4A3481}"/>
    <cellStyle name="Normal 4 2 4 2 2 2 6 3" xfId="18703" xr:uid="{13BDAD1A-BE4D-43F8-B6E0-6BF0C9B93CD3}"/>
    <cellStyle name="Normal 4 2 4 2 2 2 6 4" xfId="11082" xr:uid="{15DB3BD6-8D8C-4602-9D42-50BC74E5B289}"/>
    <cellStyle name="Normal 4 2 4 2 2 2 7" xfId="4735" xr:uid="{00000000-0005-0000-0000-000042130000}"/>
    <cellStyle name="Normal 4 2 4 2 2 2 7 2" xfId="20851" xr:uid="{48A578AF-00D4-4DD9-B110-B87A328F05A2}"/>
    <cellStyle name="Normal 4 2 4 2 2 2 7 3" xfId="13230" xr:uid="{65BB55A5-9483-447E-A35D-13AE94A4BFBD}"/>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23408" xr:uid="{263461AF-97BE-4C4D-A2C8-90CCF0545296}"/>
    <cellStyle name="Normal 4 2 4 2 2 3 2 2 3" xfId="15787" xr:uid="{4157BFF6-5B5A-430A-9A15-BB2CD6347C4F}"/>
    <cellStyle name="Normal 4 2 4 2 2 3 2 3" xfId="19195" xr:uid="{DA12BB5B-3A5A-4417-B519-53F4BE9C4C8A}"/>
    <cellStyle name="Normal 4 2 4 2 2 3 2 4" xfId="11574" xr:uid="{8C35229D-A0FC-489E-BB9B-6012BB9C0849}"/>
    <cellStyle name="Normal 4 2 4 2 2 3 3" xfId="5147" xr:uid="{00000000-0005-0000-0000-000046130000}"/>
    <cellStyle name="Normal 4 2 4 2 2 3 3 2" xfId="21263" xr:uid="{4DEBB9F6-D108-49A6-BF29-C08928AFC596}"/>
    <cellStyle name="Normal 4 2 4 2 2 3 3 3" xfId="13642" xr:uid="{6C41CE01-CBF8-4F20-935D-8BC259DE80D8}"/>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23821" xr:uid="{29E35013-8024-4CCE-AC76-54B3F0CD408F}"/>
    <cellStyle name="Normal 4 2 4 2 2 4 2 2 3" xfId="16200" xr:uid="{CCC34EF5-9A22-4F06-9B13-2B4EC72CA086}"/>
    <cellStyle name="Normal 4 2 4 2 2 4 2 3" xfId="19608" xr:uid="{03ADEE01-636C-4F47-9B3B-54BACF9A5CAB}"/>
    <cellStyle name="Normal 4 2 4 2 2 4 2 4" xfId="11987" xr:uid="{C1AFFBBC-869E-4535-9B16-0574386D8AD0}"/>
    <cellStyle name="Normal 4 2 4 2 2 4 3" xfId="5560" xr:uid="{00000000-0005-0000-0000-00004A130000}"/>
    <cellStyle name="Normal 4 2 4 2 2 4 3 2" xfId="21676" xr:uid="{45CD5D07-03E7-4230-ACAD-B7A4704CD281}"/>
    <cellStyle name="Normal 4 2 4 2 2 4 3 3" xfId="14055" xr:uid="{F86E1F8A-5736-454A-B711-83D6160834E2}"/>
    <cellStyle name="Normal 4 2 4 2 2 4 4" xfId="17463" xr:uid="{FB9CF872-5E83-449E-8037-C338FB6DF4C2}"/>
    <cellStyle name="Normal 4 2 4 2 2 4 5" xfId="9842" xr:uid="{F3A41897-1DCC-4159-AC0B-1C51BA0141E4}"/>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24234" xr:uid="{D3E1873A-94E6-4362-936C-3AD1A76A2F1A}"/>
    <cellStyle name="Normal 4 2 4 2 2 5 2 2 3" xfId="16613" xr:uid="{0E9795E0-4358-4C5E-B6F3-FA9DB904B789}"/>
    <cellStyle name="Normal 4 2 4 2 2 5 2 3" xfId="20021" xr:uid="{27467DD8-64D9-4CE5-8D66-69190B44899B}"/>
    <cellStyle name="Normal 4 2 4 2 2 5 2 4" xfId="12400" xr:uid="{A5568336-7278-4F68-A6BC-957FE2EC8B64}"/>
    <cellStyle name="Normal 4 2 4 2 2 5 3" xfId="5973" xr:uid="{00000000-0005-0000-0000-00004E130000}"/>
    <cellStyle name="Normal 4 2 4 2 2 5 3 2" xfId="22089" xr:uid="{87EE79C3-11F4-4FAD-81DD-F8D15E20CFF3}"/>
    <cellStyle name="Normal 4 2 4 2 2 5 3 3" xfId="14468" xr:uid="{C7E19280-4D6C-4575-8A25-E34E9B7531EC}"/>
    <cellStyle name="Normal 4 2 4 2 2 5 4" xfId="17876" xr:uid="{CB48CEA6-E4E3-488C-9C04-0B38824AE879}"/>
    <cellStyle name="Normal 4 2 4 2 2 5 5" xfId="10255" xr:uid="{B6352499-810C-4AC8-9075-2D9078FBB125}"/>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24647" xr:uid="{75F6A16D-D29E-41B0-95C0-EC78E938CEB7}"/>
    <cellStyle name="Normal 4 2 4 2 2 6 2 2 3" xfId="17026" xr:uid="{A27FB168-F243-4A37-8859-B93376850744}"/>
    <cellStyle name="Normal 4 2 4 2 2 6 2 3" xfId="20434" xr:uid="{6AFAD96C-8676-4A87-9124-1DAD018FCD36}"/>
    <cellStyle name="Normal 4 2 4 2 2 6 2 4" xfId="12813" xr:uid="{1A3C2F35-12FA-4122-BA11-718D9AD90214}"/>
    <cellStyle name="Normal 4 2 4 2 2 6 3" xfId="6386" xr:uid="{00000000-0005-0000-0000-000052130000}"/>
    <cellStyle name="Normal 4 2 4 2 2 6 3 2" xfId="22502" xr:uid="{44555368-6228-4F25-ADBF-7957957EACC5}"/>
    <cellStyle name="Normal 4 2 4 2 2 6 3 3" xfId="14881" xr:uid="{43933C86-A14B-4056-A901-35850DD983A8}"/>
    <cellStyle name="Normal 4 2 4 2 2 6 4" xfId="18289" xr:uid="{9A52B81A-7542-4CC5-A8E6-55B55BCC1E3C}"/>
    <cellStyle name="Normal 4 2 4 2 2 6 5" xfId="10668" xr:uid="{F4E94FDA-B1A2-4091-86CF-1180B80C5202}"/>
    <cellStyle name="Normal 4 2 4 2 2 7" xfId="2516" xr:uid="{00000000-0005-0000-0000-000053130000}"/>
    <cellStyle name="Normal 4 2 4 2 2 7 2" xfId="6799" xr:uid="{00000000-0005-0000-0000-000054130000}"/>
    <cellStyle name="Normal 4 2 4 2 2 7 2 2" xfId="22915" xr:uid="{E18FBA8F-5597-4265-9FEC-683A1B24B085}"/>
    <cellStyle name="Normal 4 2 4 2 2 7 2 3" xfId="15294" xr:uid="{F662DE49-33E4-4B91-BDC7-85D2DA7729D9}"/>
    <cellStyle name="Normal 4 2 4 2 2 7 3" xfId="18702" xr:uid="{BC4637B7-B1D5-4383-9A70-A15F4FAD6F75}"/>
    <cellStyle name="Normal 4 2 4 2 2 7 4" xfId="11081" xr:uid="{EB19446A-0DA5-4BC1-91C7-B4CD4FC766F1}"/>
    <cellStyle name="Normal 4 2 4 2 2 8" xfId="4734" xr:uid="{00000000-0005-0000-0000-000055130000}"/>
    <cellStyle name="Normal 4 2 4 2 2 8 2" xfId="20850" xr:uid="{7DC58784-2ED2-4DA5-8D54-4AB746692F76}"/>
    <cellStyle name="Normal 4 2 4 2 2 8 3" xfId="13229" xr:uid="{BC942748-A159-41A6-BC9C-2C4E8D321E0A}"/>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23410" xr:uid="{E6FCA6AD-3BB1-4239-883C-1B8AA4708A66}"/>
    <cellStyle name="Normal 4 2 4 2 3 2 2 2 3" xfId="15789" xr:uid="{8C6B2DF1-1DAB-44AA-9686-51E14F043350}"/>
    <cellStyle name="Normal 4 2 4 2 3 2 2 3" xfId="19197" xr:uid="{E97744A1-5375-4705-8619-354FEBD01E37}"/>
    <cellStyle name="Normal 4 2 4 2 3 2 2 4" xfId="11576" xr:uid="{DF1530B6-EF51-4A03-ABDB-C4F675100510}"/>
    <cellStyle name="Normal 4 2 4 2 3 2 3" xfId="5149" xr:uid="{00000000-0005-0000-0000-00005A130000}"/>
    <cellStyle name="Normal 4 2 4 2 3 2 3 2" xfId="21265" xr:uid="{6FF9D5A5-C1D5-47A7-A95C-10978E76BC90}"/>
    <cellStyle name="Normal 4 2 4 2 3 2 3 3" xfId="13644" xr:uid="{58EF1233-EB00-44BD-B98F-C3F8B87519C5}"/>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23823" xr:uid="{B588E46E-830A-4BCE-BC56-99D0971BA06A}"/>
    <cellStyle name="Normal 4 2 4 2 3 3 2 2 3" xfId="16202" xr:uid="{9D062399-5C7F-4023-90FE-312C82C78030}"/>
    <cellStyle name="Normal 4 2 4 2 3 3 2 3" xfId="19610" xr:uid="{F5BF07E8-3831-4B8D-BA43-0061538B23BE}"/>
    <cellStyle name="Normal 4 2 4 2 3 3 2 4" xfId="11989" xr:uid="{684D2B5F-F301-4CB3-BD63-CA2102041DB3}"/>
    <cellStyle name="Normal 4 2 4 2 3 3 3" xfId="5562" xr:uid="{00000000-0005-0000-0000-00005E130000}"/>
    <cellStyle name="Normal 4 2 4 2 3 3 3 2" xfId="21678" xr:uid="{7CD02ADC-9A88-4B51-AC65-01B2AEC967F7}"/>
    <cellStyle name="Normal 4 2 4 2 3 3 3 3" xfId="14057" xr:uid="{F4343EC8-BDE7-4F26-BE3D-3EE81898B121}"/>
    <cellStyle name="Normal 4 2 4 2 3 3 4" xfId="17465" xr:uid="{7676FA3B-C662-40D3-9E46-E4E62403A7AF}"/>
    <cellStyle name="Normal 4 2 4 2 3 3 5" xfId="9844" xr:uid="{CF86D748-99A0-4F73-ACA9-CCE1C4135A2E}"/>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24236" xr:uid="{969BAB4B-12FF-4C08-A1C6-88528FCF45E7}"/>
    <cellStyle name="Normal 4 2 4 2 3 4 2 2 3" xfId="16615" xr:uid="{6495C0B9-E878-4CC1-A61D-B9A124CB53B5}"/>
    <cellStyle name="Normal 4 2 4 2 3 4 2 3" xfId="20023" xr:uid="{C4D711AF-3670-4597-9E93-D8E2B67F5943}"/>
    <cellStyle name="Normal 4 2 4 2 3 4 2 4" xfId="12402" xr:uid="{00C81758-0BB3-4598-9344-9E74FC7CF1C4}"/>
    <cellStyle name="Normal 4 2 4 2 3 4 3" xfId="5975" xr:uid="{00000000-0005-0000-0000-000062130000}"/>
    <cellStyle name="Normal 4 2 4 2 3 4 3 2" xfId="22091" xr:uid="{14961654-B628-4410-BC72-725BD15B8E26}"/>
    <cellStyle name="Normal 4 2 4 2 3 4 3 3" xfId="14470" xr:uid="{D6753ADF-9244-4137-8E65-10ABCF0A4F9E}"/>
    <cellStyle name="Normal 4 2 4 2 3 4 4" xfId="17878" xr:uid="{DFC2D018-1EFC-4119-B253-30E3E1019FDB}"/>
    <cellStyle name="Normal 4 2 4 2 3 4 5" xfId="10257" xr:uid="{80E2299C-4708-468F-9BB2-2EF52E4414F4}"/>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24649" xr:uid="{55917541-A9DE-430C-8AFA-4C67AF1E4D51}"/>
    <cellStyle name="Normal 4 2 4 2 3 5 2 2 3" xfId="17028" xr:uid="{2E43D5AA-18C9-415C-8081-6AFD6E745E41}"/>
    <cellStyle name="Normal 4 2 4 2 3 5 2 3" xfId="20436" xr:uid="{A6933249-F937-4D47-91F0-EC1227A597AC}"/>
    <cellStyle name="Normal 4 2 4 2 3 5 2 4" xfId="12815" xr:uid="{DD08288A-0169-4689-992D-632D8B9947FD}"/>
    <cellStyle name="Normal 4 2 4 2 3 5 3" xfId="6388" xr:uid="{00000000-0005-0000-0000-000066130000}"/>
    <cellStyle name="Normal 4 2 4 2 3 5 3 2" xfId="22504" xr:uid="{EB93D869-114E-4A8F-8965-0E2003C5E514}"/>
    <cellStyle name="Normal 4 2 4 2 3 5 3 3" xfId="14883" xr:uid="{AD516426-6D1C-49AE-B2CC-5C284CF8072E}"/>
    <cellStyle name="Normal 4 2 4 2 3 5 4" xfId="18291" xr:uid="{AEDACD73-5640-46CE-83D7-E0112DA20AFA}"/>
    <cellStyle name="Normal 4 2 4 2 3 5 5" xfId="10670" xr:uid="{E2492DD8-0440-496A-B344-828CBB428403}"/>
    <cellStyle name="Normal 4 2 4 2 3 6" xfId="2518" xr:uid="{00000000-0005-0000-0000-000067130000}"/>
    <cellStyle name="Normal 4 2 4 2 3 6 2" xfId="6801" xr:uid="{00000000-0005-0000-0000-000068130000}"/>
    <cellStyle name="Normal 4 2 4 2 3 6 2 2" xfId="22917" xr:uid="{146B4B97-202C-4208-B9C0-5CD7D6EF1112}"/>
    <cellStyle name="Normal 4 2 4 2 3 6 2 3" xfId="15296" xr:uid="{531C36D0-25C5-4133-889A-127931E0FEC1}"/>
    <cellStyle name="Normal 4 2 4 2 3 6 3" xfId="18704" xr:uid="{E84615FA-0DC8-4940-8E92-3466ECE7AEBD}"/>
    <cellStyle name="Normal 4 2 4 2 3 6 4" xfId="11083" xr:uid="{7B2CF4A5-AD8E-45A1-80F5-55C358A643DA}"/>
    <cellStyle name="Normal 4 2 4 2 3 7" xfId="4736" xr:uid="{00000000-0005-0000-0000-000069130000}"/>
    <cellStyle name="Normal 4 2 4 2 3 7 2" xfId="20852" xr:uid="{ED8C07EC-DF96-4D7E-8D95-B9F4531C32BA}"/>
    <cellStyle name="Normal 4 2 4 2 3 7 3" xfId="13231" xr:uid="{42EB4E45-899A-449A-A9FB-2F62CF501EB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23407" xr:uid="{EFAFB633-B901-4CDD-B736-61A82176408E}"/>
    <cellStyle name="Normal 4 2 4 2 4 2 2 3" xfId="15786" xr:uid="{2ECB9ADB-816E-4E33-878C-D9AD89F9AF7B}"/>
    <cellStyle name="Normal 4 2 4 2 4 2 3" xfId="19194" xr:uid="{BFED3B17-39F6-4731-B203-2459B9FDFB20}"/>
    <cellStyle name="Normal 4 2 4 2 4 2 4" xfId="11573" xr:uid="{D7AE9BB0-8659-4377-9D24-A0636F549ABA}"/>
    <cellStyle name="Normal 4 2 4 2 4 3" xfId="5146" xr:uid="{00000000-0005-0000-0000-00006D130000}"/>
    <cellStyle name="Normal 4 2 4 2 4 3 2" xfId="21262" xr:uid="{25AA793A-AC82-4804-8406-20F7DCAF3AC1}"/>
    <cellStyle name="Normal 4 2 4 2 4 3 3" xfId="13641" xr:uid="{1477BC49-84AF-4505-B6C8-ABBC4F7EF09D}"/>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23820" xr:uid="{2F1038E5-3EB2-4F39-B7C5-39BE6420C13C}"/>
    <cellStyle name="Normal 4 2 4 2 5 2 2 3" xfId="16199" xr:uid="{864BE708-72EB-4A08-98BA-FE878C27E9A5}"/>
    <cellStyle name="Normal 4 2 4 2 5 2 3" xfId="19607" xr:uid="{26CC1B42-EF66-4160-9EDE-4C0A7EEDB055}"/>
    <cellStyle name="Normal 4 2 4 2 5 2 4" xfId="11986" xr:uid="{ED96899F-56B0-45F0-B791-C65FBDED7D00}"/>
    <cellStyle name="Normal 4 2 4 2 5 3" xfId="5559" xr:uid="{00000000-0005-0000-0000-000071130000}"/>
    <cellStyle name="Normal 4 2 4 2 5 3 2" xfId="21675" xr:uid="{D9E2E995-1851-404D-ABBC-658B9B16076E}"/>
    <cellStyle name="Normal 4 2 4 2 5 3 3" xfId="14054" xr:uid="{2E5E59FC-7325-4929-9B4C-8EFDC2FA9F0A}"/>
    <cellStyle name="Normal 4 2 4 2 5 4" xfId="17462" xr:uid="{6BD12AE0-E9D1-44E0-9C49-BB654CFA0C24}"/>
    <cellStyle name="Normal 4 2 4 2 5 5" xfId="9841" xr:uid="{18CE0AC3-4936-4127-B965-8DAB1BF4CF10}"/>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24233" xr:uid="{A39AE081-B424-4901-AC8D-412B026A7133}"/>
    <cellStyle name="Normal 4 2 4 2 6 2 2 3" xfId="16612" xr:uid="{DEB8D01B-86B7-4B94-AF94-2F3FB9B3A5E6}"/>
    <cellStyle name="Normal 4 2 4 2 6 2 3" xfId="20020" xr:uid="{9D58A307-E3E2-4DFD-A076-0502C33700BC}"/>
    <cellStyle name="Normal 4 2 4 2 6 2 4" xfId="12399" xr:uid="{E973F593-78B3-466E-992E-349991D05B56}"/>
    <cellStyle name="Normal 4 2 4 2 6 3" xfId="5972" xr:uid="{00000000-0005-0000-0000-000075130000}"/>
    <cellStyle name="Normal 4 2 4 2 6 3 2" xfId="22088" xr:uid="{E7DC5A4A-BB1F-48B1-8413-6688E146E702}"/>
    <cellStyle name="Normal 4 2 4 2 6 3 3" xfId="14467" xr:uid="{0FC4D7A8-3779-4AE8-B289-FA3720813338}"/>
    <cellStyle name="Normal 4 2 4 2 6 4" xfId="17875" xr:uid="{74F9F4CC-91E3-448C-959C-72E97E40E791}"/>
    <cellStyle name="Normal 4 2 4 2 6 5" xfId="10254" xr:uid="{6B379F58-BAFE-4F54-9300-3976DABAF347}"/>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24646" xr:uid="{B9BECEEC-A4FC-47A3-AE9F-6797C20ADFAC}"/>
    <cellStyle name="Normal 4 2 4 2 7 2 2 3" xfId="17025" xr:uid="{F5801595-5E13-48EF-A08E-84DFF4CC14CA}"/>
    <cellStyle name="Normal 4 2 4 2 7 2 3" xfId="20433" xr:uid="{0E5804AC-284F-4B6C-B6F6-F94445A030FD}"/>
    <cellStyle name="Normal 4 2 4 2 7 2 4" xfId="12812" xr:uid="{39AFDEF1-E758-4C01-B0B0-A79CDFB108A6}"/>
    <cellStyle name="Normal 4 2 4 2 7 3" xfId="6385" xr:uid="{00000000-0005-0000-0000-000079130000}"/>
    <cellStyle name="Normal 4 2 4 2 7 3 2" xfId="22501" xr:uid="{BF7CC19C-0F86-49B7-BBE8-982AAE04F3C9}"/>
    <cellStyle name="Normal 4 2 4 2 7 3 3" xfId="14880" xr:uid="{D068B55D-19A8-4FC3-820F-C81BAC81847D}"/>
    <cellStyle name="Normal 4 2 4 2 7 4" xfId="18288" xr:uid="{8290AC07-EB5A-4A68-8BC8-A08A79382D3C}"/>
    <cellStyle name="Normal 4 2 4 2 7 5" xfId="10667" xr:uid="{3EF8E48F-860B-44AC-846F-9528609CE2E8}"/>
    <cellStyle name="Normal 4 2 4 2 8" xfId="2515" xr:uid="{00000000-0005-0000-0000-00007A130000}"/>
    <cellStyle name="Normal 4 2 4 2 8 2" xfId="6798" xr:uid="{00000000-0005-0000-0000-00007B130000}"/>
    <cellStyle name="Normal 4 2 4 2 8 2 2" xfId="22914" xr:uid="{CD490C23-A89D-4086-A3A8-DA6BDD4033CE}"/>
    <cellStyle name="Normal 4 2 4 2 8 2 3" xfId="15293" xr:uid="{51C7D234-E2C2-474F-98F7-2003A17A7C7C}"/>
    <cellStyle name="Normal 4 2 4 2 8 3" xfId="18701" xr:uid="{46CBCB21-CA53-4F9B-89E2-11B46B67779F}"/>
    <cellStyle name="Normal 4 2 4 2 8 4" xfId="11080" xr:uid="{233AC8DB-F606-4106-A71A-06B30EA8B028}"/>
    <cellStyle name="Normal 4 2 4 2 9" xfId="4733" xr:uid="{00000000-0005-0000-0000-00007C130000}"/>
    <cellStyle name="Normal 4 2 4 2 9 2" xfId="20849" xr:uid="{DEEDFAC2-E7BB-4EEA-93FB-164169ED3A79}"/>
    <cellStyle name="Normal 4 2 4 2 9 3" xfId="13228" xr:uid="{30779006-C64D-4280-BB1D-37C50251513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23412" xr:uid="{9D1B5FF1-DDAD-4276-BBD9-3BA658FC38AD}"/>
    <cellStyle name="Normal 4 2 4 3 2 2 2 2 3" xfId="15791" xr:uid="{2DB8BC40-9FB5-4332-A502-32B9E3DC8B99}"/>
    <cellStyle name="Normal 4 2 4 3 2 2 2 3" xfId="19199" xr:uid="{A566DFEA-7D24-4C96-B166-AE285F09F8B3}"/>
    <cellStyle name="Normal 4 2 4 3 2 2 2 4" xfId="11578" xr:uid="{4646239C-E87C-4806-A416-789062280581}"/>
    <cellStyle name="Normal 4 2 4 3 2 2 3" xfId="5151" xr:uid="{00000000-0005-0000-0000-000082130000}"/>
    <cellStyle name="Normal 4 2 4 3 2 2 3 2" xfId="21267" xr:uid="{55B69F6A-20E7-4232-BD0B-1936A8FE4BEA}"/>
    <cellStyle name="Normal 4 2 4 3 2 2 3 3" xfId="13646" xr:uid="{4406039F-0302-41BE-A723-9812AA91654F}"/>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23825" xr:uid="{64E32D2E-7672-4611-A47E-C82A7CCCA985}"/>
    <cellStyle name="Normal 4 2 4 3 2 3 2 2 3" xfId="16204" xr:uid="{FE1E19A4-C730-4573-8B0B-556C83F972F6}"/>
    <cellStyle name="Normal 4 2 4 3 2 3 2 3" xfId="19612" xr:uid="{3647E4B6-321C-4381-B8ED-3D26C05EA94D}"/>
    <cellStyle name="Normal 4 2 4 3 2 3 2 4" xfId="11991" xr:uid="{57A082CD-746E-497F-9841-EE192B845EBE}"/>
    <cellStyle name="Normal 4 2 4 3 2 3 3" xfId="5564" xr:uid="{00000000-0005-0000-0000-000086130000}"/>
    <cellStyle name="Normal 4 2 4 3 2 3 3 2" xfId="21680" xr:uid="{BC86E46D-28FF-4987-A30F-092DA2355937}"/>
    <cellStyle name="Normal 4 2 4 3 2 3 3 3" xfId="14059" xr:uid="{D060B490-8E23-4A1B-95D0-EDF23DB55252}"/>
    <cellStyle name="Normal 4 2 4 3 2 3 4" xfId="17467" xr:uid="{3C278937-3E27-4CBF-A1EC-2D5EBB753E1F}"/>
    <cellStyle name="Normal 4 2 4 3 2 3 5" xfId="9846" xr:uid="{80827D3F-B7C9-4CF1-BDBA-8A80CB5A848C}"/>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24238" xr:uid="{0B2AF8C4-FF89-441E-8BB2-885A0B6F48B0}"/>
    <cellStyle name="Normal 4 2 4 3 2 4 2 2 3" xfId="16617" xr:uid="{26742BE9-8A48-4C2A-87CF-45A86F0BFDF6}"/>
    <cellStyle name="Normal 4 2 4 3 2 4 2 3" xfId="20025" xr:uid="{D2D9EE74-C7BA-459F-AA44-09B5781E84B1}"/>
    <cellStyle name="Normal 4 2 4 3 2 4 2 4" xfId="12404" xr:uid="{C6A85F90-5C34-445C-B4E8-227128F20B57}"/>
    <cellStyle name="Normal 4 2 4 3 2 4 3" xfId="5977" xr:uid="{00000000-0005-0000-0000-00008A130000}"/>
    <cellStyle name="Normal 4 2 4 3 2 4 3 2" xfId="22093" xr:uid="{EBC94F98-63BD-4617-91E4-340FADD1E9CB}"/>
    <cellStyle name="Normal 4 2 4 3 2 4 3 3" xfId="14472" xr:uid="{B3630315-65D2-4479-9C04-93B38FCF913B}"/>
    <cellStyle name="Normal 4 2 4 3 2 4 4" xfId="17880" xr:uid="{18FA1FE7-2761-40FA-BC62-0A49388906FD}"/>
    <cellStyle name="Normal 4 2 4 3 2 4 5" xfId="10259" xr:uid="{F75569FC-B9C2-4AAF-9034-DACB7D2A7E4B}"/>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24651" xr:uid="{45EB2AC6-5283-459B-9677-4E99A7C38C6D}"/>
    <cellStyle name="Normal 4 2 4 3 2 5 2 2 3" xfId="17030" xr:uid="{2B850209-E969-446A-9360-F324AD120DAE}"/>
    <cellStyle name="Normal 4 2 4 3 2 5 2 3" xfId="20438" xr:uid="{6247FF36-1BA6-4BAC-950D-E946501D5E5F}"/>
    <cellStyle name="Normal 4 2 4 3 2 5 2 4" xfId="12817" xr:uid="{995D56DA-6CE4-4C75-AD64-2AB10DF1A627}"/>
    <cellStyle name="Normal 4 2 4 3 2 5 3" xfId="6390" xr:uid="{00000000-0005-0000-0000-00008E130000}"/>
    <cellStyle name="Normal 4 2 4 3 2 5 3 2" xfId="22506" xr:uid="{A1F747E4-DFD0-452F-9210-1609D4593137}"/>
    <cellStyle name="Normal 4 2 4 3 2 5 3 3" xfId="14885" xr:uid="{7D0D39EE-266D-4129-88CC-5EAD7C4FAE10}"/>
    <cellStyle name="Normal 4 2 4 3 2 5 4" xfId="18293" xr:uid="{30C2E022-792E-47CE-AEC5-14F33C4CD16B}"/>
    <cellStyle name="Normal 4 2 4 3 2 5 5" xfId="10672" xr:uid="{D3AE27E5-3780-44A0-B40F-B80D8F9E16C6}"/>
    <cellStyle name="Normal 4 2 4 3 2 6" xfId="2520" xr:uid="{00000000-0005-0000-0000-00008F130000}"/>
    <cellStyle name="Normal 4 2 4 3 2 6 2" xfId="6803" xr:uid="{00000000-0005-0000-0000-000090130000}"/>
    <cellStyle name="Normal 4 2 4 3 2 6 2 2" xfId="22919" xr:uid="{2003E883-3D00-4E74-A3A9-CE4BE7175A70}"/>
    <cellStyle name="Normal 4 2 4 3 2 6 2 3" xfId="15298" xr:uid="{49C3FF8A-D80E-48E2-9176-9154B3E08BBD}"/>
    <cellStyle name="Normal 4 2 4 3 2 6 3" xfId="18706" xr:uid="{6D4AB84C-72F9-4149-BA69-6A953C33BC56}"/>
    <cellStyle name="Normal 4 2 4 3 2 6 4" xfId="11085" xr:uid="{B44389ED-34CC-4B4C-B194-2D8AF16403B5}"/>
    <cellStyle name="Normal 4 2 4 3 2 7" xfId="4738" xr:uid="{00000000-0005-0000-0000-000091130000}"/>
    <cellStyle name="Normal 4 2 4 3 2 7 2" xfId="20854" xr:uid="{EC37518A-65A3-40F5-8974-0F1769BA07A2}"/>
    <cellStyle name="Normal 4 2 4 3 2 7 3" xfId="13233" xr:uid="{020895AE-2E2A-4900-83E6-5996A17BCE14}"/>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23411" xr:uid="{10A1894F-B974-4995-958D-A739F40DF93D}"/>
    <cellStyle name="Normal 4 2 4 3 3 2 2 3" xfId="15790" xr:uid="{79765828-6C88-4BC8-9C75-6A34C6870414}"/>
    <cellStyle name="Normal 4 2 4 3 3 2 3" xfId="19198" xr:uid="{7AD1D708-2EF8-4C78-AB19-BCF79A750C04}"/>
    <cellStyle name="Normal 4 2 4 3 3 2 4" xfId="11577" xr:uid="{F27942FC-6EC7-4D3F-A44D-173EE801BDEF}"/>
    <cellStyle name="Normal 4 2 4 3 3 3" xfId="5150" xr:uid="{00000000-0005-0000-0000-000095130000}"/>
    <cellStyle name="Normal 4 2 4 3 3 3 2" xfId="21266" xr:uid="{D95B8C92-5837-48A1-8CD7-F764B2EBE601}"/>
    <cellStyle name="Normal 4 2 4 3 3 3 3" xfId="13645" xr:uid="{6E1C52D8-38B5-4C52-B1D1-BFCDE23FDC5A}"/>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23824" xr:uid="{910342AE-1AAE-404A-B333-7523A80FFF51}"/>
    <cellStyle name="Normal 4 2 4 3 4 2 2 3" xfId="16203" xr:uid="{CB32F95B-8D95-484D-A25F-74F4D9E98ED0}"/>
    <cellStyle name="Normal 4 2 4 3 4 2 3" xfId="19611" xr:uid="{74FFDF38-AFDD-4F7D-A687-66E55A9330C5}"/>
    <cellStyle name="Normal 4 2 4 3 4 2 4" xfId="11990" xr:uid="{D83173DC-45F5-49E7-BC23-777775B9581E}"/>
    <cellStyle name="Normal 4 2 4 3 4 3" xfId="5563" xr:uid="{00000000-0005-0000-0000-000099130000}"/>
    <cellStyle name="Normal 4 2 4 3 4 3 2" xfId="21679" xr:uid="{2FB1B96F-BC9B-4B6F-9F5F-22875CDD1C69}"/>
    <cellStyle name="Normal 4 2 4 3 4 3 3" xfId="14058" xr:uid="{E74564EA-D903-42E1-B4C6-2DF6C9E7F379}"/>
    <cellStyle name="Normal 4 2 4 3 4 4" xfId="17466" xr:uid="{F1D80A25-3034-4CFE-9E83-8EC10EE8E2C9}"/>
    <cellStyle name="Normal 4 2 4 3 4 5" xfId="9845" xr:uid="{2E41E7B2-2F29-40C2-905E-F16884B347C5}"/>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24237" xr:uid="{E9CDAF9B-0697-4C57-83DB-4BF965E51649}"/>
    <cellStyle name="Normal 4 2 4 3 5 2 2 3" xfId="16616" xr:uid="{11D95DB8-CA2D-441F-95C6-E31B30798576}"/>
    <cellStyle name="Normal 4 2 4 3 5 2 3" xfId="20024" xr:uid="{366C958F-E2A3-4C02-8FB8-07336F95B430}"/>
    <cellStyle name="Normal 4 2 4 3 5 2 4" xfId="12403" xr:uid="{76A001A3-3F9B-4FBA-80CD-3FC38F11FFF0}"/>
    <cellStyle name="Normal 4 2 4 3 5 3" xfId="5976" xr:uid="{00000000-0005-0000-0000-00009D130000}"/>
    <cellStyle name="Normal 4 2 4 3 5 3 2" xfId="22092" xr:uid="{26F869FC-265F-4946-871C-390994C65322}"/>
    <cellStyle name="Normal 4 2 4 3 5 3 3" xfId="14471" xr:uid="{5C20A2A4-442A-4E49-B08E-053EB0301878}"/>
    <cellStyle name="Normal 4 2 4 3 5 4" xfId="17879" xr:uid="{EA1B5AAF-4324-49F2-9CC2-E067B4C592DA}"/>
    <cellStyle name="Normal 4 2 4 3 5 5" xfId="10258" xr:uid="{2E586D42-094F-4C1B-8F54-D4053630339B}"/>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24650" xr:uid="{3E865F86-C055-4DBC-AF13-D7606C85A568}"/>
    <cellStyle name="Normal 4 2 4 3 6 2 2 3" xfId="17029" xr:uid="{0B487460-A03C-4BF0-B200-9501FADE8EF9}"/>
    <cellStyle name="Normal 4 2 4 3 6 2 3" xfId="20437" xr:uid="{D6477705-65FC-4458-BAA7-CD8314495DD4}"/>
    <cellStyle name="Normal 4 2 4 3 6 2 4" xfId="12816" xr:uid="{751ABCF1-8F4E-40CE-97B1-A80CCD82F6B4}"/>
    <cellStyle name="Normal 4 2 4 3 6 3" xfId="6389" xr:uid="{00000000-0005-0000-0000-0000A1130000}"/>
    <cellStyle name="Normal 4 2 4 3 6 3 2" xfId="22505" xr:uid="{4D52D5C1-87C3-445B-9B55-8B1F16E77293}"/>
    <cellStyle name="Normal 4 2 4 3 6 3 3" xfId="14884" xr:uid="{AD2B6830-43FB-4A2B-B8B2-8C4FA202F1A8}"/>
    <cellStyle name="Normal 4 2 4 3 6 4" xfId="18292" xr:uid="{574D52CB-F4AB-47A6-8F93-5FD28B686FD3}"/>
    <cellStyle name="Normal 4 2 4 3 6 5" xfId="10671" xr:uid="{D7DDA8B6-4327-4F0F-B4AA-691C8500BB0C}"/>
    <cellStyle name="Normal 4 2 4 3 7" xfId="2519" xr:uid="{00000000-0005-0000-0000-0000A2130000}"/>
    <cellStyle name="Normal 4 2 4 3 7 2" xfId="6802" xr:uid="{00000000-0005-0000-0000-0000A3130000}"/>
    <cellStyle name="Normal 4 2 4 3 7 2 2" xfId="22918" xr:uid="{EAF961F1-3D80-4EE4-9F97-F7879C193B37}"/>
    <cellStyle name="Normal 4 2 4 3 7 2 3" xfId="15297" xr:uid="{3D0B862C-2A08-4430-AB79-9A3349FDA6E7}"/>
    <cellStyle name="Normal 4 2 4 3 7 3" xfId="18705" xr:uid="{2A53C3D6-EDA7-4EB4-BB58-CFD0DE4C9EBC}"/>
    <cellStyle name="Normal 4 2 4 3 7 4" xfId="11084" xr:uid="{717524F1-38DA-47E1-BC97-5562268F66D6}"/>
    <cellStyle name="Normal 4 2 4 3 8" xfId="4737" xr:uid="{00000000-0005-0000-0000-0000A4130000}"/>
    <cellStyle name="Normal 4 2 4 3 8 2" xfId="20853" xr:uid="{816AD1B7-B169-45BB-A0C0-335820EB9366}"/>
    <cellStyle name="Normal 4 2 4 3 8 3" xfId="13232" xr:uid="{E07B600D-B543-4974-AA21-1E5046AE99D4}"/>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23413" xr:uid="{EF397FFF-C101-4D1F-A92C-73CC540B721F}"/>
    <cellStyle name="Normal 4 2 4 4 2 2 2 3" xfId="15792" xr:uid="{96E72FC0-ACF3-4F33-929D-184A7476A2F2}"/>
    <cellStyle name="Normal 4 2 4 4 2 2 3" xfId="19200" xr:uid="{5EA0E3B1-1A14-4EB2-B38A-71FFB6D84927}"/>
    <cellStyle name="Normal 4 2 4 4 2 2 4" xfId="11579" xr:uid="{6FD4312F-4AAE-4017-9346-51F9F98666C0}"/>
    <cellStyle name="Normal 4 2 4 4 2 3" xfId="5152" xr:uid="{00000000-0005-0000-0000-0000A9130000}"/>
    <cellStyle name="Normal 4 2 4 4 2 3 2" xfId="21268" xr:uid="{D53CC2E1-7F82-4E0E-BEFB-0714EC429C80}"/>
    <cellStyle name="Normal 4 2 4 4 2 3 3" xfId="13647" xr:uid="{D0342F53-D689-4451-9418-84EDA67EF1EA}"/>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23826" xr:uid="{89BAE5C2-9A0A-443D-88AA-55A789820DBE}"/>
    <cellStyle name="Normal 4 2 4 4 3 2 2 3" xfId="16205" xr:uid="{C4DCF63F-395F-427D-95FF-29B70A473F29}"/>
    <cellStyle name="Normal 4 2 4 4 3 2 3" xfId="19613" xr:uid="{00B619B2-BCF0-41C4-909D-36AA2C8BE68D}"/>
    <cellStyle name="Normal 4 2 4 4 3 2 4" xfId="11992" xr:uid="{E8FC402A-5644-442C-8368-1001D187E91B}"/>
    <cellStyle name="Normal 4 2 4 4 3 3" xfId="5565" xr:uid="{00000000-0005-0000-0000-0000AD130000}"/>
    <cellStyle name="Normal 4 2 4 4 3 3 2" xfId="21681" xr:uid="{7FD46A84-2F41-4E15-871E-48436D000BFF}"/>
    <cellStyle name="Normal 4 2 4 4 3 3 3" xfId="14060" xr:uid="{30B4E6D9-9989-49CF-B0C1-7A60141E2A7C}"/>
    <cellStyle name="Normal 4 2 4 4 3 4" xfId="17468" xr:uid="{24D79342-9BAF-4DCA-9498-D93C045934DA}"/>
    <cellStyle name="Normal 4 2 4 4 3 5" xfId="9847" xr:uid="{CEB9D111-D878-4C5B-8E2F-6FF33DDB501D}"/>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24239" xr:uid="{B97A1CD2-A589-41FD-84E9-B7383F85606C}"/>
    <cellStyle name="Normal 4 2 4 4 4 2 2 3" xfId="16618" xr:uid="{C1C9DB1E-566E-40A2-932E-B298A386BAC7}"/>
    <cellStyle name="Normal 4 2 4 4 4 2 3" xfId="20026" xr:uid="{1F04A132-B408-4D8C-82AA-A07059936405}"/>
    <cellStyle name="Normal 4 2 4 4 4 2 4" xfId="12405" xr:uid="{5AB58D82-D3C5-4620-B2FC-7D3110E17CCA}"/>
    <cellStyle name="Normal 4 2 4 4 4 3" xfId="5978" xr:uid="{00000000-0005-0000-0000-0000B1130000}"/>
    <cellStyle name="Normal 4 2 4 4 4 3 2" xfId="22094" xr:uid="{E3073320-7C12-48C3-8A12-F68BE2AC779C}"/>
    <cellStyle name="Normal 4 2 4 4 4 3 3" xfId="14473" xr:uid="{9FE98538-3C10-40E4-A662-31AF87E32353}"/>
    <cellStyle name="Normal 4 2 4 4 4 4" xfId="17881" xr:uid="{2FF8A761-2735-4D87-86E8-224B8B9700CC}"/>
    <cellStyle name="Normal 4 2 4 4 4 5" xfId="10260" xr:uid="{58FD90F8-6758-431D-93B7-C84585CC5D17}"/>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24652" xr:uid="{E0E9C4A3-2DE7-4927-AD60-358B0A7DC900}"/>
    <cellStyle name="Normal 4 2 4 4 5 2 2 3" xfId="17031" xr:uid="{A99B6089-9FC4-48E5-A33A-90321E3A6507}"/>
    <cellStyle name="Normal 4 2 4 4 5 2 3" xfId="20439" xr:uid="{6A7B9F99-9335-4F02-9936-2ED4759C39E7}"/>
    <cellStyle name="Normal 4 2 4 4 5 2 4" xfId="12818" xr:uid="{D13D7928-1DFF-4403-A14D-9AD2A589FF51}"/>
    <cellStyle name="Normal 4 2 4 4 5 3" xfId="6391" xr:uid="{00000000-0005-0000-0000-0000B5130000}"/>
    <cellStyle name="Normal 4 2 4 4 5 3 2" xfId="22507" xr:uid="{F7124393-8E9C-4B2D-A11F-22B317384648}"/>
    <cellStyle name="Normal 4 2 4 4 5 3 3" xfId="14886" xr:uid="{411B3BE1-8A5D-4FAB-B603-A0A306A6EFBA}"/>
    <cellStyle name="Normal 4 2 4 4 5 4" xfId="18294" xr:uid="{4935825A-9A5C-4D41-B50C-57C71778DDD6}"/>
    <cellStyle name="Normal 4 2 4 4 5 5" xfId="10673" xr:uid="{EBC17F8C-1F2D-428C-8FF1-F97396010E42}"/>
    <cellStyle name="Normal 4 2 4 4 6" xfId="2521" xr:uid="{00000000-0005-0000-0000-0000B6130000}"/>
    <cellStyle name="Normal 4 2 4 4 6 2" xfId="6804" xr:uid="{00000000-0005-0000-0000-0000B7130000}"/>
    <cellStyle name="Normal 4 2 4 4 6 2 2" xfId="22920" xr:uid="{1074AF68-1621-4B5E-ABAB-C1ACA4BD323E}"/>
    <cellStyle name="Normal 4 2 4 4 6 2 3" xfId="15299" xr:uid="{ECDE8A47-E762-4CA9-955A-A70BBC16FC63}"/>
    <cellStyle name="Normal 4 2 4 4 6 3" xfId="18707" xr:uid="{99DD81CB-74CA-477D-A278-B369017CD6CB}"/>
    <cellStyle name="Normal 4 2 4 4 6 4" xfId="11086" xr:uid="{A746185B-EA94-44A3-B245-6ED4467ECF83}"/>
    <cellStyle name="Normal 4 2 4 4 7" xfId="4739" xr:uid="{00000000-0005-0000-0000-0000B8130000}"/>
    <cellStyle name="Normal 4 2 4 4 7 2" xfId="20855" xr:uid="{2BBEEE8E-60D4-4590-AD06-9F8DAC812228}"/>
    <cellStyle name="Normal 4 2 4 4 7 3" xfId="13234" xr:uid="{1F118FD1-0517-44EA-8AD4-4B21A1846799}"/>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2 2 2" xfId="23406" xr:uid="{3C604160-12D8-4313-88F8-3540826E1DED}"/>
    <cellStyle name="Normal 4 2 4 5 2 2 3" xfId="15785" xr:uid="{59D446BD-88F5-421C-84D6-688AC25B04DD}"/>
    <cellStyle name="Normal 4 2 4 5 2 3" xfId="19193" xr:uid="{724C94B2-B455-4F53-B59F-EA4B447F9806}"/>
    <cellStyle name="Normal 4 2 4 5 2 4" xfId="11572" xr:uid="{B9EAEECE-353E-4A78-A236-EB0317D8A051}"/>
    <cellStyle name="Normal 4 2 4 5 3" xfId="5145" xr:uid="{00000000-0005-0000-0000-0000BC130000}"/>
    <cellStyle name="Normal 4 2 4 5 3 2" xfId="21261" xr:uid="{D9D08F72-64B4-43B5-BD63-5898093F7BF5}"/>
    <cellStyle name="Normal 4 2 4 5 3 3" xfId="13640" xr:uid="{9C874666-4428-407B-9B61-6E2C2EEE4FD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2 2 2" xfId="23819" xr:uid="{E2D1A8B0-8E99-4AB6-9022-BBFF2168EE8C}"/>
    <cellStyle name="Normal 4 2 4 6 2 2 3" xfId="16198" xr:uid="{82009175-EA3D-47DD-A89E-67101478676A}"/>
    <cellStyle name="Normal 4 2 4 6 2 3" xfId="19606" xr:uid="{B856BFC8-5D8F-4D99-80CE-2376F184CC93}"/>
    <cellStyle name="Normal 4 2 4 6 2 4" xfId="11985" xr:uid="{0EFFA433-2ACE-4488-A0DB-F5F4AB6D6EB7}"/>
    <cellStyle name="Normal 4 2 4 6 3" xfId="5558" xr:uid="{00000000-0005-0000-0000-0000C0130000}"/>
    <cellStyle name="Normal 4 2 4 6 3 2" xfId="21674" xr:uid="{950E8724-7E91-4BC2-83AC-BDCBFDF1EB78}"/>
    <cellStyle name="Normal 4 2 4 6 3 3" xfId="14053" xr:uid="{84D3939C-3E6B-4E3E-AC90-9132E624DAE8}"/>
    <cellStyle name="Normal 4 2 4 6 4" xfId="17461" xr:uid="{3BB326D6-1C41-48EE-9B18-AA1C57264386}"/>
    <cellStyle name="Normal 4 2 4 6 5" xfId="9840" xr:uid="{9F304187-A6A2-42CF-8A50-8F5AFC9CCDAF}"/>
    <cellStyle name="Normal 4 2 4 7" xfId="1664" xr:uid="{00000000-0005-0000-0000-0000C1130000}"/>
    <cellStyle name="Normal 4 2 4 7 2" xfId="3894" xr:uid="{00000000-0005-0000-0000-0000C2130000}"/>
    <cellStyle name="Normal 4 2 4 7 2 2" xfId="8116" xr:uid="{00000000-0005-0000-0000-0000C3130000}"/>
    <cellStyle name="Normal 4 2 4 7 2 2 2" xfId="24232" xr:uid="{FF984133-E18B-4EAD-9C31-EF5A411C2F22}"/>
    <cellStyle name="Normal 4 2 4 7 2 2 3" xfId="16611" xr:uid="{8674ACCB-E3DA-4E54-8339-B2E86D8EC4B0}"/>
    <cellStyle name="Normal 4 2 4 7 2 3" xfId="20019" xr:uid="{DF9834AA-7E62-4263-864A-CCC5501B16E4}"/>
    <cellStyle name="Normal 4 2 4 7 2 4" xfId="12398" xr:uid="{0B9C70B9-AC8B-49A6-BEC0-C97F547ABC0C}"/>
    <cellStyle name="Normal 4 2 4 7 3" xfId="5971" xr:uid="{00000000-0005-0000-0000-0000C4130000}"/>
    <cellStyle name="Normal 4 2 4 7 3 2" xfId="22087" xr:uid="{B3B3511C-A675-4D1E-AE76-6450E962B228}"/>
    <cellStyle name="Normal 4 2 4 7 3 3" xfId="14466" xr:uid="{E94FBBB7-5B98-4F0B-85D0-D6420E9DC61D}"/>
    <cellStyle name="Normal 4 2 4 7 4" xfId="17874" xr:uid="{AC908A02-8D89-4A38-A91A-5A1DFF7F7540}"/>
    <cellStyle name="Normal 4 2 4 7 5" xfId="10253" xr:uid="{080530CB-C06B-4B10-A07B-7371B455262C}"/>
    <cellStyle name="Normal 4 2 4 8" xfId="2078" xr:uid="{00000000-0005-0000-0000-0000C5130000}"/>
    <cellStyle name="Normal 4 2 4 8 2" xfId="4307" xr:uid="{00000000-0005-0000-0000-0000C6130000}"/>
    <cellStyle name="Normal 4 2 4 8 2 2" xfId="8529" xr:uid="{00000000-0005-0000-0000-0000C7130000}"/>
    <cellStyle name="Normal 4 2 4 8 2 2 2" xfId="24645" xr:uid="{B4894D71-77D9-4850-A28F-7DFAE70A6DC4}"/>
    <cellStyle name="Normal 4 2 4 8 2 2 3" xfId="17024" xr:uid="{AF2D3FD6-8A90-4D4B-AC44-936303E4619C}"/>
    <cellStyle name="Normal 4 2 4 8 2 3" xfId="20432" xr:uid="{1637EA5B-22BC-4AFA-8F65-BECDE78B062C}"/>
    <cellStyle name="Normal 4 2 4 8 2 4" xfId="12811" xr:uid="{6F0A3883-4300-4674-B7C6-FE870AA8C40A}"/>
    <cellStyle name="Normal 4 2 4 8 3" xfId="6384" xr:uid="{00000000-0005-0000-0000-0000C8130000}"/>
    <cellStyle name="Normal 4 2 4 8 3 2" xfId="22500" xr:uid="{473FDF57-ABD8-4E6C-8F41-B85A81A6128E}"/>
    <cellStyle name="Normal 4 2 4 8 3 3" xfId="14879" xr:uid="{B4D0F8DE-D0AC-4DCD-A388-E90E9846F6EE}"/>
    <cellStyle name="Normal 4 2 4 8 4" xfId="18287" xr:uid="{1D6C32C8-F149-417F-B9E1-63D399BDCD05}"/>
    <cellStyle name="Normal 4 2 4 8 5" xfId="10666" xr:uid="{4C098262-4C3F-4D2A-88C5-3D2FEE86947A}"/>
    <cellStyle name="Normal 4 2 4 9" xfId="2514" xr:uid="{00000000-0005-0000-0000-0000C9130000}"/>
    <cellStyle name="Normal 4 2 4 9 2" xfId="6797" xr:uid="{00000000-0005-0000-0000-0000CA130000}"/>
    <cellStyle name="Normal 4 2 4 9 2 2" xfId="22913" xr:uid="{A80C3036-05D3-4D3C-9E51-6EEA64B51195}"/>
    <cellStyle name="Normal 4 2 4 9 2 3" xfId="15292" xr:uid="{5CCCE48D-8503-4D4E-903E-D9D9467042D5}"/>
    <cellStyle name="Normal 4 2 4 9 3" xfId="18700" xr:uid="{C608C9D0-3262-43F0-9425-89AE1BEDC3D6}"/>
    <cellStyle name="Normal 4 2 4 9 4" xfId="11079" xr:uid="{B313534D-FADD-4FD2-B580-B3E8DFEAC9A5}"/>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23415" xr:uid="{1FA76A7F-01ED-44A1-AC25-68849E3F13D8}"/>
    <cellStyle name="Normal 4 2 5 2 2 2 2 3" xfId="15794" xr:uid="{FA0881B7-0F90-444F-8307-6E292FA0E1A6}"/>
    <cellStyle name="Normal 4 2 5 2 2 2 3" xfId="19202" xr:uid="{FD656C20-ADD2-46A0-A737-3258C884CAB9}"/>
    <cellStyle name="Normal 4 2 5 2 2 2 4" xfId="11581" xr:uid="{A231AA73-C156-472B-B55B-3BB64945A2A0}"/>
    <cellStyle name="Normal 4 2 5 2 2 3" xfId="5154" xr:uid="{00000000-0005-0000-0000-0000D0130000}"/>
    <cellStyle name="Normal 4 2 5 2 2 3 2" xfId="21270" xr:uid="{F7842447-77DC-4570-9011-EAC622BAF17B}"/>
    <cellStyle name="Normal 4 2 5 2 2 3 3" xfId="13649" xr:uid="{5062FEBD-CED0-4469-918B-33B1DC4F8BBA}"/>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23828" xr:uid="{39AD9F5C-9919-44EE-8565-14C9ED00A45F}"/>
    <cellStyle name="Normal 4 2 5 2 3 2 2 3" xfId="16207" xr:uid="{DC9D348D-EC52-40E3-B454-509941EB9028}"/>
    <cellStyle name="Normal 4 2 5 2 3 2 3" xfId="19615" xr:uid="{B25D4118-3F33-4A83-89DC-6A506C32A09C}"/>
    <cellStyle name="Normal 4 2 5 2 3 2 4" xfId="11994" xr:uid="{5BD6E543-FC12-48E5-B6E7-69021B470240}"/>
    <cellStyle name="Normal 4 2 5 2 3 3" xfId="5567" xr:uid="{00000000-0005-0000-0000-0000D4130000}"/>
    <cellStyle name="Normal 4 2 5 2 3 3 2" xfId="21683" xr:uid="{4A42F436-CE76-44C8-9C91-DFE23317F815}"/>
    <cellStyle name="Normal 4 2 5 2 3 3 3" xfId="14062" xr:uid="{784EB6DF-0FC4-4A30-A904-56511DF5BAEF}"/>
    <cellStyle name="Normal 4 2 5 2 3 4" xfId="17470" xr:uid="{720284FD-B672-422E-83B4-58665035AC8E}"/>
    <cellStyle name="Normal 4 2 5 2 3 5" xfId="9849" xr:uid="{9AEA025B-6CC9-4CAB-AD0C-6B0E1F4185EC}"/>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24241" xr:uid="{8D537C66-0A07-471D-BEBA-146338B91064}"/>
    <cellStyle name="Normal 4 2 5 2 4 2 2 3" xfId="16620" xr:uid="{CD1866BF-347D-46F0-8320-E3F38A8E15F5}"/>
    <cellStyle name="Normal 4 2 5 2 4 2 3" xfId="20028" xr:uid="{3451905E-04E2-489A-A6AC-C6EBD1886373}"/>
    <cellStyle name="Normal 4 2 5 2 4 2 4" xfId="12407" xr:uid="{B5F5E7DE-BE19-4897-BB69-7388417AB014}"/>
    <cellStyle name="Normal 4 2 5 2 4 3" xfId="5980" xr:uid="{00000000-0005-0000-0000-0000D8130000}"/>
    <cellStyle name="Normal 4 2 5 2 4 3 2" xfId="22096" xr:uid="{FD2F7E5D-F4E2-4B56-A786-12C3175EB619}"/>
    <cellStyle name="Normal 4 2 5 2 4 3 3" xfId="14475" xr:uid="{0E720D75-A7D2-46FB-AA89-65651B2AD691}"/>
    <cellStyle name="Normal 4 2 5 2 4 4" xfId="17883" xr:uid="{4B199F59-EB0A-4F2B-AFE9-3DD5F9171A42}"/>
    <cellStyle name="Normal 4 2 5 2 4 5" xfId="10262" xr:uid="{D92AD9F7-88DC-4E07-8E1F-A9A2D79E0163}"/>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24654" xr:uid="{5999A10B-9685-4AF1-B8AF-B9A7656FE4F6}"/>
    <cellStyle name="Normal 4 2 5 2 5 2 2 3" xfId="17033" xr:uid="{10EBC558-B663-4067-AD0A-F37C0DD3A60B}"/>
    <cellStyle name="Normal 4 2 5 2 5 2 3" xfId="20441" xr:uid="{1FEBD20D-4CBB-4C95-A571-2D5B5B0789BC}"/>
    <cellStyle name="Normal 4 2 5 2 5 2 4" xfId="12820" xr:uid="{75BE2B9D-ABA6-448A-AD94-09B27586C087}"/>
    <cellStyle name="Normal 4 2 5 2 5 3" xfId="6393" xr:uid="{00000000-0005-0000-0000-0000DC130000}"/>
    <cellStyle name="Normal 4 2 5 2 5 3 2" xfId="22509" xr:uid="{D594A0DD-DDF9-4FC6-A5A4-28B95E752A84}"/>
    <cellStyle name="Normal 4 2 5 2 5 3 3" xfId="14888" xr:uid="{F0C98403-1124-44CD-A730-CBF23B42032A}"/>
    <cellStyle name="Normal 4 2 5 2 5 4" xfId="18296" xr:uid="{823CFD16-D9DD-46EE-AEED-C6AD809997E9}"/>
    <cellStyle name="Normal 4 2 5 2 5 5" xfId="10675" xr:uid="{2124A6DF-563A-4798-925C-F6C5195779EC}"/>
    <cellStyle name="Normal 4 2 5 2 6" xfId="2523" xr:uid="{00000000-0005-0000-0000-0000DD130000}"/>
    <cellStyle name="Normal 4 2 5 2 6 2" xfId="6806" xr:uid="{00000000-0005-0000-0000-0000DE130000}"/>
    <cellStyle name="Normal 4 2 5 2 6 2 2" xfId="22922" xr:uid="{A53C2791-528E-4353-A1BD-B92A382EB354}"/>
    <cellStyle name="Normal 4 2 5 2 6 2 3" xfId="15301" xr:uid="{5C9F98C0-9936-438C-BE68-A6D30012741F}"/>
    <cellStyle name="Normal 4 2 5 2 6 3" xfId="18709" xr:uid="{5BEDD705-FFBE-4C30-A9FB-E266EFD73422}"/>
    <cellStyle name="Normal 4 2 5 2 6 4" xfId="11088" xr:uid="{3054A692-1365-4103-A2AD-6BB87DA7B4D9}"/>
    <cellStyle name="Normal 4 2 5 2 7" xfId="4741" xr:uid="{00000000-0005-0000-0000-0000DF130000}"/>
    <cellStyle name="Normal 4 2 5 2 7 2" xfId="20857" xr:uid="{CA0E59B4-ECD2-4B2C-AA0D-79E32B9F8E7F}"/>
    <cellStyle name="Normal 4 2 5 2 7 3" xfId="13236" xr:uid="{79323245-C284-43C2-AF4A-232E524D3811}"/>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2 2 2" xfId="23414" xr:uid="{E6405601-5C7E-4159-9FBC-8D678D3DFB31}"/>
    <cellStyle name="Normal 4 2 5 3 2 2 3" xfId="15793" xr:uid="{E3541E1D-7645-4D8A-93BC-18CF396A7618}"/>
    <cellStyle name="Normal 4 2 5 3 2 3" xfId="19201" xr:uid="{946F2BD7-FA1C-489A-B28E-26497D03E7BB}"/>
    <cellStyle name="Normal 4 2 5 3 2 4" xfId="11580" xr:uid="{19287D85-5B31-4876-B106-C39DBB1347AD}"/>
    <cellStyle name="Normal 4 2 5 3 3" xfId="5153" xr:uid="{00000000-0005-0000-0000-0000E3130000}"/>
    <cellStyle name="Normal 4 2 5 3 3 2" xfId="21269" xr:uid="{BB71378F-9158-45CE-9352-C2E1A59584A3}"/>
    <cellStyle name="Normal 4 2 5 3 3 3" xfId="13648" xr:uid="{077257EE-F193-41FB-B798-D620B80AC684}"/>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2 2 2" xfId="23827" xr:uid="{D63080C7-A89B-4832-8B4C-5C5C5F215BBA}"/>
    <cellStyle name="Normal 4 2 5 4 2 2 3" xfId="16206" xr:uid="{AC8D5A0A-B23C-45AD-9027-AF0634A27278}"/>
    <cellStyle name="Normal 4 2 5 4 2 3" xfId="19614" xr:uid="{0A74BF50-2A75-4A21-BFDB-EC25DD80091F}"/>
    <cellStyle name="Normal 4 2 5 4 2 4" xfId="11993" xr:uid="{24E6488C-4531-4E09-A0FA-49682716DE40}"/>
    <cellStyle name="Normal 4 2 5 4 3" xfId="5566" xr:uid="{00000000-0005-0000-0000-0000E7130000}"/>
    <cellStyle name="Normal 4 2 5 4 3 2" xfId="21682" xr:uid="{F69CD3A5-FA4A-4A8E-8643-2C0F7F0CCEDE}"/>
    <cellStyle name="Normal 4 2 5 4 3 3" xfId="14061" xr:uid="{9E2AA51E-D98D-4A81-A1D5-4DF8EE36AA61}"/>
    <cellStyle name="Normal 4 2 5 4 4" xfId="17469" xr:uid="{988DBA38-31B3-4593-9D5A-B570A710285C}"/>
    <cellStyle name="Normal 4 2 5 4 5" xfId="9848" xr:uid="{42B3512E-685B-4DAD-AD0A-79197D5945AA}"/>
    <cellStyle name="Normal 4 2 5 5" xfId="1672" xr:uid="{00000000-0005-0000-0000-0000E8130000}"/>
    <cellStyle name="Normal 4 2 5 5 2" xfId="3902" xr:uid="{00000000-0005-0000-0000-0000E9130000}"/>
    <cellStyle name="Normal 4 2 5 5 2 2" xfId="8124" xr:uid="{00000000-0005-0000-0000-0000EA130000}"/>
    <cellStyle name="Normal 4 2 5 5 2 2 2" xfId="24240" xr:uid="{9E919649-9BB9-4E0F-8B36-BC4A6A352993}"/>
    <cellStyle name="Normal 4 2 5 5 2 2 3" xfId="16619" xr:uid="{F1AB6391-4497-4E94-A625-842BAA7C9181}"/>
    <cellStyle name="Normal 4 2 5 5 2 3" xfId="20027" xr:uid="{A21B2294-EF10-482E-A642-B59FBE5B84F4}"/>
    <cellStyle name="Normal 4 2 5 5 2 4" xfId="12406" xr:uid="{751E2A7D-6205-4831-8C4B-474960DCEDBD}"/>
    <cellStyle name="Normal 4 2 5 5 3" xfId="5979" xr:uid="{00000000-0005-0000-0000-0000EB130000}"/>
    <cellStyle name="Normal 4 2 5 5 3 2" xfId="22095" xr:uid="{8EBE6B6E-60AA-4B7E-81E2-C71905A2836A}"/>
    <cellStyle name="Normal 4 2 5 5 3 3" xfId="14474" xr:uid="{5EFF1D3A-C9AC-4397-9688-C2B6B6FC36BF}"/>
    <cellStyle name="Normal 4 2 5 5 4" xfId="17882" xr:uid="{15A4493C-DC38-465C-B0D5-10C181F3E295}"/>
    <cellStyle name="Normal 4 2 5 5 5" xfId="10261" xr:uid="{77F06D0C-4269-41F8-89F5-E3FEA3C28E0A}"/>
    <cellStyle name="Normal 4 2 5 6" xfId="2086" xr:uid="{00000000-0005-0000-0000-0000EC130000}"/>
    <cellStyle name="Normal 4 2 5 6 2" xfId="4315" xr:uid="{00000000-0005-0000-0000-0000ED130000}"/>
    <cellStyle name="Normal 4 2 5 6 2 2" xfId="8537" xr:uid="{00000000-0005-0000-0000-0000EE130000}"/>
    <cellStyle name="Normal 4 2 5 6 2 2 2" xfId="24653" xr:uid="{DB578531-FC0A-4DF2-99E3-C67E6BBA22B4}"/>
    <cellStyle name="Normal 4 2 5 6 2 2 3" xfId="17032" xr:uid="{A91BC4E1-E65F-4141-B342-31BFF02C5799}"/>
    <cellStyle name="Normal 4 2 5 6 2 3" xfId="20440" xr:uid="{92D07D9F-88FF-432A-9073-C27A2995B8E3}"/>
    <cellStyle name="Normal 4 2 5 6 2 4" xfId="12819" xr:uid="{59514CC1-139B-46DC-A2F9-7E36D9B16F3B}"/>
    <cellStyle name="Normal 4 2 5 6 3" xfId="6392" xr:uid="{00000000-0005-0000-0000-0000EF130000}"/>
    <cellStyle name="Normal 4 2 5 6 3 2" xfId="22508" xr:uid="{156838A8-8C12-4A8D-ACFC-7DFEFA9C46B4}"/>
    <cellStyle name="Normal 4 2 5 6 3 3" xfId="14887" xr:uid="{82160A10-CDA3-4071-9BB3-4BBA735185E5}"/>
    <cellStyle name="Normal 4 2 5 6 4" xfId="18295" xr:uid="{BE0BC9FE-E53F-4C5A-8782-418EF7F00528}"/>
    <cellStyle name="Normal 4 2 5 6 5" xfId="10674" xr:uid="{8592D002-6C72-4D73-810E-5336EB09DB6B}"/>
    <cellStyle name="Normal 4 2 5 7" xfId="2522" xr:uid="{00000000-0005-0000-0000-0000F0130000}"/>
    <cellStyle name="Normal 4 2 5 7 2" xfId="6805" xr:uid="{00000000-0005-0000-0000-0000F1130000}"/>
    <cellStyle name="Normal 4 2 5 7 2 2" xfId="22921" xr:uid="{FEEF22F9-75C0-4421-946F-1C579D813C8B}"/>
    <cellStyle name="Normal 4 2 5 7 2 3" xfId="15300" xr:uid="{F808F4B7-4D13-4737-B118-8D1AEC230F97}"/>
    <cellStyle name="Normal 4 2 5 7 3" xfId="18708" xr:uid="{1A8D49AC-22E5-4D61-98B8-6756E8E74938}"/>
    <cellStyle name="Normal 4 2 5 7 4" xfId="11087" xr:uid="{1BA56217-0EFA-46E4-A957-3AFCC74A2627}"/>
    <cellStyle name="Normal 4 2 5 8" xfId="4740" xr:uid="{00000000-0005-0000-0000-0000F2130000}"/>
    <cellStyle name="Normal 4 2 5 8 2" xfId="20856" xr:uid="{F2178EAA-2BA6-47AD-B2B4-273FAE20FFD8}"/>
    <cellStyle name="Normal 4 2 5 8 3" xfId="13235" xr:uid="{0FBA8BED-7E9E-4985-BCAE-D008D8D46B1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23416" xr:uid="{6A55B3CF-091A-46DF-BFF0-929337FDBD84}"/>
    <cellStyle name="Normal 4 2 6 2 2 2 3" xfId="15795" xr:uid="{337943F8-EB18-4165-AAA8-C4E998C2EB53}"/>
    <cellStyle name="Normal 4 2 6 2 2 3" xfId="19203" xr:uid="{4339011B-E98A-4E9C-B95E-8AAEB80BF94B}"/>
    <cellStyle name="Normal 4 2 6 2 2 4" xfId="11582" xr:uid="{CBAEC1F6-26D3-4587-B044-467F86484E64}"/>
    <cellStyle name="Normal 4 2 6 2 3" xfId="5155" xr:uid="{00000000-0005-0000-0000-0000F7130000}"/>
    <cellStyle name="Normal 4 2 6 2 3 2" xfId="21271" xr:uid="{608A5C7A-4C48-43F8-BF29-565B7C131165}"/>
    <cellStyle name="Normal 4 2 6 2 3 3" xfId="13650" xr:uid="{055241D2-15D7-4EC7-97B4-90707DF9C616}"/>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2 2 2" xfId="23829" xr:uid="{3CDE9FD8-9DE9-4BCD-88A3-9DB1351A2FBC}"/>
    <cellStyle name="Normal 4 2 6 3 2 2 3" xfId="16208" xr:uid="{DE07CB02-A776-491D-B20F-0F2527BCC4DB}"/>
    <cellStyle name="Normal 4 2 6 3 2 3" xfId="19616" xr:uid="{63190884-AF57-4AE8-8379-D7041F9778FA}"/>
    <cellStyle name="Normal 4 2 6 3 2 4" xfId="11995" xr:uid="{0282A117-972F-45E0-82CB-D82382FFFB1E}"/>
    <cellStyle name="Normal 4 2 6 3 3" xfId="5568" xr:uid="{00000000-0005-0000-0000-0000FB130000}"/>
    <cellStyle name="Normal 4 2 6 3 3 2" xfId="21684" xr:uid="{3C2C35EE-347C-4DFF-9016-6169CCA51285}"/>
    <cellStyle name="Normal 4 2 6 3 3 3" xfId="14063" xr:uid="{4429618D-47E4-4592-8E4D-473E44D4697C}"/>
    <cellStyle name="Normal 4 2 6 3 4" xfId="17471" xr:uid="{0EA46CF4-BDFB-4F71-8D00-41790E56B164}"/>
    <cellStyle name="Normal 4 2 6 3 5" xfId="9850" xr:uid="{BD53A0CA-FCFE-4FCD-BB8F-F26CF7553792}"/>
    <cellStyle name="Normal 4 2 6 4" xfId="1674" xr:uid="{00000000-0005-0000-0000-0000FC130000}"/>
    <cellStyle name="Normal 4 2 6 4 2" xfId="3904" xr:uid="{00000000-0005-0000-0000-0000FD130000}"/>
    <cellStyle name="Normal 4 2 6 4 2 2" xfId="8126" xr:uid="{00000000-0005-0000-0000-0000FE130000}"/>
    <cellStyle name="Normal 4 2 6 4 2 2 2" xfId="24242" xr:uid="{6D274FFC-9510-42EE-B095-CE3D5C19A201}"/>
    <cellStyle name="Normal 4 2 6 4 2 2 3" xfId="16621" xr:uid="{F1B0D6DA-4FCF-4B40-859E-4C11B76DA4FB}"/>
    <cellStyle name="Normal 4 2 6 4 2 3" xfId="20029" xr:uid="{22869B15-4E4F-4D96-AEB0-AAD95583B1D5}"/>
    <cellStyle name="Normal 4 2 6 4 2 4" xfId="12408" xr:uid="{FA32BB09-BF7D-4598-B038-6AC3F383F34B}"/>
    <cellStyle name="Normal 4 2 6 4 3" xfId="5981" xr:uid="{00000000-0005-0000-0000-0000FF130000}"/>
    <cellStyle name="Normal 4 2 6 4 3 2" xfId="22097" xr:uid="{2F6647BA-0737-4E2F-8C3D-88D46D30A365}"/>
    <cellStyle name="Normal 4 2 6 4 3 3" xfId="14476" xr:uid="{BE0665D8-69FC-4452-B8C8-F5E79853276C}"/>
    <cellStyle name="Normal 4 2 6 4 4" xfId="17884" xr:uid="{BE66C97F-9B74-4BC3-936B-A4F8575C1C28}"/>
    <cellStyle name="Normal 4 2 6 4 5" xfId="10263" xr:uid="{CD49E445-A62F-41A4-972C-7E6F1E07E777}"/>
    <cellStyle name="Normal 4 2 6 5" xfId="2088" xr:uid="{00000000-0005-0000-0000-000000140000}"/>
    <cellStyle name="Normal 4 2 6 5 2" xfId="4317" xr:uid="{00000000-0005-0000-0000-000001140000}"/>
    <cellStyle name="Normal 4 2 6 5 2 2" xfId="8539" xr:uid="{00000000-0005-0000-0000-000002140000}"/>
    <cellStyle name="Normal 4 2 6 5 2 2 2" xfId="24655" xr:uid="{6CCEEC49-D1D9-4DC5-BC57-15DE1B9513E6}"/>
    <cellStyle name="Normal 4 2 6 5 2 2 3" xfId="17034" xr:uid="{14E4F7D1-7A8D-4C14-8314-A4B4601445A9}"/>
    <cellStyle name="Normal 4 2 6 5 2 3" xfId="20442" xr:uid="{B9DB8195-15F9-43D2-BA2D-50EAC0A34F8A}"/>
    <cellStyle name="Normal 4 2 6 5 2 4" xfId="12821" xr:uid="{31DA6D27-4D67-4783-8343-A8DA4D5CBD01}"/>
    <cellStyle name="Normal 4 2 6 5 3" xfId="6394" xr:uid="{00000000-0005-0000-0000-000003140000}"/>
    <cellStyle name="Normal 4 2 6 5 3 2" xfId="22510" xr:uid="{C6A51600-4FFB-46B6-8008-98E0BAEB73A0}"/>
    <cellStyle name="Normal 4 2 6 5 3 3" xfId="14889" xr:uid="{EAF6C7BE-48DF-4B49-B39C-C4A4CAF3F0F5}"/>
    <cellStyle name="Normal 4 2 6 5 4" xfId="18297" xr:uid="{32ACA47B-DD33-47B8-A458-FA74C0D31C0E}"/>
    <cellStyle name="Normal 4 2 6 5 5" xfId="10676" xr:uid="{4404D622-A5AE-453D-BCDF-E03B9BF185BF}"/>
    <cellStyle name="Normal 4 2 6 6" xfId="2524" xr:uid="{00000000-0005-0000-0000-000004140000}"/>
    <cellStyle name="Normal 4 2 6 6 2" xfId="6807" xr:uid="{00000000-0005-0000-0000-000005140000}"/>
    <cellStyle name="Normal 4 2 6 6 2 2" xfId="22923" xr:uid="{489C4E00-6C92-4E57-9530-85B9F8769061}"/>
    <cellStyle name="Normal 4 2 6 6 2 3" xfId="15302" xr:uid="{F6325016-F0C4-4A99-AAC6-F343DDF6A321}"/>
    <cellStyle name="Normal 4 2 6 6 3" xfId="18710" xr:uid="{6B297D2D-BB51-4D81-A13D-1505E989EDBC}"/>
    <cellStyle name="Normal 4 2 6 6 4" xfId="11089" xr:uid="{E0EC8CA9-95C4-46D6-877B-BB62E882E40F}"/>
    <cellStyle name="Normal 4 2 6 7" xfId="4742" xr:uid="{00000000-0005-0000-0000-000006140000}"/>
    <cellStyle name="Normal 4 2 6 7 2" xfId="20858" xr:uid="{0AECA4AB-9ABC-45EB-A9CE-31230A17DA2B}"/>
    <cellStyle name="Normal 4 2 6 7 3" xfId="13237" xr:uid="{FF7428B1-D626-47DC-B2C9-9DD0E235064B}"/>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23420" xr:uid="{3A3A1BF6-B737-42B8-8F43-DE8100AA6FA0}"/>
    <cellStyle name="Normal 4 3 2 2 2 2 2 2 2 2 3" xfId="15799" xr:uid="{BD829A15-B2C8-411C-B236-8C27545635F4}"/>
    <cellStyle name="Normal 4 3 2 2 2 2 2 2 2 3" xfId="19207" xr:uid="{46596306-8FE7-4620-9314-F06B17B3B6CC}"/>
    <cellStyle name="Normal 4 3 2 2 2 2 2 2 2 4" xfId="11586" xr:uid="{E40013C1-A630-4FE7-8FC7-DCEBB6FA1FA4}"/>
    <cellStyle name="Normal 4 3 2 2 2 2 2 2 3" xfId="5159" xr:uid="{00000000-0005-0000-0000-000010140000}"/>
    <cellStyle name="Normal 4 3 2 2 2 2 2 2 3 2" xfId="21275" xr:uid="{0A1D1C78-3B42-42BC-8066-118D961BA3FB}"/>
    <cellStyle name="Normal 4 3 2 2 2 2 2 2 3 3" xfId="13654" xr:uid="{7FBB8932-5F13-47ED-AE4A-9C92D7224B63}"/>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23833" xr:uid="{29BA7FAA-690F-492B-B4AD-BB89C02138BA}"/>
    <cellStyle name="Normal 4 3 2 2 2 2 2 3 2 2 3" xfId="16212" xr:uid="{AEDE212F-61D8-45E6-ABB4-5EA3FA025703}"/>
    <cellStyle name="Normal 4 3 2 2 2 2 2 3 2 3" xfId="19620" xr:uid="{1E5893BF-05B2-45EF-BD0A-AA775DD45232}"/>
    <cellStyle name="Normal 4 3 2 2 2 2 2 3 2 4" xfId="11999" xr:uid="{C6D16D09-C0BE-49E5-B52B-143FB89C0265}"/>
    <cellStyle name="Normal 4 3 2 2 2 2 2 3 3" xfId="5572" xr:uid="{00000000-0005-0000-0000-000014140000}"/>
    <cellStyle name="Normal 4 3 2 2 2 2 2 3 3 2" xfId="21688" xr:uid="{77DF8EC5-D58B-4E88-B10C-6895183B5DA6}"/>
    <cellStyle name="Normal 4 3 2 2 2 2 2 3 3 3" xfId="14067" xr:uid="{CF131C78-06C3-4CF9-AA42-D27B0C13BDD5}"/>
    <cellStyle name="Normal 4 3 2 2 2 2 2 3 4" xfId="17475" xr:uid="{A714E5FF-684B-4DC4-8696-916CEA3CB9A8}"/>
    <cellStyle name="Normal 4 3 2 2 2 2 2 3 5" xfId="9854" xr:uid="{66A751EE-B022-4110-8A51-1E4EEF8704A7}"/>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24246" xr:uid="{16400DCD-A1FE-4D88-AD6D-C99E88DB61A1}"/>
    <cellStyle name="Normal 4 3 2 2 2 2 2 4 2 2 3" xfId="16625" xr:uid="{FE733356-3212-4507-A7C4-8B3D052A4FF8}"/>
    <cellStyle name="Normal 4 3 2 2 2 2 2 4 2 3" xfId="20033" xr:uid="{53D88186-F4FD-4FA8-A0CD-885B61E02846}"/>
    <cellStyle name="Normal 4 3 2 2 2 2 2 4 2 4" xfId="12412" xr:uid="{BE583580-B951-49C3-AE8E-654C986277D5}"/>
    <cellStyle name="Normal 4 3 2 2 2 2 2 4 3" xfId="5985" xr:uid="{00000000-0005-0000-0000-000018140000}"/>
    <cellStyle name="Normal 4 3 2 2 2 2 2 4 3 2" xfId="22101" xr:uid="{A2697B87-263B-4A7D-BE34-88C4BA28DB05}"/>
    <cellStyle name="Normal 4 3 2 2 2 2 2 4 3 3" xfId="14480" xr:uid="{6C688A1B-4F25-4570-8413-EA9616E8F004}"/>
    <cellStyle name="Normal 4 3 2 2 2 2 2 4 4" xfId="17888" xr:uid="{F629A311-12A8-4FFC-B30D-38470BEA2E37}"/>
    <cellStyle name="Normal 4 3 2 2 2 2 2 4 5" xfId="10267" xr:uid="{CE0CEA3E-5B7D-49C7-BF1B-35514993D94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24659" xr:uid="{8F9CF7AC-83E9-4086-AE90-22487764AEC4}"/>
    <cellStyle name="Normal 4 3 2 2 2 2 2 5 2 2 3" xfId="17038" xr:uid="{9C993D86-2934-4707-B2F6-A9E296BA8377}"/>
    <cellStyle name="Normal 4 3 2 2 2 2 2 5 2 3" xfId="20446" xr:uid="{47062705-698A-4CAC-88D0-DAFC95E5F8B4}"/>
    <cellStyle name="Normal 4 3 2 2 2 2 2 5 2 4" xfId="12825" xr:uid="{29450336-8C48-494F-91C2-6D68BA64D972}"/>
    <cellStyle name="Normal 4 3 2 2 2 2 2 5 3" xfId="6398" xr:uid="{00000000-0005-0000-0000-00001C140000}"/>
    <cellStyle name="Normal 4 3 2 2 2 2 2 5 3 2" xfId="22514" xr:uid="{9D1362E3-D171-4627-8BBC-D2CF6B278BC9}"/>
    <cellStyle name="Normal 4 3 2 2 2 2 2 5 3 3" xfId="14893" xr:uid="{6A840B75-1524-4A5A-B088-4B654C8B8B78}"/>
    <cellStyle name="Normal 4 3 2 2 2 2 2 5 4" xfId="18301" xr:uid="{68264AA9-FC4C-4399-B6FF-95A4E3247644}"/>
    <cellStyle name="Normal 4 3 2 2 2 2 2 5 5" xfId="10680" xr:uid="{E9B945F2-173D-4F3C-B0D8-F13279F0D49F}"/>
    <cellStyle name="Normal 4 3 2 2 2 2 2 6" xfId="2528" xr:uid="{00000000-0005-0000-0000-00001D140000}"/>
    <cellStyle name="Normal 4 3 2 2 2 2 2 6 2" xfId="6811" xr:uid="{00000000-0005-0000-0000-00001E140000}"/>
    <cellStyle name="Normal 4 3 2 2 2 2 2 6 2 2" xfId="22927" xr:uid="{BAFC7FD6-B5C0-4D3D-96F4-09FC5E6A9050}"/>
    <cellStyle name="Normal 4 3 2 2 2 2 2 6 2 3" xfId="15306" xr:uid="{EB090705-0AE6-4E71-8907-97413A75E11C}"/>
    <cellStyle name="Normal 4 3 2 2 2 2 2 6 3" xfId="18714" xr:uid="{D2900E8B-5690-4211-85A6-275AB7136412}"/>
    <cellStyle name="Normal 4 3 2 2 2 2 2 6 4" xfId="11093" xr:uid="{741D572E-162B-4A86-9E18-158F2E673506}"/>
    <cellStyle name="Normal 4 3 2 2 2 2 2 7" xfId="4746" xr:uid="{00000000-0005-0000-0000-00001F140000}"/>
    <cellStyle name="Normal 4 3 2 2 2 2 2 7 2" xfId="20862" xr:uid="{6DD83B2B-DC67-440A-9527-991C5D053EA3}"/>
    <cellStyle name="Normal 4 3 2 2 2 2 2 7 3" xfId="13241" xr:uid="{619FF7DA-7DA2-4FF9-9C00-45BD6471A8EE}"/>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23419" xr:uid="{83953835-520A-4437-891E-BDBAD7208B94}"/>
    <cellStyle name="Normal 4 3 2 2 2 2 3 2 2 3" xfId="15798" xr:uid="{C79570FD-BCC8-4BBE-ACBB-6556B88D3737}"/>
    <cellStyle name="Normal 4 3 2 2 2 2 3 2 3" xfId="19206" xr:uid="{5DC23F00-9FB1-4E62-B223-971F2F2CFBD9}"/>
    <cellStyle name="Normal 4 3 2 2 2 2 3 2 4" xfId="11585" xr:uid="{FABA25CB-A096-47AE-AD38-768DDFE8426C}"/>
    <cellStyle name="Normal 4 3 2 2 2 2 3 3" xfId="5158" xr:uid="{00000000-0005-0000-0000-000023140000}"/>
    <cellStyle name="Normal 4 3 2 2 2 2 3 3 2" xfId="21274" xr:uid="{9C16F9FA-5D04-4F32-A78E-9F78F781468C}"/>
    <cellStyle name="Normal 4 3 2 2 2 2 3 3 3" xfId="13653" xr:uid="{05EA64DA-A86B-4554-BACC-C7259303F8DE}"/>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23832" xr:uid="{981F55F7-49B0-4877-9855-894C7581894D}"/>
    <cellStyle name="Normal 4 3 2 2 2 2 4 2 2 3" xfId="16211" xr:uid="{B9B092BF-89CD-4510-A04F-44A60EC1293C}"/>
    <cellStyle name="Normal 4 3 2 2 2 2 4 2 3" xfId="19619" xr:uid="{54BDDADF-5AAB-4EDE-A888-E6F6ADED6F86}"/>
    <cellStyle name="Normal 4 3 2 2 2 2 4 2 4" xfId="11998" xr:uid="{A3A0BCB0-3BCB-4190-B87A-AF8C7A28DF96}"/>
    <cellStyle name="Normal 4 3 2 2 2 2 4 3" xfId="5571" xr:uid="{00000000-0005-0000-0000-000027140000}"/>
    <cellStyle name="Normal 4 3 2 2 2 2 4 3 2" xfId="21687" xr:uid="{5458B7AC-BB56-49CF-8BC1-213655A9A80B}"/>
    <cellStyle name="Normal 4 3 2 2 2 2 4 3 3" xfId="14066" xr:uid="{AF4249E6-2848-4758-A46E-A7EE6DB1964C}"/>
    <cellStyle name="Normal 4 3 2 2 2 2 4 4" xfId="17474" xr:uid="{69893742-088C-4ED6-A51C-EEB65CEFAFA8}"/>
    <cellStyle name="Normal 4 3 2 2 2 2 4 5" xfId="9853" xr:uid="{FD596B1B-DA19-4A63-B84B-B33F435F86FA}"/>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24245" xr:uid="{2ABE32CD-497D-43E2-8F86-0C899089D84A}"/>
    <cellStyle name="Normal 4 3 2 2 2 2 5 2 2 3" xfId="16624" xr:uid="{454922F4-82FE-4DC9-85DA-9D8903EF8F2F}"/>
    <cellStyle name="Normal 4 3 2 2 2 2 5 2 3" xfId="20032" xr:uid="{7A8A8099-2A67-4204-BFED-AD962ED4BC6E}"/>
    <cellStyle name="Normal 4 3 2 2 2 2 5 2 4" xfId="12411" xr:uid="{11A34526-5494-47C8-95F0-AC30AE39D393}"/>
    <cellStyle name="Normal 4 3 2 2 2 2 5 3" xfId="5984" xr:uid="{00000000-0005-0000-0000-00002B140000}"/>
    <cellStyle name="Normal 4 3 2 2 2 2 5 3 2" xfId="22100" xr:uid="{A97FBBA6-B999-4F30-9E72-019F5641B165}"/>
    <cellStyle name="Normal 4 3 2 2 2 2 5 3 3" xfId="14479" xr:uid="{65534AB6-D7D9-406C-BBCE-C525092C6467}"/>
    <cellStyle name="Normal 4 3 2 2 2 2 5 4" xfId="17887" xr:uid="{B1176492-0688-4A59-98D7-BEE9EC0ACBFF}"/>
    <cellStyle name="Normal 4 3 2 2 2 2 5 5" xfId="10266" xr:uid="{B2042E42-D862-45C7-B60E-3BA5EE019282}"/>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24658" xr:uid="{76A728DD-4520-42C7-B5C8-F70FF3883E9F}"/>
    <cellStyle name="Normal 4 3 2 2 2 2 6 2 2 3" xfId="17037" xr:uid="{75E510F3-6752-4D76-9F95-37C6F6786A5A}"/>
    <cellStyle name="Normal 4 3 2 2 2 2 6 2 3" xfId="20445" xr:uid="{67C4B210-C233-4576-BDED-CED8ED5555AA}"/>
    <cellStyle name="Normal 4 3 2 2 2 2 6 2 4" xfId="12824" xr:uid="{CAD9FE6E-98EA-41A9-9B52-A8E123483944}"/>
    <cellStyle name="Normal 4 3 2 2 2 2 6 3" xfId="6397" xr:uid="{00000000-0005-0000-0000-00002F140000}"/>
    <cellStyle name="Normal 4 3 2 2 2 2 6 3 2" xfId="22513" xr:uid="{DEDE07AD-01C2-4732-A546-B4C5E696365E}"/>
    <cellStyle name="Normal 4 3 2 2 2 2 6 3 3" xfId="14892" xr:uid="{7F5680BE-CCCE-4AD1-9DAD-0CFC50B57EE1}"/>
    <cellStyle name="Normal 4 3 2 2 2 2 6 4" xfId="18300" xr:uid="{06D2C42C-ACC4-4BE7-8000-EDBAF140CE25}"/>
    <cellStyle name="Normal 4 3 2 2 2 2 6 5" xfId="10679" xr:uid="{83E9A1BC-F2F9-47D7-8CBB-1E58D7EDF933}"/>
    <cellStyle name="Normal 4 3 2 2 2 2 7" xfId="2527" xr:uid="{00000000-0005-0000-0000-000030140000}"/>
    <cellStyle name="Normal 4 3 2 2 2 2 7 2" xfId="6810" xr:uid="{00000000-0005-0000-0000-000031140000}"/>
    <cellStyle name="Normal 4 3 2 2 2 2 7 2 2" xfId="22926" xr:uid="{02BFCEFC-C85D-44B2-8CD3-70082F5D2E25}"/>
    <cellStyle name="Normal 4 3 2 2 2 2 7 2 3" xfId="15305" xr:uid="{6362A39A-CFF4-4B02-B555-D2B64F17BEF2}"/>
    <cellStyle name="Normal 4 3 2 2 2 2 7 3" xfId="18713" xr:uid="{D2E07E2F-9E20-4E8D-A022-EFAA96018AE5}"/>
    <cellStyle name="Normal 4 3 2 2 2 2 7 4" xfId="11092" xr:uid="{E511BCEE-C50A-4582-BBBB-5F692CB26F34}"/>
    <cellStyle name="Normal 4 3 2 2 2 2 8" xfId="4745" xr:uid="{00000000-0005-0000-0000-000032140000}"/>
    <cellStyle name="Normal 4 3 2 2 2 2 8 2" xfId="20861" xr:uid="{095FB442-1F81-497F-9470-A901F9B2BB49}"/>
    <cellStyle name="Normal 4 3 2 2 2 2 8 3" xfId="13240" xr:uid="{8F31E97E-0E96-4E17-8267-8FFE1695B70E}"/>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23421" xr:uid="{37DF9AB5-5AFC-4433-8CF5-7520369FD823}"/>
    <cellStyle name="Normal 4 3 2 2 2 3 2 2 2 3" xfId="15800" xr:uid="{5B48AF26-F8F7-4CE6-8FD6-F378CDFB1BBF}"/>
    <cellStyle name="Normal 4 3 2 2 2 3 2 2 3" xfId="19208" xr:uid="{F9323BAF-B910-44DC-9DAF-31927A747EAC}"/>
    <cellStyle name="Normal 4 3 2 2 2 3 2 2 4" xfId="11587" xr:uid="{D19DD296-9BD5-462D-850E-29FE023B6792}"/>
    <cellStyle name="Normal 4 3 2 2 2 3 2 3" xfId="5160" xr:uid="{00000000-0005-0000-0000-000037140000}"/>
    <cellStyle name="Normal 4 3 2 2 2 3 2 3 2" xfId="21276" xr:uid="{1DCB312F-6961-49DA-B89D-B87576EF2A51}"/>
    <cellStyle name="Normal 4 3 2 2 2 3 2 3 3" xfId="13655" xr:uid="{2C5A315C-2FCE-4854-9D1A-CD4111A55A1C}"/>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23834" xr:uid="{D2AB11DD-8AE6-424B-8344-2095E31449CF}"/>
    <cellStyle name="Normal 4 3 2 2 2 3 3 2 2 3" xfId="16213" xr:uid="{F6490404-76F9-43A6-A2CD-ED50C6DC624D}"/>
    <cellStyle name="Normal 4 3 2 2 2 3 3 2 3" xfId="19621" xr:uid="{A4ED0D6E-9186-44F1-BAD0-ACBE2BBE4A91}"/>
    <cellStyle name="Normal 4 3 2 2 2 3 3 2 4" xfId="12000" xr:uid="{6010307C-BECB-4156-B203-5708282CEADE}"/>
    <cellStyle name="Normal 4 3 2 2 2 3 3 3" xfId="5573" xr:uid="{00000000-0005-0000-0000-00003B140000}"/>
    <cellStyle name="Normal 4 3 2 2 2 3 3 3 2" xfId="21689" xr:uid="{06500DEA-88B9-484D-B524-05031FC42F85}"/>
    <cellStyle name="Normal 4 3 2 2 2 3 3 3 3" xfId="14068" xr:uid="{E2425BAB-EA9E-4872-83CD-0F73BF08D569}"/>
    <cellStyle name="Normal 4 3 2 2 2 3 3 4" xfId="17476" xr:uid="{FF5B052F-E80C-4A34-B7C7-00B198FFADC1}"/>
    <cellStyle name="Normal 4 3 2 2 2 3 3 5" xfId="9855" xr:uid="{6595C3DE-23F4-4797-998F-769FD3748B2C}"/>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24247" xr:uid="{306FDED0-55AF-4C96-9C18-85167460B45A}"/>
    <cellStyle name="Normal 4 3 2 2 2 3 4 2 2 3" xfId="16626" xr:uid="{4D0F3ED5-DB2B-47FB-92F7-64CAD411EF5A}"/>
    <cellStyle name="Normal 4 3 2 2 2 3 4 2 3" xfId="20034" xr:uid="{703AE8DA-44B0-4846-921F-8CBD1E0C3227}"/>
    <cellStyle name="Normal 4 3 2 2 2 3 4 2 4" xfId="12413" xr:uid="{00FAC28D-6399-4B2C-9F4A-DA52313476DD}"/>
    <cellStyle name="Normal 4 3 2 2 2 3 4 3" xfId="5986" xr:uid="{00000000-0005-0000-0000-00003F140000}"/>
    <cellStyle name="Normal 4 3 2 2 2 3 4 3 2" xfId="22102" xr:uid="{83703577-4CE8-4BA4-BED3-7C51F869668F}"/>
    <cellStyle name="Normal 4 3 2 2 2 3 4 3 3" xfId="14481" xr:uid="{2D04DAD2-9D3B-487D-9C3D-5838DA40E363}"/>
    <cellStyle name="Normal 4 3 2 2 2 3 4 4" xfId="17889" xr:uid="{BCC1A72E-DC58-4146-B626-3823CA40BDFD}"/>
    <cellStyle name="Normal 4 3 2 2 2 3 4 5" xfId="10268" xr:uid="{5D9C434E-6540-4D6B-8B75-F22B7BE5E839}"/>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24660" xr:uid="{8E854173-8941-49EF-B7A3-912DC14ED99D}"/>
    <cellStyle name="Normal 4 3 2 2 2 3 5 2 2 3" xfId="17039" xr:uid="{8AA16041-733A-45A6-9148-E8B48A0AF641}"/>
    <cellStyle name="Normal 4 3 2 2 2 3 5 2 3" xfId="20447" xr:uid="{B24852E1-4DAB-4A7C-9BB9-32C38935C558}"/>
    <cellStyle name="Normal 4 3 2 2 2 3 5 2 4" xfId="12826" xr:uid="{B57A288B-3BB6-4DFC-8015-7303C4970EB6}"/>
    <cellStyle name="Normal 4 3 2 2 2 3 5 3" xfId="6399" xr:uid="{00000000-0005-0000-0000-000043140000}"/>
    <cellStyle name="Normal 4 3 2 2 2 3 5 3 2" xfId="22515" xr:uid="{F1BC3B4E-F96C-4712-A55D-2266D102B72C}"/>
    <cellStyle name="Normal 4 3 2 2 2 3 5 3 3" xfId="14894" xr:uid="{66E0CFE4-D76C-4AC4-B121-D5D164EB1BF8}"/>
    <cellStyle name="Normal 4 3 2 2 2 3 5 4" xfId="18302" xr:uid="{65D923B5-14EE-4B82-896B-FF19E1C93B22}"/>
    <cellStyle name="Normal 4 3 2 2 2 3 5 5" xfId="10681" xr:uid="{90F9D1FE-3DAA-4975-921C-141613F76CBF}"/>
    <cellStyle name="Normal 4 3 2 2 2 3 6" xfId="2529" xr:uid="{00000000-0005-0000-0000-000044140000}"/>
    <cellStyle name="Normal 4 3 2 2 2 3 6 2" xfId="6812" xr:uid="{00000000-0005-0000-0000-000045140000}"/>
    <cellStyle name="Normal 4 3 2 2 2 3 6 2 2" xfId="22928" xr:uid="{F7273150-0CC4-47DA-AF8B-9F8420C0098E}"/>
    <cellStyle name="Normal 4 3 2 2 2 3 6 2 3" xfId="15307" xr:uid="{F30DC904-42D7-457B-A565-74942B551FDD}"/>
    <cellStyle name="Normal 4 3 2 2 2 3 6 3" xfId="18715" xr:uid="{5A7CFBFF-0D28-4D2B-B0F9-6B3B29BA338C}"/>
    <cellStyle name="Normal 4 3 2 2 2 3 6 4" xfId="11094" xr:uid="{02D622C9-18ED-4001-AA7F-1BB4C2ABF89D}"/>
    <cellStyle name="Normal 4 3 2 2 2 3 7" xfId="4747" xr:uid="{00000000-0005-0000-0000-000046140000}"/>
    <cellStyle name="Normal 4 3 2 2 2 3 7 2" xfId="20863" xr:uid="{AB199CB7-6D8A-41FB-BF77-8FF2B408FD99}"/>
    <cellStyle name="Normal 4 3 2 2 2 3 7 3" xfId="13242" xr:uid="{B00E30CF-9462-4058-A952-5CC2685E2062}"/>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23418" xr:uid="{B7BE8E58-B8A1-4533-8B5E-8DC7F7AD74C3}"/>
    <cellStyle name="Normal 4 3 2 2 2 4 2 2 3" xfId="15797" xr:uid="{A61900A8-69FA-4BB7-9440-97D6074D12AA}"/>
    <cellStyle name="Normal 4 3 2 2 2 4 2 3" xfId="19205" xr:uid="{06EFC76C-5398-4574-A835-0D93646D7EC5}"/>
    <cellStyle name="Normal 4 3 2 2 2 4 2 4" xfId="11584" xr:uid="{0CFAB468-B877-480D-8B90-B83B3CF17FBD}"/>
    <cellStyle name="Normal 4 3 2 2 2 4 3" xfId="5157" xr:uid="{00000000-0005-0000-0000-00004A140000}"/>
    <cellStyle name="Normal 4 3 2 2 2 4 3 2" xfId="21273" xr:uid="{ED24BE64-FE93-47D3-8B0C-046432D31219}"/>
    <cellStyle name="Normal 4 3 2 2 2 4 3 3" xfId="13652" xr:uid="{F4F18994-176E-4519-BA51-E830385AA83C}"/>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23831" xr:uid="{F4B53AB7-E78F-4A0C-A15A-F8C17BCFD7F5}"/>
    <cellStyle name="Normal 4 3 2 2 2 5 2 2 3" xfId="16210" xr:uid="{CE830758-86C1-4795-81AB-2F2FEEF87B15}"/>
    <cellStyle name="Normal 4 3 2 2 2 5 2 3" xfId="19618" xr:uid="{A840C485-848A-4232-AB25-96AA242652E8}"/>
    <cellStyle name="Normal 4 3 2 2 2 5 2 4" xfId="11997" xr:uid="{A90863F7-FD37-4DCD-88EB-DE626C210622}"/>
    <cellStyle name="Normal 4 3 2 2 2 5 3" xfId="5570" xr:uid="{00000000-0005-0000-0000-00004E140000}"/>
    <cellStyle name="Normal 4 3 2 2 2 5 3 2" xfId="21686" xr:uid="{7F67756F-74F9-4318-BC92-7FEE4D50645A}"/>
    <cellStyle name="Normal 4 3 2 2 2 5 3 3" xfId="14065" xr:uid="{201565BA-0E2C-4352-B559-17BFBB02B073}"/>
    <cellStyle name="Normal 4 3 2 2 2 5 4" xfId="17473" xr:uid="{7DE6156D-18B9-407E-A333-6323163F346E}"/>
    <cellStyle name="Normal 4 3 2 2 2 5 5" xfId="9852" xr:uid="{87F4F7D5-B624-43DC-8F8C-720FA4DD6E0C}"/>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24244" xr:uid="{F15FD50F-DE12-4175-AC17-FDD596033080}"/>
    <cellStyle name="Normal 4 3 2 2 2 6 2 2 3" xfId="16623" xr:uid="{15BBF1ED-C27B-4509-BC76-25246988C2ED}"/>
    <cellStyle name="Normal 4 3 2 2 2 6 2 3" xfId="20031" xr:uid="{2313775C-3ECD-40A3-9A41-5334C37AC76D}"/>
    <cellStyle name="Normal 4 3 2 2 2 6 2 4" xfId="12410" xr:uid="{D17C8FC4-0753-4D83-BEC7-B7A1BAB3516B}"/>
    <cellStyle name="Normal 4 3 2 2 2 6 3" xfId="5983" xr:uid="{00000000-0005-0000-0000-000052140000}"/>
    <cellStyle name="Normal 4 3 2 2 2 6 3 2" xfId="22099" xr:uid="{F5854642-4A39-4CB1-A671-1CFB00217804}"/>
    <cellStyle name="Normal 4 3 2 2 2 6 3 3" xfId="14478" xr:uid="{6CA68E1D-E88D-4E38-8E74-A56C0CD7E717}"/>
    <cellStyle name="Normal 4 3 2 2 2 6 4" xfId="17886" xr:uid="{083E1390-66AD-4501-91C8-0E20EE8720C7}"/>
    <cellStyle name="Normal 4 3 2 2 2 6 5" xfId="10265" xr:uid="{70DC16B0-19F4-4C7A-AA1A-C44F834FAE88}"/>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24657" xr:uid="{0FFDAFE9-351F-48B2-99AF-BDB6F2591B26}"/>
    <cellStyle name="Normal 4 3 2 2 2 7 2 2 3" xfId="17036" xr:uid="{D33FB3DB-4B08-4995-AFC5-45D180C88CE3}"/>
    <cellStyle name="Normal 4 3 2 2 2 7 2 3" xfId="20444" xr:uid="{441FD547-6D80-4FE6-A2E4-F3016CDA5167}"/>
    <cellStyle name="Normal 4 3 2 2 2 7 2 4" xfId="12823" xr:uid="{80786B5C-8955-4D58-89C4-34CF0A2605FE}"/>
    <cellStyle name="Normal 4 3 2 2 2 7 3" xfId="6396" xr:uid="{00000000-0005-0000-0000-000056140000}"/>
    <cellStyle name="Normal 4 3 2 2 2 7 3 2" xfId="22512" xr:uid="{37CB80E0-A0F8-4A31-A518-4B5EC44A0FE9}"/>
    <cellStyle name="Normal 4 3 2 2 2 7 3 3" xfId="14891" xr:uid="{29F3F76E-B8AF-411D-BED3-387586D1351B}"/>
    <cellStyle name="Normal 4 3 2 2 2 7 4" xfId="18299" xr:uid="{8DBF55FD-C4A1-46EB-A333-2DDB91F6A8F3}"/>
    <cellStyle name="Normal 4 3 2 2 2 7 5" xfId="10678" xr:uid="{1F4C3D27-9E3B-4A6E-A3F1-B07AC09649A4}"/>
    <cellStyle name="Normal 4 3 2 2 2 8" xfId="2526" xr:uid="{00000000-0005-0000-0000-000057140000}"/>
    <cellStyle name="Normal 4 3 2 2 2 8 2" xfId="6809" xr:uid="{00000000-0005-0000-0000-000058140000}"/>
    <cellStyle name="Normal 4 3 2 2 2 8 2 2" xfId="22925" xr:uid="{9DF7DF93-8E7B-4574-85BF-8A526EB6AD2D}"/>
    <cellStyle name="Normal 4 3 2 2 2 8 2 3" xfId="15304" xr:uid="{F64FBEA4-8B64-41C5-9D0D-3EB6F00D15A9}"/>
    <cellStyle name="Normal 4 3 2 2 2 8 3" xfId="18712" xr:uid="{AD0B43EB-C739-4C6D-9371-6725EDC330B9}"/>
    <cellStyle name="Normal 4 3 2 2 2 8 4" xfId="11091" xr:uid="{1AE74761-D258-43C1-B553-AE934688A51D}"/>
    <cellStyle name="Normal 4 3 2 2 2 9" xfId="4744" xr:uid="{00000000-0005-0000-0000-000059140000}"/>
    <cellStyle name="Normal 4 3 2 2 2 9 2" xfId="20860" xr:uid="{1EDA4F10-9BF6-40B4-B903-06179CC3A57B}"/>
    <cellStyle name="Normal 4 3 2 2 2 9 3" xfId="13239" xr:uid="{64DDDA16-B769-4C73-8664-20AE5298E18B}"/>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23424" xr:uid="{13F05373-CF57-43D4-AF21-EC7AAAD70918}"/>
    <cellStyle name="Normal 4 3 3 2 2 2 2 2 3" xfId="15803" xr:uid="{90081192-D7C2-4F60-8773-FC954F61BFEA}"/>
    <cellStyle name="Normal 4 3 3 2 2 2 2 3" xfId="19211" xr:uid="{D4513360-461E-4579-8198-4C85E73B6B8C}"/>
    <cellStyle name="Normal 4 3 3 2 2 2 2 4" xfId="11590" xr:uid="{5DA56C15-C6E2-46E3-82A1-62F50164740C}"/>
    <cellStyle name="Normal 4 3 3 2 2 2 3" xfId="5163" xr:uid="{00000000-0005-0000-0000-000063140000}"/>
    <cellStyle name="Normal 4 3 3 2 2 2 3 2" xfId="21279" xr:uid="{58F27EAF-0B03-489F-9A81-11BF7211C765}"/>
    <cellStyle name="Normal 4 3 3 2 2 2 3 3" xfId="13658" xr:uid="{4164E075-3166-481B-9C85-925C3D3B0617}"/>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23837" xr:uid="{90CAF8D1-BF5F-4155-B444-01C6EEF557ED}"/>
    <cellStyle name="Normal 4 3 3 2 2 3 2 2 3" xfId="16216" xr:uid="{44145967-01CD-4E46-9190-CAE8AAFE1919}"/>
    <cellStyle name="Normal 4 3 3 2 2 3 2 3" xfId="19624" xr:uid="{30298945-8CD2-4FB1-B19E-817EDEC62635}"/>
    <cellStyle name="Normal 4 3 3 2 2 3 2 4" xfId="12003" xr:uid="{2028E69E-4A0E-4AD3-864C-0D0AED64F6D5}"/>
    <cellStyle name="Normal 4 3 3 2 2 3 3" xfId="5576" xr:uid="{00000000-0005-0000-0000-000067140000}"/>
    <cellStyle name="Normal 4 3 3 2 2 3 3 2" xfId="21692" xr:uid="{ABD6BB4F-75D1-4FC2-911F-1439E0EFB96E}"/>
    <cellStyle name="Normal 4 3 3 2 2 3 3 3" xfId="14071" xr:uid="{2E58D575-CA3C-46DB-8F20-4EC127F44920}"/>
    <cellStyle name="Normal 4 3 3 2 2 3 4" xfId="17479" xr:uid="{D7D56C52-E57E-4E01-870C-F442A602008B}"/>
    <cellStyle name="Normal 4 3 3 2 2 3 5" xfId="9858" xr:uid="{5976EA2E-122C-4780-942A-F42DBA896641}"/>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24250" xr:uid="{97A845E8-8A5E-4B3D-A396-5B48AEDD3B9C}"/>
    <cellStyle name="Normal 4 3 3 2 2 4 2 2 3" xfId="16629" xr:uid="{D0A9677B-4B56-4F58-B1FA-56D57D550B92}"/>
    <cellStyle name="Normal 4 3 3 2 2 4 2 3" xfId="20037" xr:uid="{3F94B1D7-88F9-4489-8781-55AD2901F196}"/>
    <cellStyle name="Normal 4 3 3 2 2 4 2 4" xfId="12416" xr:uid="{F65CD051-43F1-4B8F-8F28-476273865CDC}"/>
    <cellStyle name="Normal 4 3 3 2 2 4 3" xfId="5989" xr:uid="{00000000-0005-0000-0000-00006B140000}"/>
    <cellStyle name="Normal 4 3 3 2 2 4 3 2" xfId="22105" xr:uid="{E424E463-271C-491E-BBE5-8B10150C9ABE}"/>
    <cellStyle name="Normal 4 3 3 2 2 4 3 3" xfId="14484" xr:uid="{87174596-3D75-4BC6-8369-39CD834820A2}"/>
    <cellStyle name="Normal 4 3 3 2 2 4 4" xfId="17892" xr:uid="{C9CCA4BC-967F-4437-8CEA-ECCC2F2B9B43}"/>
    <cellStyle name="Normal 4 3 3 2 2 4 5" xfId="10271" xr:uid="{9C94B92F-E3EF-412D-B6F2-D92382309039}"/>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24663" xr:uid="{0E847EC9-823B-4310-95EC-A2C68AF7F979}"/>
    <cellStyle name="Normal 4 3 3 2 2 5 2 2 3" xfId="17042" xr:uid="{E04394D9-56F1-4818-927E-E6C7A76AD1D8}"/>
    <cellStyle name="Normal 4 3 3 2 2 5 2 3" xfId="20450" xr:uid="{DBCE80D0-8843-4541-AE6D-9CF690407DE6}"/>
    <cellStyle name="Normal 4 3 3 2 2 5 2 4" xfId="12829" xr:uid="{99374B51-2E4E-419B-AEBC-57C38ED4EBB1}"/>
    <cellStyle name="Normal 4 3 3 2 2 5 3" xfId="6402" xr:uid="{00000000-0005-0000-0000-00006F140000}"/>
    <cellStyle name="Normal 4 3 3 2 2 5 3 2" xfId="22518" xr:uid="{88CC428B-17CB-4EAF-A000-2BA550034BE9}"/>
    <cellStyle name="Normal 4 3 3 2 2 5 3 3" xfId="14897" xr:uid="{91E56897-2433-42DF-8290-E3AC76FBAC4F}"/>
    <cellStyle name="Normal 4 3 3 2 2 5 4" xfId="18305" xr:uid="{69EAB3B6-B55F-42B9-A67E-9193F78C48A7}"/>
    <cellStyle name="Normal 4 3 3 2 2 5 5" xfId="10684" xr:uid="{55941B1C-DFEA-4952-AE75-93B705C0C175}"/>
    <cellStyle name="Normal 4 3 3 2 2 6" xfId="2532" xr:uid="{00000000-0005-0000-0000-000070140000}"/>
    <cellStyle name="Normal 4 3 3 2 2 6 2" xfId="6815" xr:uid="{00000000-0005-0000-0000-000071140000}"/>
    <cellStyle name="Normal 4 3 3 2 2 6 2 2" xfId="22931" xr:uid="{062ABF02-A37F-4123-83F1-3E21D65FE26D}"/>
    <cellStyle name="Normal 4 3 3 2 2 6 2 3" xfId="15310" xr:uid="{23EA1B03-FD7D-4D37-A155-FEBFEE9FFDAF}"/>
    <cellStyle name="Normal 4 3 3 2 2 6 3" xfId="18718" xr:uid="{6FE59268-D8F8-4A3A-91B7-7E12BC8B502A}"/>
    <cellStyle name="Normal 4 3 3 2 2 6 4" xfId="11097" xr:uid="{33321875-F7C2-4306-AF4A-DC89AD82C44D}"/>
    <cellStyle name="Normal 4 3 3 2 2 7" xfId="4750" xr:uid="{00000000-0005-0000-0000-000072140000}"/>
    <cellStyle name="Normal 4 3 3 2 2 7 2" xfId="20866" xr:uid="{56A79722-A896-47B0-9600-A8BD69BB3625}"/>
    <cellStyle name="Normal 4 3 3 2 2 7 3" xfId="13245" xr:uid="{3CD16795-56A6-4F5E-B416-3A77E7B29DF3}"/>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23423" xr:uid="{6ECCC5BD-E128-45FF-B0C2-E78547C79710}"/>
    <cellStyle name="Normal 4 3 3 2 3 2 2 3" xfId="15802" xr:uid="{12405A29-FB32-4E13-94EC-7339CFE6C0ED}"/>
    <cellStyle name="Normal 4 3 3 2 3 2 3" xfId="19210" xr:uid="{631146B2-6F58-48F0-8308-891F09433F4E}"/>
    <cellStyle name="Normal 4 3 3 2 3 2 4" xfId="11589" xr:uid="{5236BE3A-A75B-4959-9735-A76927152413}"/>
    <cellStyle name="Normal 4 3 3 2 3 3" xfId="5162" xr:uid="{00000000-0005-0000-0000-000076140000}"/>
    <cellStyle name="Normal 4 3 3 2 3 3 2" xfId="21278" xr:uid="{D29D3F9F-4961-43E8-AE0F-57CD0AA584F6}"/>
    <cellStyle name="Normal 4 3 3 2 3 3 3" xfId="13657" xr:uid="{356FB571-1E17-4A88-B0BD-D7384D8C5A8F}"/>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23836" xr:uid="{7F1EABF1-AC86-4CF6-8959-EC67D7CD0E34}"/>
    <cellStyle name="Normal 4 3 3 2 4 2 2 3" xfId="16215" xr:uid="{0918979F-16A4-4601-89D0-4C0E36703152}"/>
    <cellStyle name="Normal 4 3 3 2 4 2 3" xfId="19623" xr:uid="{29D2550B-FAC4-43A2-B356-128B2068B279}"/>
    <cellStyle name="Normal 4 3 3 2 4 2 4" xfId="12002" xr:uid="{3D1AC45B-775D-479A-B607-028D56A9AA33}"/>
    <cellStyle name="Normal 4 3 3 2 4 3" xfId="5575" xr:uid="{00000000-0005-0000-0000-00007A140000}"/>
    <cellStyle name="Normal 4 3 3 2 4 3 2" xfId="21691" xr:uid="{D3683DEB-0D96-4874-A7D2-3A0D9FCD8AEA}"/>
    <cellStyle name="Normal 4 3 3 2 4 3 3" xfId="14070" xr:uid="{6BC997A0-4750-4B2F-AB8D-84C8C931ABDD}"/>
    <cellStyle name="Normal 4 3 3 2 4 4" xfId="17478" xr:uid="{A6D62BBE-323B-46B3-BB7C-756F233AF42E}"/>
    <cellStyle name="Normal 4 3 3 2 4 5" xfId="9857" xr:uid="{B9F91CF2-9BFD-4FB4-8BE3-4583230EE6A4}"/>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24249" xr:uid="{017A554C-A56A-4F37-9DAB-02D689BABB06}"/>
    <cellStyle name="Normal 4 3 3 2 5 2 2 3" xfId="16628" xr:uid="{4038A8F7-3AD8-4AE9-BA33-9C69D86A23A2}"/>
    <cellStyle name="Normal 4 3 3 2 5 2 3" xfId="20036" xr:uid="{AC6D1DC0-9785-4057-95BC-F863DC179846}"/>
    <cellStyle name="Normal 4 3 3 2 5 2 4" xfId="12415" xr:uid="{5B55FE0F-7E5C-49CC-99E5-EC5A3524117A}"/>
    <cellStyle name="Normal 4 3 3 2 5 3" xfId="5988" xr:uid="{00000000-0005-0000-0000-00007E140000}"/>
    <cellStyle name="Normal 4 3 3 2 5 3 2" xfId="22104" xr:uid="{94E5F8A8-831D-4111-BA5E-AF384CC3F76D}"/>
    <cellStyle name="Normal 4 3 3 2 5 3 3" xfId="14483" xr:uid="{3A405EF6-7AD2-4D38-8AA3-9F9E82F7844B}"/>
    <cellStyle name="Normal 4 3 3 2 5 4" xfId="17891" xr:uid="{B5E7656C-4DEF-47F9-AD73-931BAC938C44}"/>
    <cellStyle name="Normal 4 3 3 2 5 5" xfId="10270" xr:uid="{4C386C4A-AF30-4FD3-B3E7-DC643BC47E99}"/>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24662" xr:uid="{E90F2BEE-BB5A-4797-AC1D-4C1004C1E091}"/>
    <cellStyle name="Normal 4 3 3 2 6 2 2 3" xfId="17041" xr:uid="{2A2C5F7F-46A5-45D5-BEC2-5E870F8E089B}"/>
    <cellStyle name="Normal 4 3 3 2 6 2 3" xfId="20449" xr:uid="{C35FDF31-D21C-4AC1-860A-F4D048023D81}"/>
    <cellStyle name="Normal 4 3 3 2 6 2 4" xfId="12828" xr:uid="{2089EFE7-6662-4663-87C3-83D42CE85946}"/>
    <cellStyle name="Normal 4 3 3 2 6 3" xfId="6401" xr:uid="{00000000-0005-0000-0000-000082140000}"/>
    <cellStyle name="Normal 4 3 3 2 6 3 2" xfId="22517" xr:uid="{4347AE86-666E-49D9-A6AC-C5F027443007}"/>
    <cellStyle name="Normal 4 3 3 2 6 3 3" xfId="14896" xr:uid="{0C55B604-BF15-499A-BF8A-F594F0BAD5C6}"/>
    <cellStyle name="Normal 4 3 3 2 6 4" xfId="18304" xr:uid="{16E4167F-0645-43F8-9991-FD53D4F3E7D9}"/>
    <cellStyle name="Normal 4 3 3 2 6 5" xfId="10683" xr:uid="{3C52056B-5BD4-4E9B-98B8-7DD1A6A23C46}"/>
    <cellStyle name="Normal 4 3 3 2 7" xfId="2531" xr:uid="{00000000-0005-0000-0000-000083140000}"/>
    <cellStyle name="Normal 4 3 3 2 7 2" xfId="6814" xr:uid="{00000000-0005-0000-0000-000084140000}"/>
    <cellStyle name="Normal 4 3 3 2 7 2 2" xfId="22930" xr:uid="{09201CC0-315D-48E9-BD0E-5B4AF9D87952}"/>
    <cellStyle name="Normal 4 3 3 2 7 2 3" xfId="15309" xr:uid="{9B6F841A-923F-46BD-BFBE-D675C67E345E}"/>
    <cellStyle name="Normal 4 3 3 2 7 3" xfId="18717" xr:uid="{9FEA8900-678A-4F8D-B6C0-EF7DF099906A}"/>
    <cellStyle name="Normal 4 3 3 2 7 4" xfId="11096" xr:uid="{029AE1F8-6659-4352-91D9-69AAD1CE2596}"/>
    <cellStyle name="Normal 4 3 3 2 8" xfId="4749" xr:uid="{00000000-0005-0000-0000-000085140000}"/>
    <cellStyle name="Normal 4 3 3 2 8 2" xfId="20865" xr:uid="{D761137E-CC58-4284-BDE9-00C17BF8491F}"/>
    <cellStyle name="Normal 4 3 3 2 8 3" xfId="13244" xr:uid="{B08C6920-B720-4995-8CD1-9A343424F9BA}"/>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23425" xr:uid="{8A191BEC-B5F3-4EA3-88A3-D3D9DA49FE40}"/>
    <cellStyle name="Normal 4 3 3 3 2 2 2 3" xfId="15804" xr:uid="{4ADDB771-852E-412E-A928-8403AE0A2545}"/>
    <cellStyle name="Normal 4 3 3 3 2 2 3" xfId="19212" xr:uid="{38C43F03-6F7A-4B2B-9986-1D9721CE9325}"/>
    <cellStyle name="Normal 4 3 3 3 2 2 4" xfId="11591" xr:uid="{955E72B3-25AF-43E5-A1A3-820D40FB243A}"/>
    <cellStyle name="Normal 4 3 3 3 2 3" xfId="5164" xr:uid="{00000000-0005-0000-0000-00008A140000}"/>
    <cellStyle name="Normal 4 3 3 3 2 3 2" xfId="21280" xr:uid="{BB3FBB73-EC67-41CD-B4F2-D67A34CE4680}"/>
    <cellStyle name="Normal 4 3 3 3 2 3 3" xfId="13659" xr:uid="{80E065F1-BAA0-405F-AEA9-8530B03943AE}"/>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23838" xr:uid="{C325A3D0-65F6-45D3-B4E5-55C9B0EB16C8}"/>
    <cellStyle name="Normal 4 3 3 3 3 2 2 3" xfId="16217" xr:uid="{207D777A-4351-4E59-9EA5-17C83F85E3B4}"/>
    <cellStyle name="Normal 4 3 3 3 3 2 3" xfId="19625" xr:uid="{D3B33AB5-D6C8-4007-9739-7F09FF4F5A02}"/>
    <cellStyle name="Normal 4 3 3 3 3 2 4" xfId="12004" xr:uid="{B05AF737-0F69-4BAC-86E3-E262EAD88F76}"/>
    <cellStyle name="Normal 4 3 3 3 3 3" xfId="5577" xr:uid="{00000000-0005-0000-0000-00008E140000}"/>
    <cellStyle name="Normal 4 3 3 3 3 3 2" xfId="21693" xr:uid="{125BBE7B-DE02-4EA6-AFF2-10EF9C7D9173}"/>
    <cellStyle name="Normal 4 3 3 3 3 3 3" xfId="14072" xr:uid="{23B13544-72A5-469C-971A-8FC88CD4DF1F}"/>
    <cellStyle name="Normal 4 3 3 3 3 4" xfId="17480" xr:uid="{4539B943-CC9C-41B8-BE61-37EA7AB733F6}"/>
    <cellStyle name="Normal 4 3 3 3 3 5" xfId="9859" xr:uid="{8577B143-2D1C-4CC1-ADA8-ECEE7F7063B1}"/>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24251" xr:uid="{D25CE782-87BE-4265-9FB3-C6AEEA4A2D35}"/>
    <cellStyle name="Normal 4 3 3 3 4 2 2 3" xfId="16630" xr:uid="{231BF5CB-3D25-4712-9B26-A97B27BB83A3}"/>
    <cellStyle name="Normal 4 3 3 3 4 2 3" xfId="20038" xr:uid="{4F6D9CBF-59F3-4B96-B73C-8FBBDF8D588F}"/>
    <cellStyle name="Normal 4 3 3 3 4 2 4" xfId="12417" xr:uid="{617CAAC5-DBD2-4E4E-9160-EC9ECD5C379A}"/>
    <cellStyle name="Normal 4 3 3 3 4 3" xfId="5990" xr:uid="{00000000-0005-0000-0000-000092140000}"/>
    <cellStyle name="Normal 4 3 3 3 4 3 2" xfId="22106" xr:uid="{6DB62340-352B-40CA-9A07-957E5B7E5D78}"/>
    <cellStyle name="Normal 4 3 3 3 4 3 3" xfId="14485" xr:uid="{12377953-5BB1-478C-A58F-87B3F1EF33A6}"/>
    <cellStyle name="Normal 4 3 3 3 4 4" xfId="17893" xr:uid="{AEA4F70F-20D7-4139-A1B9-127D02F2CC4B}"/>
    <cellStyle name="Normal 4 3 3 3 4 5" xfId="10272" xr:uid="{66DE47D1-8156-439E-B8AC-69A9A3092144}"/>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24664" xr:uid="{8E6FBE6A-10D6-4EE9-BCBC-4AC24F48751A}"/>
    <cellStyle name="Normal 4 3 3 3 5 2 2 3" xfId="17043" xr:uid="{FF25ECAC-9F4A-4DC7-BE1F-D6DBB66F9CB2}"/>
    <cellStyle name="Normal 4 3 3 3 5 2 3" xfId="20451" xr:uid="{12CAF7E2-52EF-4FD2-8998-9BD005E5C860}"/>
    <cellStyle name="Normal 4 3 3 3 5 2 4" xfId="12830" xr:uid="{30F5B465-15FE-4BE6-B69A-C7A4F77A09E3}"/>
    <cellStyle name="Normal 4 3 3 3 5 3" xfId="6403" xr:uid="{00000000-0005-0000-0000-000096140000}"/>
    <cellStyle name="Normal 4 3 3 3 5 3 2" xfId="22519" xr:uid="{60049E62-1A09-433F-BC76-AE716FB730AA}"/>
    <cellStyle name="Normal 4 3 3 3 5 3 3" xfId="14898" xr:uid="{89534C0F-D6F5-42B8-87AB-B765B872572D}"/>
    <cellStyle name="Normal 4 3 3 3 5 4" xfId="18306" xr:uid="{96319DF0-20F6-4EA6-BB68-4E007162BDDE}"/>
    <cellStyle name="Normal 4 3 3 3 5 5" xfId="10685" xr:uid="{60CB9791-968A-4A52-B651-28F1F9ECE2F8}"/>
    <cellStyle name="Normal 4 3 3 3 6" xfId="2533" xr:uid="{00000000-0005-0000-0000-000097140000}"/>
    <cellStyle name="Normal 4 3 3 3 6 2" xfId="6816" xr:uid="{00000000-0005-0000-0000-000098140000}"/>
    <cellStyle name="Normal 4 3 3 3 6 2 2" xfId="22932" xr:uid="{1BBCEB23-C394-49A9-BC22-307171976F47}"/>
    <cellStyle name="Normal 4 3 3 3 6 2 3" xfId="15311" xr:uid="{562F2558-98D5-4E18-AB11-F2C138F86875}"/>
    <cellStyle name="Normal 4 3 3 3 6 3" xfId="18719" xr:uid="{CDBB9CF0-9678-400B-B25F-81743128A608}"/>
    <cellStyle name="Normal 4 3 3 3 6 4" xfId="11098" xr:uid="{D2C012ED-19E5-4250-8E78-A6A328EBCAC5}"/>
    <cellStyle name="Normal 4 3 3 3 7" xfId="4751" xr:uid="{00000000-0005-0000-0000-000099140000}"/>
    <cellStyle name="Normal 4 3 3 3 7 2" xfId="20867" xr:uid="{222F0A55-F759-4886-984A-EF6D2D10A0BF}"/>
    <cellStyle name="Normal 4 3 3 3 7 3" xfId="13246" xr:uid="{5B188694-07DF-4CCC-8F2D-C9F602FEEEF7}"/>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2 2 2" xfId="23422" xr:uid="{4F823B13-5EFA-4A02-BC75-4CDD691C3861}"/>
    <cellStyle name="Normal 4 3 3 4 2 2 3" xfId="15801" xr:uid="{BDD3B4EE-F4E0-4226-B96A-29722BBFFB1C}"/>
    <cellStyle name="Normal 4 3 3 4 2 3" xfId="19209" xr:uid="{AB0BC6FA-566B-43B4-AD72-AF5707F48F31}"/>
    <cellStyle name="Normal 4 3 3 4 2 4" xfId="11588" xr:uid="{3D11816E-EF64-4D51-9AA8-594F59458468}"/>
    <cellStyle name="Normal 4 3 3 4 3" xfId="5161" xr:uid="{00000000-0005-0000-0000-00009D140000}"/>
    <cellStyle name="Normal 4 3 3 4 3 2" xfId="21277" xr:uid="{5DB4D0E5-8A59-437F-91B4-ADC6C8DB0559}"/>
    <cellStyle name="Normal 4 3 3 4 3 3" xfId="13656" xr:uid="{2FE021CF-D7AD-405A-A5AB-868C0DA48F8B}"/>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2 2 2" xfId="23835" xr:uid="{D71FE76A-FC8F-4CC2-8AC4-63C7E0AB7267}"/>
    <cellStyle name="Normal 4 3 3 5 2 2 3" xfId="16214" xr:uid="{2C4602F0-DE3E-40A2-A3EF-5422FE380229}"/>
    <cellStyle name="Normal 4 3 3 5 2 3" xfId="19622" xr:uid="{1D150188-930C-490D-A72C-1D5F6D4E03AA}"/>
    <cellStyle name="Normal 4 3 3 5 2 4" xfId="12001" xr:uid="{880C1901-077F-45A0-8FD3-199CC527FA02}"/>
    <cellStyle name="Normal 4 3 3 5 3" xfId="5574" xr:uid="{00000000-0005-0000-0000-0000A1140000}"/>
    <cellStyle name="Normal 4 3 3 5 3 2" xfId="21690" xr:uid="{E1F30D77-E04D-4CA0-A750-61A3845681F8}"/>
    <cellStyle name="Normal 4 3 3 5 3 3" xfId="14069" xr:uid="{C28F99B1-4355-4A5A-A279-51D8964E24D2}"/>
    <cellStyle name="Normal 4 3 3 5 4" xfId="17477" xr:uid="{68A572E3-EE40-484B-8E31-02FF03D883E6}"/>
    <cellStyle name="Normal 4 3 3 5 5" xfId="9856" xr:uid="{BA43DBD4-885F-4460-890A-7F5E939D7923}"/>
    <cellStyle name="Normal 4 3 3 6" xfId="1680" xr:uid="{00000000-0005-0000-0000-0000A2140000}"/>
    <cellStyle name="Normal 4 3 3 6 2" xfId="3910" xr:uid="{00000000-0005-0000-0000-0000A3140000}"/>
    <cellStyle name="Normal 4 3 3 6 2 2" xfId="8132" xr:uid="{00000000-0005-0000-0000-0000A4140000}"/>
    <cellStyle name="Normal 4 3 3 6 2 2 2" xfId="24248" xr:uid="{A2137430-2BE0-49B8-A745-5BC133C769E9}"/>
    <cellStyle name="Normal 4 3 3 6 2 2 3" xfId="16627" xr:uid="{7A1B9896-AD5A-48E5-A44E-49590B813389}"/>
    <cellStyle name="Normal 4 3 3 6 2 3" xfId="20035" xr:uid="{117EC04A-8BC9-4E2B-9C48-69649BB66CB3}"/>
    <cellStyle name="Normal 4 3 3 6 2 4" xfId="12414" xr:uid="{6C2A0B98-BB3A-444C-9A71-76A5C5895732}"/>
    <cellStyle name="Normal 4 3 3 6 3" xfId="5987" xr:uid="{00000000-0005-0000-0000-0000A5140000}"/>
    <cellStyle name="Normal 4 3 3 6 3 2" xfId="22103" xr:uid="{A41CAE06-0F32-4335-9A90-83B7E391180F}"/>
    <cellStyle name="Normal 4 3 3 6 3 3" xfId="14482" xr:uid="{7DE5DB8D-E15D-4724-8BDF-9065FA71ED4D}"/>
    <cellStyle name="Normal 4 3 3 6 4" xfId="17890" xr:uid="{BB733535-FBF5-455C-AFA8-960D838F8AEF}"/>
    <cellStyle name="Normal 4 3 3 6 5" xfId="10269" xr:uid="{F16B6ADC-747F-4E43-88B9-48A7F86EF2CC}"/>
    <cellStyle name="Normal 4 3 3 7" xfId="2094" xr:uid="{00000000-0005-0000-0000-0000A6140000}"/>
    <cellStyle name="Normal 4 3 3 7 2" xfId="4323" xr:uid="{00000000-0005-0000-0000-0000A7140000}"/>
    <cellStyle name="Normal 4 3 3 7 2 2" xfId="8545" xr:uid="{00000000-0005-0000-0000-0000A8140000}"/>
    <cellStyle name="Normal 4 3 3 7 2 2 2" xfId="24661" xr:uid="{FE58679D-F207-4F54-9D67-54FBF64A24BF}"/>
    <cellStyle name="Normal 4 3 3 7 2 2 3" xfId="17040" xr:uid="{EEC0D5A4-7DA8-453E-8F32-3D96B31FA917}"/>
    <cellStyle name="Normal 4 3 3 7 2 3" xfId="20448" xr:uid="{6A55A6B4-7714-4606-BB65-F3D54B0628DB}"/>
    <cellStyle name="Normal 4 3 3 7 2 4" xfId="12827" xr:uid="{448FF98C-0334-4660-A30C-92608AB6C00A}"/>
    <cellStyle name="Normal 4 3 3 7 3" xfId="6400" xr:uid="{00000000-0005-0000-0000-0000A9140000}"/>
    <cellStyle name="Normal 4 3 3 7 3 2" xfId="22516" xr:uid="{988160B2-D566-4310-8847-81DA457ACFB6}"/>
    <cellStyle name="Normal 4 3 3 7 3 3" xfId="14895" xr:uid="{FB9FBAF8-3450-48FB-A16A-AC72A5C3AD0C}"/>
    <cellStyle name="Normal 4 3 3 7 4" xfId="18303" xr:uid="{244CA3B1-676A-485E-A9B2-0F4C8DD69B0B}"/>
    <cellStyle name="Normal 4 3 3 7 5" xfId="10682" xr:uid="{64F59DA3-357C-4E79-8405-4F52937E7A22}"/>
    <cellStyle name="Normal 4 3 3 8" xfId="2530" xr:uid="{00000000-0005-0000-0000-0000AA140000}"/>
    <cellStyle name="Normal 4 3 3 8 2" xfId="6813" xr:uid="{00000000-0005-0000-0000-0000AB140000}"/>
    <cellStyle name="Normal 4 3 3 8 2 2" xfId="22929" xr:uid="{9C5AF093-9C5F-432E-8FDD-8A572A7C1EF1}"/>
    <cellStyle name="Normal 4 3 3 8 2 3" xfId="15308" xr:uid="{EA7E3A60-E2F3-4FD6-83F4-789C0527AC34}"/>
    <cellStyle name="Normal 4 3 3 8 3" xfId="18716" xr:uid="{196E6D27-7070-41E8-80C7-E35DAEF29634}"/>
    <cellStyle name="Normal 4 3 3 8 4" xfId="11095" xr:uid="{665C984F-28E0-4DC1-AE2F-ACF3E8D1C5D4}"/>
    <cellStyle name="Normal 4 3 3 9" xfId="4748" xr:uid="{00000000-0005-0000-0000-0000AC140000}"/>
    <cellStyle name="Normal 4 3 3 9 2" xfId="20864" xr:uid="{A9EF9CAB-28A3-4C5C-BF4C-A1B38C144828}"/>
    <cellStyle name="Normal 4 3 3 9 3" xfId="13243" xr:uid="{784DDAA5-D76D-4D1E-8D0B-33240739F19E}"/>
    <cellStyle name="Normal 4 3 4" xfId="842" xr:uid="{00000000-0005-0000-0000-0000AD140000}"/>
    <cellStyle name="Normal 4 3 4 2" xfId="3079" xr:uid="{00000000-0005-0000-0000-0000AE140000}"/>
    <cellStyle name="Normal 4 3 4 2 2" xfId="7301" xr:uid="{00000000-0005-0000-0000-0000AF140000}"/>
    <cellStyle name="Normal 4 3 4 2 2 2" xfId="23417" xr:uid="{983C2BD0-011A-42E9-87DD-F1E06D59794D}"/>
    <cellStyle name="Normal 4 3 4 2 2 3" xfId="15796" xr:uid="{D70FA6DA-DFA0-4551-B0E5-0CC27F6D9901}"/>
    <cellStyle name="Normal 4 3 4 2 3" xfId="19204" xr:uid="{636EE823-704C-4BA2-9E31-F1707F456286}"/>
    <cellStyle name="Normal 4 3 4 2 4" xfId="11583" xr:uid="{8E743704-E3F4-44EC-AE3B-A3D9F015DE16}"/>
    <cellStyle name="Normal 4 3 4 3" xfId="5156" xr:uid="{00000000-0005-0000-0000-0000B0140000}"/>
    <cellStyle name="Normal 4 3 4 3 2" xfId="21272" xr:uid="{25D813A6-DFE1-40CD-8DA0-79EE7060171B}"/>
    <cellStyle name="Normal 4 3 4 3 3" xfId="13651" xr:uid="{4DC390EE-F5EE-4055-830A-43CDB17101BD}"/>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2 2 2" xfId="23830" xr:uid="{EB47FE0B-1A26-4F21-B006-26B5ECBFED88}"/>
    <cellStyle name="Normal 4 3 5 2 2 3" xfId="16209" xr:uid="{D416D23F-E816-4BDD-BC89-B51B4180F8B7}"/>
    <cellStyle name="Normal 4 3 5 2 3" xfId="19617" xr:uid="{02C77765-0657-4D45-8F79-3E7303104244}"/>
    <cellStyle name="Normal 4 3 5 2 4" xfId="11996" xr:uid="{624BA9CD-AFBC-45D0-B0B5-4E381FC5C361}"/>
    <cellStyle name="Normal 4 3 5 3" xfId="5569" xr:uid="{00000000-0005-0000-0000-0000B4140000}"/>
    <cellStyle name="Normal 4 3 5 3 2" xfId="21685" xr:uid="{DCC8F693-A6D1-4BD9-97D8-CEB11E32EA80}"/>
    <cellStyle name="Normal 4 3 5 3 3" xfId="14064" xr:uid="{FFC174B3-5B90-40A3-864B-9E584ECE5356}"/>
    <cellStyle name="Normal 4 3 5 4" xfId="17472" xr:uid="{44921583-AF54-4FDE-B561-FCE8DF096863}"/>
    <cellStyle name="Normal 4 3 5 5" xfId="9851" xr:uid="{8D9B70A1-05FE-460B-B2C9-8FCE42781141}"/>
    <cellStyle name="Normal 4 3 6" xfId="1675" xr:uid="{00000000-0005-0000-0000-0000B5140000}"/>
    <cellStyle name="Normal 4 3 6 2" xfId="3905" xr:uid="{00000000-0005-0000-0000-0000B6140000}"/>
    <cellStyle name="Normal 4 3 6 2 2" xfId="8127" xr:uid="{00000000-0005-0000-0000-0000B7140000}"/>
    <cellStyle name="Normal 4 3 6 2 2 2" xfId="24243" xr:uid="{AD77AA63-D575-4766-913F-B1A69C0727EB}"/>
    <cellStyle name="Normal 4 3 6 2 2 3" xfId="16622" xr:uid="{65F0BCB1-5143-49DE-9675-F39653F90984}"/>
    <cellStyle name="Normal 4 3 6 2 3" xfId="20030" xr:uid="{03A3997D-F559-4137-B2B3-EB88F3808E19}"/>
    <cellStyle name="Normal 4 3 6 2 4" xfId="12409" xr:uid="{65EFF374-E860-4D58-8F3B-4E0D4594880C}"/>
    <cellStyle name="Normal 4 3 6 3" xfId="5982" xr:uid="{00000000-0005-0000-0000-0000B8140000}"/>
    <cellStyle name="Normal 4 3 6 3 2" xfId="22098" xr:uid="{C6CA4DF2-3570-410C-ADCD-612828AD8E99}"/>
    <cellStyle name="Normal 4 3 6 3 3" xfId="14477" xr:uid="{A55B4F98-E235-4CC2-8616-12DF3139A50A}"/>
    <cellStyle name="Normal 4 3 6 4" xfId="17885" xr:uid="{FBC73230-70B6-47EC-BEC8-AED47F2AFF09}"/>
    <cellStyle name="Normal 4 3 6 5" xfId="10264" xr:uid="{72B2B841-3C04-475C-A91A-7CCEEC291A34}"/>
    <cellStyle name="Normal 4 3 7" xfId="2089" xr:uid="{00000000-0005-0000-0000-0000B9140000}"/>
    <cellStyle name="Normal 4 3 7 2" xfId="4318" xr:uid="{00000000-0005-0000-0000-0000BA140000}"/>
    <cellStyle name="Normal 4 3 7 2 2" xfId="8540" xr:uid="{00000000-0005-0000-0000-0000BB140000}"/>
    <cellStyle name="Normal 4 3 7 2 2 2" xfId="24656" xr:uid="{4F4BFC41-18BB-4786-80A7-DD7EAC618D0B}"/>
    <cellStyle name="Normal 4 3 7 2 2 3" xfId="17035" xr:uid="{D46A1113-00B2-4822-AB82-82C4E06D8961}"/>
    <cellStyle name="Normal 4 3 7 2 3" xfId="20443" xr:uid="{6DD213F1-6FE7-4948-8120-25D46BE6CA74}"/>
    <cellStyle name="Normal 4 3 7 2 4" xfId="12822" xr:uid="{164D91B5-B996-49D5-9171-173E41E48FB2}"/>
    <cellStyle name="Normal 4 3 7 3" xfId="6395" xr:uid="{00000000-0005-0000-0000-0000BC140000}"/>
    <cellStyle name="Normal 4 3 7 3 2" xfId="22511" xr:uid="{232F395A-0EC7-473D-8C44-472B2EF3851A}"/>
    <cellStyle name="Normal 4 3 7 3 3" xfId="14890" xr:uid="{CD482B2A-8033-4B00-BBBA-5C6FE482CACC}"/>
    <cellStyle name="Normal 4 3 7 4" xfId="18298" xr:uid="{557DB4B1-97A3-430C-8F58-027C4FD79407}"/>
    <cellStyle name="Normal 4 3 7 5" xfId="10677" xr:uid="{E778E972-0037-41C5-9C8E-7FC51DD2EF38}"/>
    <cellStyle name="Normal 4 3 8" xfId="2525" xr:uid="{00000000-0005-0000-0000-0000BD140000}"/>
    <cellStyle name="Normal 4 3 8 2" xfId="6808" xr:uid="{00000000-0005-0000-0000-0000BE140000}"/>
    <cellStyle name="Normal 4 3 8 2 2" xfId="22924" xr:uid="{ED0241CD-ED2D-418F-BE0D-119215ACC19E}"/>
    <cellStyle name="Normal 4 3 8 2 3" xfId="15303" xr:uid="{04F09A51-3B41-463B-904E-9FC117FBE4AB}"/>
    <cellStyle name="Normal 4 3 8 3" xfId="18711" xr:uid="{D53F6075-22F9-43C7-B54F-F9855816AEFD}"/>
    <cellStyle name="Normal 4 3 8 4" xfId="11090" xr:uid="{8F1C05FD-D3DF-4043-8D60-00A41560405A}"/>
    <cellStyle name="Normal 4 3 9" xfId="4743" xr:uid="{00000000-0005-0000-0000-0000BF140000}"/>
    <cellStyle name="Normal 4 3 9 2" xfId="20859" xr:uid="{CE612A45-D57E-4C44-825E-65DD77DE534E}"/>
    <cellStyle name="Normal 4 3 9 3" xfId="13238" xr:uid="{36AF406F-08DD-4068-ACC4-0EF1F4E37893}"/>
    <cellStyle name="Normal 4 4" xfId="378" xr:uid="{00000000-0005-0000-0000-0000C0140000}"/>
    <cellStyle name="Normal 4 4 10" xfId="2534" xr:uid="{00000000-0005-0000-0000-0000C1140000}"/>
    <cellStyle name="Normal 4 4 10 2" xfId="6817" xr:uid="{00000000-0005-0000-0000-0000C2140000}"/>
    <cellStyle name="Normal 4 4 10 2 2" xfId="22933" xr:uid="{77767204-D209-4BE4-9AB1-566C57C00694}"/>
    <cellStyle name="Normal 4 4 10 2 3" xfId="15312" xr:uid="{D5188203-DBF0-41BB-B7D5-436973F9E76A}"/>
    <cellStyle name="Normal 4 4 10 3" xfId="18720" xr:uid="{85D591E8-5839-4E6B-B76C-A763C62917C1}"/>
    <cellStyle name="Normal 4 4 10 4" xfId="11099" xr:uid="{E9A6E091-658E-4750-80CB-E4786F8FFE91}"/>
    <cellStyle name="Normal 4 4 11" xfId="4752" xr:uid="{00000000-0005-0000-0000-0000C3140000}"/>
    <cellStyle name="Normal 4 4 11 2" xfId="20868" xr:uid="{15B32237-B3E7-4EA9-B9C6-CCC9C56F1850}"/>
    <cellStyle name="Normal 4 4 11 3" xfId="13247" xr:uid="{3400F7E6-A156-4506-8D80-B8F2D3CF11F5}"/>
    <cellStyle name="Normal 4 4 12" xfId="8749" xr:uid="{A91736B6-873D-4B1A-8B29-18DC69E5E65F}"/>
    <cellStyle name="Normal 4 4 2" xfId="379" xr:uid="{00000000-0005-0000-0000-0000C4140000}"/>
    <cellStyle name="Normal 4 4 2 10" xfId="4753" xr:uid="{00000000-0005-0000-0000-0000C5140000}"/>
    <cellStyle name="Normal 4 4 2 10 2" xfId="20869" xr:uid="{3B0D47DF-4859-436B-B1DA-39C4D1C58A0C}"/>
    <cellStyle name="Normal 4 4 2 10 3" xfId="13248" xr:uid="{2EF0E71E-9DE4-4143-9409-A03F69ED977F}"/>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23430" xr:uid="{8DE4D988-6A2A-4634-8780-CE2FF28E836C}"/>
    <cellStyle name="Normal 4 4 2 2 2 2 2 2 2 3" xfId="15809" xr:uid="{92A172AA-BD82-400B-8654-B2CF22121F43}"/>
    <cellStyle name="Normal 4 4 2 2 2 2 2 2 3" xfId="19217" xr:uid="{3A2B20E8-6503-47D5-ACB7-EC98F6E8CD84}"/>
    <cellStyle name="Normal 4 4 2 2 2 2 2 2 4" xfId="11596" xr:uid="{6F4B6E51-3B3B-45CD-8206-1A99D1244B0E}"/>
    <cellStyle name="Normal 4 4 2 2 2 2 2 3" xfId="5169" xr:uid="{00000000-0005-0000-0000-0000CC140000}"/>
    <cellStyle name="Normal 4 4 2 2 2 2 2 3 2" xfId="21285" xr:uid="{67AAA92F-AA85-4065-AA05-2AD7EF5D5D72}"/>
    <cellStyle name="Normal 4 4 2 2 2 2 2 3 3" xfId="13664" xr:uid="{56DBA1B1-22F1-4019-823A-A335B0896B4D}"/>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23843" xr:uid="{C0D0A342-8555-4EDB-A595-A72635E26948}"/>
    <cellStyle name="Normal 4 4 2 2 2 2 3 2 2 3" xfId="16222" xr:uid="{7CE11E33-D36F-4153-8B68-482C6B42B9F5}"/>
    <cellStyle name="Normal 4 4 2 2 2 2 3 2 3" xfId="19630" xr:uid="{FDAF22A6-1255-4693-B6FD-35A824AA25B2}"/>
    <cellStyle name="Normal 4 4 2 2 2 2 3 2 4" xfId="12009" xr:uid="{9708B673-FFC8-487A-85D3-8C1138A1679C}"/>
    <cellStyle name="Normal 4 4 2 2 2 2 3 3" xfId="5582" xr:uid="{00000000-0005-0000-0000-0000D0140000}"/>
    <cellStyle name="Normal 4 4 2 2 2 2 3 3 2" xfId="21698" xr:uid="{7DDFDC07-2622-4F46-82D7-18B81AD67C8D}"/>
    <cellStyle name="Normal 4 4 2 2 2 2 3 3 3" xfId="14077" xr:uid="{2EC34652-96AC-4207-83B5-E6E0D2A17411}"/>
    <cellStyle name="Normal 4 4 2 2 2 2 3 4" xfId="17485" xr:uid="{0D5262C0-1140-4B3D-8326-33ABD0F7BB61}"/>
    <cellStyle name="Normal 4 4 2 2 2 2 3 5" xfId="9864" xr:uid="{0981C7AF-DEB1-4385-96FD-6B54227B710C}"/>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24256" xr:uid="{4BD45FAB-C30C-401D-B882-06FB0F82C13F}"/>
    <cellStyle name="Normal 4 4 2 2 2 2 4 2 2 3" xfId="16635" xr:uid="{F2232661-B5BF-4B9F-8ECF-83CFF6FB1AE3}"/>
    <cellStyle name="Normal 4 4 2 2 2 2 4 2 3" xfId="20043" xr:uid="{1A7ECD37-C465-45BA-9858-39E271BA4EA1}"/>
    <cellStyle name="Normal 4 4 2 2 2 2 4 2 4" xfId="12422" xr:uid="{9DB01101-2C2F-463D-8E5A-7CD807CF8853}"/>
    <cellStyle name="Normal 4 4 2 2 2 2 4 3" xfId="5995" xr:uid="{00000000-0005-0000-0000-0000D4140000}"/>
    <cellStyle name="Normal 4 4 2 2 2 2 4 3 2" xfId="22111" xr:uid="{4C26F5A6-6EFB-4EB8-9C67-86506E38AA79}"/>
    <cellStyle name="Normal 4 4 2 2 2 2 4 3 3" xfId="14490" xr:uid="{587781ED-C311-4D91-B6AD-AAEE8A89B464}"/>
    <cellStyle name="Normal 4 4 2 2 2 2 4 4" xfId="17898" xr:uid="{1E285B96-A8B8-4239-8231-2F04AA102B31}"/>
    <cellStyle name="Normal 4 4 2 2 2 2 4 5" xfId="10277" xr:uid="{64FB395A-CBEB-41C3-8E78-51CE61AD5A6A}"/>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24669" xr:uid="{F4875C71-6E1C-4178-B165-CD1D5E38A6F9}"/>
    <cellStyle name="Normal 4 4 2 2 2 2 5 2 2 3" xfId="17048" xr:uid="{4CF34808-C76D-4BCF-B3DC-A0D2C3340187}"/>
    <cellStyle name="Normal 4 4 2 2 2 2 5 2 3" xfId="20456" xr:uid="{241F3720-685E-4A7B-9072-F26E32B80771}"/>
    <cellStyle name="Normal 4 4 2 2 2 2 5 2 4" xfId="12835" xr:uid="{DA2F3BFA-540B-4175-8E10-720DE2843274}"/>
    <cellStyle name="Normal 4 4 2 2 2 2 5 3" xfId="6408" xr:uid="{00000000-0005-0000-0000-0000D8140000}"/>
    <cellStyle name="Normal 4 4 2 2 2 2 5 3 2" xfId="22524" xr:uid="{C89E9D07-14DD-4D37-A937-F4D824DE7F18}"/>
    <cellStyle name="Normal 4 4 2 2 2 2 5 3 3" xfId="14903" xr:uid="{7FE3626B-F9E0-4B38-A82D-0BF42C50B0C6}"/>
    <cellStyle name="Normal 4 4 2 2 2 2 5 4" xfId="18311" xr:uid="{4B29DC68-DD97-4114-9E30-4581EBFF9B87}"/>
    <cellStyle name="Normal 4 4 2 2 2 2 5 5" xfId="10690" xr:uid="{E4B44CB7-D262-4D0B-AAE0-5C09CC9F936B}"/>
    <cellStyle name="Normal 4 4 2 2 2 2 6" xfId="2538" xr:uid="{00000000-0005-0000-0000-0000D9140000}"/>
    <cellStyle name="Normal 4 4 2 2 2 2 6 2" xfId="6821" xr:uid="{00000000-0005-0000-0000-0000DA140000}"/>
    <cellStyle name="Normal 4 4 2 2 2 2 6 2 2" xfId="22937" xr:uid="{0D16B28B-A680-413C-9E2A-6CC1DB92BEAA}"/>
    <cellStyle name="Normal 4 4 2 2 2 2 6 2 3" xfId="15316" xr:uid="{D1AE1337-0F48-4C68-9730-05A50B27B819}"/>
    <cellStyle name="Normal 4 4 2 2 2 2 6 3" xfId="18724" xr:uid="{D2428DA6-3C5B-4871-9616-F28D1F4356B6}"/>
    <cellStyle name="Normal 4 4 2 2 2 2 6 4" xfId="11103" xr:uid="{2116FC48-9EB8-437D-B7F2-B3C6B03B6BCC}"/>
    <cellStyle name="Normal 4 4 2 2 2 2 7" xfId="4756" xr:uid="{00000000-0005-0000-0000-0000DB140000}"/>
    <cellStyle name="Normal 4 4 2 2 2 2 7 2" xfId="20872" xr:uid="{1181F897-A9F1-49C1-8651-4CB21D1A1BCB}"/>
    <cellStyle name="Normal 4 4 2 2 2 2 7 3" xfId="13251" xr:uid="{C7CC561C-196A-456A-92E0-DDEB29755885}"/>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23429" xr:uid="{E49678BB-A0E2-436A-9F3E-4931235DC844}"/>
    <cellStyle name="Normal 4 4 2 2 2 3 2 2 3" xfId="15808" xr:uid="{8D6D2C2B-25C1-4FB4-B390-C804916ED903}"/>
    <cellStyle name="Normal 4 4 2 2 2 3 2 3" xfId="19216" xr:uid="{405089FE-4D80-4196-9D86-D8B136928C76}"/>
    <cellStyle name="Normal 4 4 2 2 2 3 2 4" xfId="11595" xr:uid="{BF0E9D0B-786B-4DDB-AEA4-27EC19D616AE}"/>
    <cellStyle name="Normal 4 4 2 2 2 3 3" xfId="5168" xr:uid="{00000000-0005-0000-0000-0000DF140000}"/>
    <cellStyle name="Normal 4 4 2 2 2 3 3 2" xfId="21284" xr:uid="{ADDD46A9-A39B-41BC-BE72-18F178D4AF0B}"/>
    <cellStyle name="Normal 4 4 2 2 2 3 3 3" xfId="13663" xr:uid="{372FE469-DECB-453F-A5BA-0C0ADE6FCA6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23842" xr:uid="{8E776D7E-8CFC-4B1C-A7FE-F1CFCB501679}"/>
    <cellStyle name="Normal 4 4 2 2 2 4 2 2 3" xfId="16221" xr:uid="{D2CC3DF2-0592-4CA8-9027-9C396CAA53C1}"/>
    <cellStyle name="Normal 4 4 2 2 2 4 2 3" xfId="19629" xr:uid="{EDBA96E7-0454-46A2-91A0-2E432AD05152}"/>
    <cellStyle name="Normal 4 4 2 2 2 4 2 4" xfId="12008" xr:uid="{31B5107C-F10D-4BB1-AFD7-2A70259A7189}"/>
    <cellStyle name="Normal 4 4 2 2 2 4 3" xfId="5581" xr:uid="{00000000-0005-0000-0000-0000E3140000}"/>
    <cellStyle name="Normal 4 4 2 2 2 4 3 2" xfId="21697" xr:uid="{076313F1-7D7F-41D3-85B2-9282AB9D66B2}"/>
    <cellStyle name="Normal 4 4 2 2 2 4 3 3" xfId="14076" xr:uid="{95C692A7-893F-4783-96FE-A22033A7C461}"/>
    <cellStyle name="Normal 4 4 2 2 2 4 4" xfId="17484" xr:uid="{94E965F5-37F9-4242-AABE-B4BD587B5A59}"/>
    <cellStyle name="Normal 4 4 2 2 2 4 5" xfId="9863" xr:uid="{F4940D7C-D034-4AEC-984C-F6B8012234B3}"/>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24255" xr:uid="{5BC91471-7454-49E8-8944-9A38A733C9DF}"/>
    <cellStyle name="Normal 4 4 2 2 2 5 2 2 3" xfId="16634" xr:uid="{CF7EA6D0-85F2-4560-8FAC-3A44FC65D92E}"/>
    <cellStyle name="Normal 4 4 2 2 2 5 2 3" xfId="20042" xr:uid="{F538EC3C-FD7A-479A-94B0-7441AFF674BC}"/>
    <cellStyle name="Normal 4 4 2 2 2 5 2 4" xfId="12421" xr:uid="{DE0C2032-95BE-477B-943C-8D6AEC1D6B00}"/>
    <cellStyle name="Normal 4 4 2 2 2 5 3" xfId="5994" xr:uid="{00000000-0005-0000-0000-0000E7140000}"/>
    <cellStyle name="Normal 4 4 2 2 2 5 3 2" xfId="22110" xr:uid="{2D5CBA70-FED5-4C03-B37E-6366AA4CDA18}"/>
    <cellStyle name="Normal 4 4 2 2 2 5 3 3" xfId="14489" xr:uid="{0FCD4354-0E0D-4691-8E00-DC818FA6D19C}"/>
    <cellStyle name="Normal 4 4 2 2 2 5 4" xfId="17897" xr:uid="{3E29B519-F763-416C-9765-8BD9C1BF6577}"/>
    <cellStyle name="Normal 4 4 2 2 2 5 5" xfId="10276" xr:uid="{88A42E21-AAE4-4F6F-BDA6-1F79AA00C533}"/>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24668" xr:uid="{5044DEA3-DBE2-45AE-981D-D32F03D49B36}"/>
    <cellStyle name="Normal 4 4 2 2 2 6 2 2 3" xfId="17047" xr:uid="{E4B3CCAB-3B90-47CC-A1BF-1C34C2FA8A73}"/>
    <cellStyle name="Normal 4 4 2 2 2 6 2 3" xfId="20455" xr:uid="{9EE4628B-8D7E-4265-99E5-7F11B69E47C9}"/>
    <cellStyle name="Normal 4 4 2 2 2 6 2 4" xfId="12834" xr:uid="{C37AFE28-2FC4-46DB-85F4-C5F28F4B5A16}"/>
    <cellStyle name="Normal 4 4 2 2 2 6 3" xfId="6407" xr:uid="{00000000-0005-0000-0000-0000EB140000}"/>
    <cellStyle name="Normal 4 4 2 2 2 6 3 2" xfId="22523" xr:uid="{5BA8BC97-D3CE-4504-A18B-8BB90C3B26EA}"/>
    <cellStyle name="Normal 4 4 2 2 2 6 3 3" xfId="14902" xr:uid="{6C913868-FBC6-416A-98E5-24DC5A1732CC}"/>
    <cellStyle name="Normal 4 4 2 2 2 6 4" xfId="18310" xr:uid="{A5F38BB9-BF3E-4C56-82BC-CA56087C33CF}"/>
    <cellStyle name="Normal 4 4 2 2 2 6 5" xfId="10689" xr:uid="{207476D1-400A-4A0D-B8AB-35AE3433E9BE}"/>
    <cellStyle name="Normal 4 4 2 2 2 7" xfId="2537" xr:uid="{00000000-0005-0000-0000-0000EC140000}"/>
    <cellStyle name="Normal 4 4 2 2 2 7 2" xfId="6820" xr:uid="{00000000-0005-0000-0000-0000ED140000}"/>
    <cellStyle name="Normal 4 4 2 2 2 7 2 2" xfId="22936" xr:uid="{4F153621-A3D8-43B1-9D8D-DF05F30AD07A}"/>
    <cellStyle name="Normal 4 4 2 2 2 7 2 3" xfId="15315" xr:uid="{8D8696E5-849F-467C-B828-6978209D705E}"/>
    <cellStyle name="Normal 4 4 2 2 2 7 3" xfId="18723" xr:uid="{3635EBC7-797F-4003-95FB-7D644896DE7E}"/>
    <cellStyle name="Normal 4 4 2 2 2 7 4" xfId="11102" xr:uid="{725B11DB-5307-4BA1-B8FF-5270D35BCF1F}"/>
    <cellStyle name="Normal 4 4 2 2 2 8" xfId="4755" xr:uid="{00000000-0005-0000-0000-0000EE140000}"/>
    <cellStyle name="Normal 4 4 2 2 2 8 2" xfId="20871" xr:uid="{AA142B55-0F9A-4E8B-B655-4835BD4E7983}"/>
    <cellStyle name="Normal 4 4 2 2 2 8 3" xfId="13250" xr:uid="{E798A7A1-9817-4E80-BC7A-DE5EAA80975D}"/>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23431" xr:uid="{07418BD8-FA96-4926-9822-27151A6C4F1A}"/>
    <cellStyle name="Normal 4 4 2 2 3 2 2 2 3" xfId="15810" xr:uid="{A3DAC40E-0088-4770-AC04-CC948CB5FD59}"/>
    <cellStyle name="Normal 4 4 2 2 3 2 2 3" xfId="19218" xr:uid="{32860CB5-6DBF-4BC0-824A-C0598A0D1743}"/>
    <cellStyle name="Normal 4 4 2 2 3 2 2 4" xfId="11597" xr:uid="{085BB9C4-8DC1-478B-8390-38CF5030BE28}"/>
    <cellStyle name="Normal 4 4 2 2 3 2 3" xfId="5170" xr:uid="{00000000-0005-0000-0000-0000F3140000}"/>
    <cellStyle name="Normal 4 4 2 2 3 2 3 2" xfId="21286" xr:uid="{49132FCD-D76D-46A9-BD6E-F58368F81FA9}"/>
    <cellStyle name="Normal 4 4 2 2 3 2 3 3" xfId="13665" xr:uid="{2F0E6E14-F089-47AB-B189-EC96C6606B6C}"/>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23844" xr:uid="{EEDC3720-B9C8-4EF0-A964-33610EB57608}"/>
    <cellStyle name="Normal 4 4 2 2 3 3 2 2 3" xfId="16223" xr:uid="{03024F82-199C-4D5F-8573-9FEFF2CD4700}"/>
    <cellStyle name="Normal 4 4 2 2 3 3 2 3" xfId="19631" xr:uid="{A0F52D3D-7699-4359-AE96-2F42E9E11FF6}"/>
    <cellStyle name="Normal 4 4 2 2 3 3 2 4" xfId="12010" xr:uid="{5D81EB4A-985E-4840-8D67-A27CA2040719}"/>
    <cellStyle name="Normal 4 4 2 2 3 3 3" xfId="5583" xr:uid="{00000000-0005-0000-0000-0000F7140000}"/>
    <cellStyle name="Normal 4 4 2 2 3 3 3 2" xfId="21699" xr:uid="{4DCCFAC6-4E96-483D-B8FE-4E3192DDBA2B}"/>
    <cellStyle name="Normal 4 4 2 2 3 3 3 3" xfId="14078" xr:uid="{29E88F76-0FBB-413E-9DFF-C0F6ECE587C9}"/>
    <cellStyle name="Normal 4 4 2 2 3 3 4" xfId="17486" xr:uid="{5001DDCA-77EC-45A6-943D-75B7B8CA1F42}"/>
    <cellStyle name="Normal 4 4 2 2 3 3 5" xfId="9865" xr:uid="{2639DB14-4214-4448-8989-AF314E25F4F6}"/>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24257" xr:uid="{C2E34D35-AC5A-40DF-9AFE-B89C51FFECB5}"/>
    <cellStyle name="Normal 4 4 2 2 3 4 2 2 3" xfId="16636" xr:uid="{87DFAA8B-D482-4C56-8476-95C84CE467EE}"/>
    <cellStyle name="Normal 4 4 2 2 3 4 2 3" xfId="20044" xr:uid="{00A4DE83-FC1D-4574-BEF3-9C518AF3AB2A}"/>
    <cellStyle name="Normal 4 4 2 2 3 4 2 4" xfId="12423" xr:uid="{E20C3CEC-12DE-4AEC-96BD-6869C3125D6F}"/>
    <cellStyle name="Normal 4 4 2 2 3 4 3" xfId="5996" xr:uid="{00000000-0005-0000-0000-0000FB140000}"/>
    <cellStyle name="Normal 4 4 2 2 3 4 3 2" xfId="22112" xr:uid="{29818E81-A25E-4C98-BA5F-7D9D1654C06C}"/>
    <cellStyle name="Normal 4 4 2 2 3 4 3 3" xfId="14491" xr:uid="{1E0B5779-641C-4A0A-9FFA-A5E0F81F5CA3}"/>
    <cellStyle name="Normal 4 4 2 2 3 4 4" xfId="17899" xr:uid="{F454DA8C-4EFC-410A-AD27-0CFBA766EE71}"/>
    <cellStyle name="Normal 4 4 2 2 3 4 5" xfId="10278" xr:uid="{3E5CDD7C-D2C7-48EC-B48A-4C97F74C9BE8}"/>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24670" xr:uid="{1CBDBA12-3AA0-4F0E-B7C7-EF0BFFB3196E}"/>
    <cellStyle name="Normal 4 4 2 2 3 5 2 2 3" xfId="17049" xr:uid="{CA686963-871F-4814-AA01-9721803BC41C}"/>
    <cellStyle name="Normal 4 4 2 2 3 5 2 3" xfId="20457" xr:uid="{4A561965-FE8F-4CCB-A907-AC064963B376}"/>
    <cellStyle name="Normal 4 4 2 2 3 5 2 4" xfId="12836" xr:uid="{9121CA78-2D1E-4D74-98EB-C4F9C91E1BFA}"/>
    <cellStyle name="Normal 4 4 2 2 3 5 3" xfId="6409" xr:uid="{00000000-0005-0000-0000-0000FF140000}"/>
    <cellStyle name="Normal 4 4 2 2 3 5 3 2" xfId="22525" xr:uid="{E7BB439C-04A5-44DF-BEDF-082F320CEB97}"/>
    <cellStyle name="Normal 4 4 2 2 3 5 3 3" xfId="14904" xr:uid="{5914F875-7757-469D-BAE4-9D11AC899766}"/>
    <cellStyle name="Normal 4 4 2 2 3 5 4" xfId="18312" xr:uid="{B93A6867-DADB-417E-B128-846A55EDF8F8}"/>
    <cellStyle name="Normal 4 4 2 2 3 5 5" xfId="10691" xr:uid="{7FED8565-6935-4676-961C-124D066AC426}"/>
    <cellStyle name="Normal 4 4 2 2 3 6" xfId="2539" xr:uid="{00000000-0005-0000-0000-000000150000}"/>
    <cellStyle name="Normal 4 4 2 2 3 6 2" xfId="6822" xr:uid="{00000000-0005-0000-0000-000001150000}"/>
    <cellStyle name="Normal 4 4 2 2 3 6 2 2" xfId="22938" xr:uid="{8E33DB17-3F40-4C3F-9409-A8B89E966D29}"/>
    <cellStyle name="Normal 4 4 2 2 3 6 2 3" xfId="15317" xr:uid="{D738D193-D4EB-4DED-B3F2-70E71229FFA6}"/>
    <cellStyle name="Normal 4 4 2 2 3 6 3" xfId="18725" xr:uid="{34646103-524A-4C9F-A952-26A24656F04C}"/>
    <cellStyle name="Normal 4 4 2 2 3 6 4" xfId="11104" xr:uid="{40DBD13D-EAB1-4794-8EC9-B5F40F71C66C}"/>
    <cellStyle name="Normal 4 4 2 2 3 7" xfId="4757" xr:uid="{00000000-0005-0000-0000-000002150000}"/>
    <cellStyle name="Normal 4 4 2 2 3 7 2" xfId="20873" xr:uid="{8BBA7A43-94F6-4D89-8262-73248E9C38D7}"/>
    <cellStyle name="Normal 4 4 2 2 3 7 3" xfId="13252" xr:uid="{11DC1252-8891-498D-B928-F53D188EDE3F}"/>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23428" xr:uid="{5EC06CB5-64E9-4732-8241-761EAD03E3CF}"/>
    <cellStyle name="Normal 4 4 2 2 4 2 2 3" xfId="15807" xr:uid="{BBCB90AF-8330-41F2-A37A-A436110300C1}"/>
    <cellStyle name="Normal 4 4 2 2 4 2 3" xfId="19215" xr:uid="{E7C00221-7A3B-480A-B628-ED0F09980233}"/>
    <cellStyle name="Normal 4 4 2 2 4 2 4" xfId="11594" xr:uid="{A42D79BE-9A1E-4FB6-94A3-F426AC7E4CB7}"/>
    <cellStyle name="Normal 4 4 2 2 4 3" xfId="5167" xr:uid="{00000000-0005-0000-0000-000006150000}"/>
    <cellStyle name="Normal 4 4 2 2 4 3 2" xfId="21283" xr:uid="{A83ED0E9-7B5A-45DD-82A9-16772A69A968}"/>
    <cellStyle name="Normal 4 4 2 2 4 3 3" xfId="13662" xr:uid="{98B340B5-8A09-4A89-88A0-CB07A08095DA}"/>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23841" xr:uid="{8AE528D4-60A6-4B50-9B11-0A33DE3A39EB}"/>
    <cellStyle name="Normal 4 4 2 2 5 2 2 3" xfId="16220" xr:uid="{34D82D21-E414-40AB-B043-AC5FF345B209}"/>
    <cellStyle name="Normal 4 4 2 2 5 2 3" xfId="19628" xr:uid="{9D732932-1EE3-4260-B197-F506C1391228}"/>
    <cellStyle name="Normal 4 4 2 2 5 2 4" xfId="12007" xr:uid="{5DFEDD65-845F-486B-B699-84362715C4DB}"/>
    <cellStyle name="Normal 4 4 2 2 5 3" xfId="5580" xr:uid="{00000000-0005-0000-0000-00000A150000}"/>
    <cellStyle name="Normal 4 4 2 2 5 3 2" xfId="21696" xr:uid="{5F1CCAA2-CB42-4A27-B421-ED2D0421AAEE}"/>
    <cellStyle name="Normal 4 4 2 2 5 3 3" xfId="14075" xr:uid="{55FBA5DD-6609-4364-A64E-1FD7EAF538F9}"/>
    <cellStyle name="Normal 4 4 2 2 5 4" xfId="17483" xr:uid="{5C9BA3CF-35F8-4D5C-BC78-E07FDCA20172}"/>
    <cellStyle name="Normal 4 4 2 2 5 5" xfId="9862" xr:uid="{67ADF229-A10B-4E0B-9942-A94E3A125BCD}"/>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24254" xr:uid="{A54327A0-A720-4546-ACBC-446276236052}"/>
    <cellStyle name="Normal 4 4 2 2 6 2 2 3" xfId="16633" xr:uid="{F6CBEC80-EEC4-4883-990B-8B0D01AC044C}"/>
    <cellStyle name="Normal 4 4 2 2 6 2 3" xfId="20041" xr:uid="{3412454B-0E93-4EAE-A59C-DE1A750D49BE}"/>
    <cellStyle name="Normal 4 4 2 2 6 2 4" xfId="12420" xr:uid="{BA5732CD-B6A7-4735-B77C-09B3F6857040}"/>
    <cellStyle name="Normal 4 4 2 2 6 3" xfId="5993" xr:uid="{00000000-0005-0000-0000-00000E150000}"/>
    <cellStyle name="Normal 4 4 2 2 6 3 2" xfId="22109" xr:uid="{0E720C7E-21DE-4617-BEA7-85C926EB2050}"/>
    <cellStyle name="Normal 4 4 2 2 6 3 3" xfId="14488" xr:uid="{4C6258DF-6A82-47D9-BAAD-865D78845819}"/>
    <cellStyle name="Normal 4 4 2 2 6 4" xfId="17896" xr:uid="{A85AF245-05A2-42FF-8C2C-797122C55705}"/>
    <cellStyle name="Normal 4 4 2 2 6 5" xfId="10275" xr:uid="{68498026-C861-4878-A949-B49D156A99C7}"/>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24667" xr:uid="{2E71BFC5-4556-45BD-BA87-5267628E185F}"/>
    <cellStyle name="Normal 4 4 2 2 7 2 2 3" xfId="17046" xr:uid="{9548FD5B-1386-4CEC-92CC-9446A90A012E}"/>
    <cellStyle name="Normal 4 4 2 2 7 2 3" xfId="20454" xr:uid="{36D3584C-F334-4AA9-A186-2D460CDF062B}"/>
    <cellStyle name="Normal 4 4 2 2 7 2 4" xfId="12833" xr:uid="{18A73DE0-784A-4E00-BB0D-3171FDFCBAF4}"/>
    <cellStyle name="Normal 4 4 2 2 7 3" xfId="6406" xr:uid="{00000000-0005-0000-0000-000012150000}"/>
    <cellStyle name="Normal 4 4 2 2 7 3 2" xfId="22522" xr:uid="{746C8243-1AD2-4675-A42B-B4A418717CD9}"/>
    <cellStyle name="Normal 4 4 2 2 7 3 3" xfId="14901" xr:uid="{741C473C-D81A-4640-8DB7-C802B3E492E5}"/>
    <cellStyle name="Normal 4 4 2 2 7 4" xfId="18309" xr:uid="{6244B379-EDAD-4071-ADB3-DC960ECF4599}"/>
    <cellStyle name="Normal 4 4 2 2 7 5" xfId="10688" xr:uid="{F9F9318C-D7DF-4547-BFEC-A19F4E75348E}"/>
    <cellStyle name="Normal 4 4 2 2 8" xfId="2536" xr:uid="{00000000-0005-0000-0000-000013150000}"/>
    <cellStyle name="Normal 4 4 2 2 8 2" xfId="6819" xr:uid="{00000000-0005-0000-0000-000014150000}"/>
    <cellStyle name="Normal 4 4 2 2 8 2 2" xfId="22935" xr:uid="{24DB5E81-2E30-442F-8C7A-5AC41482EF73}"/>
    <cellStyle name="Normal 4 4 2 2 8 2 3" xfId="15314" xr:uid="{6B12F068-8532-48CC-A83D-7233B0393BE0}"/>
    <cellStyle name="Normal 4 4 2 2 8 3" xfId="18722" xr:uid="{42F3DEC3-9850-4110-A106-7126FE806E39}"/>
    <cellStyle name="Normal 4 4 2 2 8 4" xfId="11101" xr:uid="{040B8EF0-C9AA-4A2A-A58E-B5C58024532F}"/>
    <cellStyle name="Normal 4 4 2 2 9" xfId="4754" xr:uid="{00000000-0005-0000-0000-000015150000}"/>
    <cellStyle name="Normal 4 4 2 2 9 2" xfId="20870" xr:uid="{95CECF11-9777-4A9D-972B-3139EC1448A6}"/>
    <cellStyle name="Normal 4 4 2 2 9 3" xfId="13249" xr:uid="{E30ED40B-D4B6-4ECC-BF80-84F482F4DB11}"/>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23433" xr:uid="{7B65F7A2-798B-42DD-AEF0-562CCEFDAA95}"/>
    <cellStyle name="Normal 4 4 2 3 2 2 2 2 3" xfId="15812" xr:uid="{549911D1-A3D3-449A-B80C-F3E153DB40C1}"/>
    <cellStyle name="Normal 4 4 2 3 2 2 2 3" xfId="19220" xr:uid="{EE4C69B9-AD76-47B7-BF44-21FE6F0D431B}"/>
    <cellStyle name="Normal 4 4 2 3 2 2 2 4" xfId="11599" xr:uid="{C09A9567-4DA0-4961-8FAD-FEAE77795CE0}"/>
    <cellStyle name="Normal 4 4 2 3 2 2 3" xfId="5172" xr:uid="{00000000-0005-0000-0000-00001B150000}"/>
    <cellStyle name="Normal 4 4 2 3 2 2 3 2" xfId="21288" xr:uid="{B70191BC-0CBE-4DB7-B1E4-9384643191D5}"/>
    <cellStyle name="Normal 4 4 2 3 2 2 3 3" xfId="13667" xr:uid="{EF3E2720-0311-4ACA-8F84-3C03E1F288FC}"/>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23846" xr:uid="{6940B978-55B5-4D98-8561-1B99863055B9}"/>
    <cellStyle name="Normal 4 4 2 3 2 3 2 2 3" xfId="16225" xr:uid="{A2F3A7D0-720C-44F4-933C-6138C7F32BF4}"/>
    <cellStyle name="Normal 4 4 2 3 2 3 2 3" xfId="19633" xr:uid="{82443FC1-C96D-43A2-8F7A-220B94C499DE}"/>
    <cellStyle name="Normal 4 4 2 3 2 3 2 4" xfId="12012" xr:uid="{A9C82551-4761-422C-92FE-47843B4FA092}"/>
    <cellStyle name="Normal 4 4 2 3 2 3 3" xfId="5585" xr:uid="{00000000-0005-0000-0000-00001F150000}"/>
    <cellStyle name="Normal 4 4 2 3 2 3 3 2" xfId="21701" xr:uid="{DECB1CC1-293A-49BC-BB18-CBB8D0CD030F}"/>
    <cellStyle name="Normal 4 4 2 3 2 3 3 3" xfId="14080" xr:uid="{4AA1DBA5-726B-48FB-B64E-981E739506AA}"/>
    <cellStyle name="Normal 4 4 2 3 2 3 4" xfId="17488" xr:uid="{24D19159-3B2A-4153-B36A-89CC23402FAD}"/>
    <cellStyle name="Normal 4 4 2 3 2 3 5" xfId="9867" xr:uid="{508CE680-0DAB-4CF3-85E3-4BC498318A63}"/>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24259" xr:uid="{8941363B-981B-4CEE-ADBE-287E703C6B76}"/>
    <cellStyle name="Normal 4 4 2 3 2 4 2 2 3" xfId="16638" xr:uid="{50C19979-23DD-4A9C-A665-51F724A57E87}"/>
    <cellStyle name="Normal 4 4 2 3 2 4 2 3" xfId="20046" xr:uid="{5EE3A826-706F-4F6A-A598-9404C890FB95}"/>
    <cellStyle name="Normal 4 4 2 3 2 4 2 4" xfId="12425" xr:uid="{37739E87-9934-45C9-85C0-AC1C6B2A4451}"/>
    <cellStyle name="Normal 4 4 2 3 2 4 3" xfId="5998" xr:uid="{00000000-0005-0000-0000-000023150000}"/>
    <cellStyle name="Normal 4 4 2 3 2 4 3 2" xfId="22114" xr:uid="{2B998B00-A01C-4927-880C-2462F36CC9E2}"/>
    <cellStyle name="Normal 4 4 2 3 2 4 3 3" xfId="14493" xr:uid="{A0207D1E-8832-438B-A7E9-A261440F827A}"/>
    <cellStyle name="Normal 4 4 2 3 2 4 4" xfId="17901" xr:uid="{3AA4FFA5-466C-44DA-81F4-1FA706B72F7D}"/>
    <cellStyle name="Normal 4 4 2 3 2 4 5" xfId="10280" xr:uid="{EF904664-2C7A-4BD4-951D-B5E46893745A}"/>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24672" xr:uid="{30A22BA3-0C19-481C-B660-890866E0CD1E}"/>
    <cellStyle name="Normal 4 4 2 3 2 5 2 2 3" xfId="17051" xr:uid="{4510EA49-C713-463C-B8BA-6A5D9B1381FB}"/>
    <cellStyle name="Normal 4 4 2 3 2 5 2 3" xfId="20459" xr:uid="{3B8E77E0-F2F2-4F90-BA78-18084E8A146A}"/>
    <cellStyle name="Normal 4 4 2 3 2 5 2 4" xfId="12838" xr:uid="{5B9589B3-5F62-4AD5-A444-EB040DA50408}"/>
    <cellStyle name="Normal 4 4 2 3 2 5 3" xfId="6411" xr:uid="{00000000-0005-0000-0000-000027150000}"/>
    <cellStyle name="Normal 4 4 2 3 2 5 3 2" xfId="22527" xr:uid="{4A72551A-A849-462F-87B4-02BCAC7F8DBE}"/>
    <cellStyle name="Normal 4 4 2 3 2 5 3 3" xfId="14906" xr:uid="{CF128429-650B-41AB-AFDC-BD522CFB0AB9}"/>
    <cellStyle name="Normal 4 4 2 3 2 5 4" xfId="18314" xr:uid="{604D3EB6-9854-4CD8-B5BD-12C6BB773F35}"/>
    <cellStyle name="Normal 4 4 2 3 2 5 5" xfId="10693" xr:uid="{7D54499B-3BD9-4B40-BCAC-880A8994359F}"/>
    <cellStyle name="Normal 4 4 2 3 2 6" xfId="2541" xr:uid="{00000000-0005-0000-0000-000028150000}"/>
    <cellStyle name="Normal 4 4 2 3 2 6 2" xfId="6824" xr:uid="{00000000-0005-0000-0000-000029150000}"/>
    <cellStyle name="Normal 4 4 2 3 2 6 2 2" xfId="22940" xr:uid="{1773878B-F23B-4578-93E9-4682357F4190}"/>
    <cellStyle name="Normal 4 4 2 3 2 6 2 3" xfId="15319" xr:uid="{F18A78E2-61D4-427F-B641-AA990872E7FB}"/>
    <cellStyle name="Normal 4 4 2 3 2 6 3" xfId="18727" xr:uid="{2C267D9D-4C1B-4B2D-8302-83AE08D352B2}"/>
    <cellStyle name="Normal 4 4 2 3 2 6 4" xfId="11106" xr:uid="{7AB7CCE1-7131-43C1-9508-9483F92FE415}"/>
    <cellStyle name="Normal 4 4 2 3 2 7" xfId="4759" xr:uid="{00000000-0005-0000-0000-00002A150000}"/>
    <cellStyle name="Normal 4 4 2 3 2 7 2" xfId="20875" xr:uid="{89493E0D-4F92-402E-9775-3A1D4C23A622}"/>
    <cellStyle name="Normal 4 4 2 3 2 7 3" xfId="13254" xr:uid="{52317DA6-13C9-4056-B827-BEA517E79921}"/>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23432" xr:uid="{9F28201A-5A29-4B77-9EF5-B2CD50A5C074}"/>
    <cellStyle name="Normal 4 4 2 3 3 2 2 3" xfId="15811" xr:uid="{2F894F78-4882-45E1-85C2-6040A0209AB8}"/>
    <cellStyle name="Normal 4 4 2 3 3 2 3" xfId="19219" xr:uid="{D01D9027-9540-4C03-AC39-422C35391ECF}"/>
    <cellStyle name="Normal 4 4 2 3 3 2 4" xfId="11598" xr:uid="{E83816B3-60B9-4360-A93C-1D8749950675}"/>
    <cellStyle name="Normal 4 4 2 3 3 3" xfId="5171" xr:uid="{00000000-0005-0000-0000-00002E150000}"/>
    <cellStyle name="Normal 4 4 2 3 3 3 2" xfId="21287" xr:uid="{D5E6C52B-C1B8-4B0D-A545-D0633FCF47A1}"/>
    <cellStyle name="Normal 4 4 2 3 3 3 3" xfId="13666" xr:uid="{3A3FD2D0-04E6-463B-8D72-3856F6EC2E44}"/>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23845" xr:uid="{34E7375A-59C9-4C56-9B1D-42BE027CF03D}"/>
    <cellStyle name="Normal 4 4 2 3 4 2 2 3" xfId="16224" xr:uid="{742878A2-FF96-46AD-9257-4BB35E4BD104}"/>
    <cellStyle name="Normal 4 4 2 3 4 2 3" xfId="19632" xr:uid="{8C94AA87-04E5-42A9-B3AD-0D91A0435C17}"/>
    <cellStyle name="Normal 4 4 2 3 4 2 4" xfId="12011" xr:uid="{B1176582-01CF-4FBF-AF9C-C4943CF5BE50}"/>
    <cellStyle name="Normal 4 4 2 3 4 3" xfId="5584" xr:uid="{00000000-0005-0000-0000-000032150000}"/>
    <cellStyle name="Normal 4 4 2 3 4 3 2" xfId="21700" xr:uid="{57C9B4A6-0828-4089-A241-E4245AA11EC6}"/>
    <cellStyle name="Normal 4 4 2 3 4 3 3" xfId="14079" xr:uid="{337EA916-FCC4-40A5-8703-53E1EE3494ED}"/>
    <cellStyle name="Normal 4 4 2 3 4 4" xfId="17487" xr:uid="{AAE63924-CEB4-4991-87A1-815226B55342}"/>
    <cellStyle name="Normal 4 4 2 3 4 5" xfId="9866" xr:uid="{B4014000-4855-4990-B4C8-4D24B0F2C28B}"/>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24258" xr:uid="{D63E1C4C-A2DB-4F0D-84C8-E6108B5BA8FD}"/>
    <cellStyle name="Normal 4 4 2 3 5 2 2 3" xfId="16637" xr:uid="{5E6CB8C0-B7BC-4AF8-83A7-EB3025807D70}"/>
    <cellStyle name="Normal 4 4 2 3 5 2 3" xfId="20045" xr:uid="{7C7B8F70-7D44-415E-87B4-D5A3D8EED914}"/>
    <cellStyle name="Normal 4 4 2 3 5 2 4" xfId="12424" xr:uid="{7299AD86-4BB2-461B-9542-926F3A5C56DD}"/>
    <cellStyle name="Normal 4 4 2 3 5 3" xfId="5997" xr:uid="{00000000-0005-0000-0000-000036150000}"/>
    <cellStyle name="Normal 4 4 2 3 5 3 2" xfId="22113" xr:uid="{B0F4B39D-4A33-4392-B524-081760B933CD}"/>
    <cellStyle name="Normal 4 4 2 3 5 3 3" xfId="14492" xr:uid="{E9F870D9-8F10-4E4B-980E-95FD9B25715D}"/>
    <cellStyle name="Normal 4 4 2 3 5 4" xfId="17900" xr:uid="{C27CE088-7A86-40D8-AB46-5CFBE2457E27}"/>
    <cellStyle name="Normal 4 4 2 3 5 5" xfId="10279" xr:uid="{D919B955-C552-43B4-8493-A0DB4741D634}"/>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24671" xr:uid="{8F19808B-3AFC-448D-8514-D840F0AD7E8C}"/>
    <cellStyle name="Normal 4 4 2 3 6 2 2 3" xfId="17050" xr:uid="{32EC75DD-29DE-4060-BA3B-A18C527FA4B6}"/>
    <cellStyle name="Normal 4 4 2 3 6 2 3" xfId="20458" xr:uid="{EEFEF70C-0D46-43C2-892A-32AA151C6779}"/>
    <cellStyle name="Normal 4 4 2 3 6 2 4" xfId="12837" xr:uid="{FDCC976C-91F3-4D0B-9F40-F2000E9337AF}"/>
    <cellStyle name="Normal 4 4 2 3 6 3" xfId="6410" xr:uid="{00000000-0005-0000-0000-00003A150000}"/>
    <cellStyle name="Normal 4 4 2 3 6 3 2" xfId="22526" xr:uid="{4BC87EEA-40DD-4919-B807-168FE7DE6B4D}"/>
    <cellStyle name="Normal 4 4 2 3 6 3 3" xfId="14905" xr:uid="{6C64CCA2-E63B-427B-87F5-17A1E7E24513}"/>
    <cellStyle name="Normal 4 4 2 3 6 4" xfId="18313" xr:uid="{BAD422F8-88B6-4CB9-9AE5-1F77114C542B}"/>
    <cellStyle name="Normal 4 4 2 3 6 5" xfId="10692" xr:uid="{614C4504-62CE-475A-9D38-C5EA6458476A}"/>
    <cellStyle name="Normal 4 4 2 3 7" xfId="2540" xr:uid="{00000000-0005-0000-0000-00003B150000}"/>
    <cellStyle name="Normal 4 4 2 3 7 2" xfId="6823" xr:uid="{00000000-0005-0000-0000-00003C150000}"/>
    <cellStyle name="Normal 4 4 2 3 7 2 2" xfId="22939" xr:uid="{33C945D2-870E-42DF-B4DD-F93385D5DEE3}"/>
    <cellStyle name="Normal 4 4 2 3 7 2 3" xfId="15318" xr:uid="{2FBE2728-A687-459A-B7CA-D07B9E732A3D}"/>
    <cellStyle name="Normal 4 4 2 3 7 3" xfId="18726" xr:uid="{C72DD0F8-5FC8-4AAA-A747-F39DC69B6986}"/>
    <cellStyle name="Normal 4 4 2 3 7 4" xfId="11105" xr:uid="{04961AA5-E29F-498A-A802-ED4EFE6CE3BD}"/>
    <cellStyle name="Normal 4 4 2 3 8" xfId="4758" xr:uid="{00000000-0005-0000-0000-00003D150000}"/>
    <cellStyle name="Normal 4 4 2 3 8 2" xfId="20874" xr:uid="{1BF0DB84-91A9-4736-AD47-7799D90B5159}"/>
    <cellStyle name="Normal 4 4 2 3 8 3" xfId="13253" xr:uid="{B2E130C0-4042-4534-9035-2425F1E2FF63}"/>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23434" xr:uid="{0A8A7A0E-199A-48D0-9EC8-6C7EED868CF6}"/>
    <cellStyle name="Normal 4 4 2 4 2 2 2 3" xfId="15813" xr:uid="{3CEC49F3-3CAE-415F-9A96-A56D26B8CA9E}"/>
    <cellStyle name="Normal 4 4 2 4 2 2 3" xfId="19221" xr:uid="{EC3ED4C9-1EF4-4923-9641-F906FDDF39C1}"/>
    <cellStyle name="Normal 4 4 2 4 2 2 4" xfId="11600" xr:uid="{904CFAB9-86F5-4C3A-9F5A-DA9367A78478}"/>
    <cellStyle name="Normal 4 4 2 4 2 3" xfId="5173" xr:uid="{00000000-0005-0000-0000-000042150000}"/>
    <cellStyle name="Normal 4 4 2 4 2 3 2" xfId="21289" xr:uid="{7BB116CF-695D-4A2A-9FE0-104413DA5323}"/>
    <cellStyle name="Normal 4 4 2 4 2 3 3" xfId="13668" xr:uid="{A19F30DD-C121-4755-904A-B5C0ECA58F94}"/>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23847" xr:uid="{4096086C-9818-4F7D-A4E1-3B61B3C338CC}"/>
    <cellStyle name="Normal 4 4 2 4 3 2 2 3" xfId="16226" xr:uid="{100C05F1-1DDB-425B-8D7F-DC6981A007E0}"/>
    <cellStyle name="Normal 4 4 2 4 3 2 3" xfId="19634" xr:uid="{66AB8111-EFFA-4B99-AF74-0F233A6535F6}"/>
    <cellStyle name="Normal 4 4 2 4 3 2 4" xfId="12013" xr:uid="{A7C45EB2-115E-4188-9A4C-2E8935C243C7}"/>
    <cellStyle name="Normal 4 4 2 4 3 3" xfId="5586" xr:uid="{00000000-0005-0000-0000-000046150000}"/>
    <cellStyle name="Normal 4 4 2 4 3 3 2" xfId="21702" xr:uid="{095CEE19-A131-4BFF-998E-083BB4C0D4E1}"/>
    <cellStyle name="Normal 4 4 2 4 3 3 3" xfId="14081" xr:uid="{FBA1CCB2-82F2-405C-853C-FC7C6C54967E}"/>
    <cellStyle name="Normal 4 4 2 4 3 4" xfId="17489" xr:uid="{206AB1E9-7C4E-4502-8739-6DBE7573FE03}"/>
    <cellStyle name="Normal 4 4 2 4 3 5" xfId="9868" xr:uid="{15FFCD9C-8EFE-4372-8368-C2A7EAFC65B2}"/>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24260" xr:uid="{EB7FAD7B-9FE4-42BC-BD98-1ED180BA0137}"/>
    <cellStyle name="Normal 4 4 2 4 4 2 2 3" xfId="16639" xr:uid="{EF2E72D0-5151-4061-8FE1-B533C7BEDA50}"/>
    <cellStyle name="Normal 4 4 2 4 4 2 3" xfId="20047" xr:uid="{AC6A470C-9625-4B78-95B5-8B3EC8D82AC9}"/>
    <cellStyle name="Normal 4 4 2 4 4 2 4" xfId="12426" xr:uid="{8ADEA24E-1FDA-4864-B478-CA85E0040C2C}"/>
    <cellStyle name="Normal 4 4 2 4 4 3" xfId="5999" xr:uid="{00000000-0005-0000-0000-00004A150000}"/>
    <cellStyle name="Normal 4 4 2 4 4 3 2" xfId="22115" xr:uid="{4939F27D-DA34-4E94-848C-4A540202D9F2}"/>
    <cellStyle name="Normal 4 4 2 4 4 3 3" xfId="14494" xr:uid="{3D5BBDB8-BC60-47DF-8320-3A90B378ADAE}"/>
    <cellStyle name="Normal 4 4 2 4 4 4" xfId="17902" xr:uid="{5D3C5097-A08C-4269-8305-F4CA0AA602B9}"/>
    <cellStyle name="Normal 4 4 2 4 4 5" xfId="10281" xr:uid="{0BBF44F4-B0EF-4E19-A1A2-F4C46E65EBD0}"/>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24673" xr:uid="{737796D0-BD66-4A63-8A8F-EF4158E701DE}"/>
    <cellStyle name="Normal 4 4 2 4 5 2 2 3" xfId="17052" xr:uid="{8900194E-BD43-4FCC-9985-85C2CF9049D2}"/>
    <cellStyle name="Normal 4 4 2 4 5 2 3" xfId="20460" xr:uid="{6815715A-DF2B-438E-ACDB-5131C71F45DD}"/>
    <cellStyle name="Normal 4 4 2 4 5 2 4" xfId="12839" xr:uid="{F1584577-7EEA-4EE6-9242-65B5C230C6F2}"/>
    <cellStyle name="Normal 4 4 2 4 5 3" xfId="6412" xr:uid="{00000000-0005-0000-0000-00004E150000}"/>
    <cellStyle name="Normal 4 4 2 4 5 3 2" xfId="22528" xr:uid="{6E1E6B93-D3CA-4244-9DC1-061199F7DC14}"/>
    <cellStyle name="Normal 4 4 2 4 5 3 3" xfId="14907" xr:uid="{CDAAFE8C-034E-411A-877D-049C2C4081BE}"/>
    <cellStyle name="Normal 4 4 2 4 5 4" xfId="18315" xr:uid="{8B81B9D4-BFF6-4693-BE0D-3C2E7D56A414}"/>
    <cellStyle name="Normal 4 4 2 4 5 5" xfId="10694" xr:uid="{4010AD3D-9324-4CC0-BA2A-12ACC9AE4556}"/>
    <cellStyle name="Normal 4 4 2 4 6" xfId="2542" xr:uid="{00000000-0005-0000-0000-00004F150000}"/>
    <cellStyle name="Normal 4 4 2 4 6 2" xfId="6825" xr:uid="{00000000-0005-0000-0000-000050150000}"/>
    <cellStyle name="Normal 4 4 2 4 6 2 2" xfId="22941" xr:uid="{97A6100E-988C-4AB7-B487-C77E2AE6FDBD}"/>
    <cellStyle name="Normal 4 4 2 4 6 2 3" xfId="15320" xr:uid="{29062D81-325C-4A13-B41C-A04C3C000DDA}"/>
    <cellStyle name="Normal 4 4 2 4 6 3" xfId="18728" xr:uid="{394D1F5E-025D-49DD-9F13-DD8ED7772C60}"/>
    <cellStyle name="Normal 4 4 2 4 6 4" xfId="11107" xr:uid="{0992F7DC-FE18-4E4C-AF64-F3CD3849C142}"/>
    <cellStyle name="Normal 4 4 2 4 7" xfId="4760" xr:uid="{00000000-0005-0000-0000-000051150000}"/>
    <cellStyle name="Normal 4 4 2 4 7 2" xfId="20876" xr:uid="{86074D74-9CF5-4841-AFAB-8650D917A0BD}"/>
    <cellStyle name="Normal 4 4 2 4 7 3" xfId="13255" xr:uid="{6A0F8721-CA73-444E-BAB4-C23F0CAE20EC}"/>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2 2 2" xfId="23427" xr:uid="{7A77F8AD-AB24-4CB0-91EF-D38D674355D4}"/>
    <cellStyle name="Normal 4 4 2 5 2 2 3" xfId="15806" xr:uid="{D53CEC67-8D7E-4643-A85B-6F8863CE0307}"/>
    <cellStyle name="Normal 4 4 2 5 2 3" xfId="19214" xr:uid="{189FE8C0-683A-4124-8D87-8E3C437BF21C}"/>
    <cellStyle name="Normal 4 4 2 5 2 4" xfId="11593" xr:uid="{15218CA8-DB9B-4C5B-82AD-513A96D3E035}"/>
    <cellStyle name="Normal 4 4 2 5 3" xfId="5166" xr:uid="{00000000-0005-0000-0000-000055150000}"/>
    <cellStyle name="Normal 4 4 2 5 3 2" xfId="21282" xr:uid="{EF068B6E-BAC6-478A-8C30-1B86071AE633}"/>
    <cellStyle name="Normal 4 4 2 5 3 3" xfId="13661" xr:uid="{6BC7072F-C196-40EE-99FC-A4CE96BC2E19}"/>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2 2 2" xfId="23840" xr:uid="{6E48C4FD-4F3C-4B5C-8C20-EE9DADE8D625}"/>
    <cellStyle name="Normal 4 4 2 6 2 2 3" xfId="16219" xr:uid="{F0FF1550-5789-4385-B7F8-8436142466CD}"/>
    <cellStyle name="Normal 4 4 2 6 2 3" xfId="19627" xr:uid="{5ACEFD4B-BF7A-4388-AC36-59CC81148C35}"/>
    <cellStyle name="Normal 4 4 2 6 2 4" xfId="12006" xr:uid="{D66F40D0-291A-4633-BF53-FB3533C376E6}"/>
    <cellStyle name="Normal 4 4 2 6 3" xfId="5579" xr:uid="{00000000-0005-0000-0000-000059150000}"/>
    <cellStyle name="Normal 4 4 2 6 3 2" xfId="21695" xr:uid="{F549B5C0-B68B-459E-BF7D-CAD4C7FFCA8B}"/>
    <cellStyle name="Normal 4 4 2 6 3 3" xfId="14074" xr:uid="{BABD91E7-4116-4E90-A71F-75FBC6544238}"/>
    <cellStyle name="Normal 4 4 2 6 4" xfId="17482" xr:uid="{06A19423-8047-4516-BCD3-A3C0F4EECCB9}"/>
    <cellStyle name="Normal 4 4 2 6 5" xfId="9861" xr:uid="{6C435A39-9D27-478C-8838-83B44704D499}"/>
    <cellStyle name="Normal 4 4 2 7" xfId="1685" xr:uid="{00000000-0005-0000-0000-00005A150000}"/>
    <cellStyle name="Normal 4 4 2 7 2" xfId="3915" xr:uid="{00000000-0005-0000-0000-00005B150000}"/>
    <cellStyle name="Normal 4 4 2 7 2 2" xfId="8137" xr:uid="{00000000-0005-0000-0000-00005C150000}"/>
    <cellStyle name="Normal 4 4 2 7 2 2 2" xfId="24253" xr:uid="{632321EA-33A2-4758-A4F1-9FEF6DFA7586}"/>
    <cellStyle name="Normal 4 4 2 7 2 2 3" xfId="16632" xr:uid="{13ED8A72-25D9-4E73-8D90-55DC83D086ED}"/>
    <cellStyle name="Normal 4 4 2 7 2 3" xfId="20040" xr:uid="{E48C9C64-2D99-454B-B5E8-F77F9AA5DC5B}"/>
    <cellStyle name="Normal 4 4 2 7 2 4" xfId="12419" xr:uid="{FB8D8703-9D43-47F1-B9C0-2CF08CED85EB}"/>
    <cellStyle name="Normal 4 4 2 7 3" xfId="5992" xr:uid="{00000000-0005-0000-0000-00005D150000}"/>
    <cellStyle name="Normal 4 4 2 7 3 2" xfId="22108" xr:uid="{A9DBFF86-2AC4-453E-A355-26651E6803CF}"/>
    <cellStyle name="Normal 4 4 2 7 3 3" xfId="14487" xr:uid="{4F1FBBFA-449D-499C-AACC-C96A56FA5B25}"/>
    <cellStyle name="Normal 4 4 2 7 4" xfId="17895" xr:uid="{3227C35F-C491-4E23-8DC9-D58404BA2A6F}"/>
    <cellStyle name="Normal 4 4 2 7 5" xfId="10274" xr:uid="{98491A74-1EC8-414E-B3F4-B576B8597E2B}"/>
    <cellStyle name="Normal 4 4 2 8" xfId="2099" xr:uid="{00000000-0005-0000-0000-00005E150000}"/>
    <cellStyle name="Normal 4 4 2 8 2" xfId="4328" xr:uid="{00000000-0005-0000-0000-00005F150000}"/>
    <cellStyle name="Normal 4 4 2 8 2 2" xfId="8550" xr:uid="{00000000-0005-0000-0000-000060150000}"/>
    <cellStyle name="Normal 4 4 2 8 2 2 2" xfId="24666" xr:uid="{6DAFE888-0FC6-42BB-918E-BFA8E5CA5A21}"/>
    <cellStyle name="Normal 4 4 2 8 2 2 3" xfId="17045" xr:uid="{9DB26599-489D-4180-8C1C-12D207559419}"/>
    <cellStyle name="Normal 4 4 2 8 2 3" xfId="20453" xr:uid="{38613CC8-DFF0-4172-8EB0-A964E34BC471}"/>
    <cellStyle name="Normal 4 4 2 8 2 4" xfId="12832" xr:uid="{E0E6BBF9-237A-46DF-B9F3-A96342D287C5}"/>
    <cellStyle name="Normal 4 4 2 8 3" xfId="6405" xr:uid="{00000000-0005-0000-0000-000061150000}"/>
    <cellStyle name="Normal 4 4 2 8 3 2" xfId="22521" xr:uid="{2EAF1868-4E3C-4A4E-8A3B-2C2018D0B0F9}"/>
    <cellStyle name="Normal 4 4 2 8 3 3" xfId="14900" xr:uid="{4B7E72CD-5E6C-451F-ABC9-266E3ABD5014}"/>
    <cellStyle name="Normal 4 4 2 8 4" xfId="18308" xr:uid="{43B86F78-5742-4FA6-990A-01A57949ED5E}"/>
    <cellStyle name="Normal 4 4 2 8 5" xfId="10687" xr:uid="{275670BD-6AC2-4DB5-A8C4-5324EDA15E19}"/>
    <cellStyle name="Normal 4 4 2 9" xfId="2535" xr:uid="{00000000-0005-0000-0000-000062150000}"/>
    <cellStyle name="Normal 4 4 2 9 2" xfId="6818" xr:uid="{00000000-0005-0000-0000-000063150000}"/>
    <cellStyle name="Normal 4 4 2 9 2 2" xfId="22934" xr:uid="{E68EF657-9CBB-4FB3-9730-C30947C12D4D}"/>
    <cellStyle name="Normal 4 4 2 9 2 3" xfId="15313" xr:uid="{90BCE0C9-8853-4160-8387-E9F185C7D387}"/>
    <cellStyle name="Normal 4 4 2 9 3" xfId="18721" xr:uid="{E21FED6B-95C5-4AB3-A753-D7162CB7C887}"/>
    <cellStyle name="Normal 4 4 2 9 4" xfId="11100" xr:uid="{BF79264A-BF20-4958-913F-997B7E808944}"/>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23437" xr:uid="{8972E190-597C-4B7D-8CD5-76B38A857090}"/>
    <cellStyle name="Normal 4 4 3 2 2 2 2 2 3" xfId="15816" xr:uid="{3DBEDA65-D157-4BCC-8DE0-1ED40BC19D45}"/>
    <cellStyle name="Normal 4 4 3 2 2 2 2 3" xfId="19224" xr:uid="{BB407CC5-E285-406B-A2F7-DA99AB4988D1}"/>
    <cellStyle name="Normal 4 4 3 2 2 2 2 4" xfId="11603" xr:uid="{E6A6D239-5172-44C1-A0B4-19B1C88DB48F}"/>
    <cellStyle name="Normal 4 4 3 2 2 2 3" xfId="5176" xr:uid="{00000000-0005-0000-0000-00006A150000}"/>
    <cellStyle name="Normal 4 4 3 2 2 2 3 2" xfId="21292" xr:uid="{A1FED863-48D2-4CE1-A78A-0D46EA93D7BB}"/>
    <cellStyle name="Normal 4 4 3 2 2 2 3 3" xfId="13671" xr:uid="{C0E388E2-230E-40C7-B317-7611C2F0E6EC}"/>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23850" xr:uid="{84190B46-EDBD-4D12-8D13-0947222668E1}"/>
    <cellStyle name="Normal 4 4 3 2 2 3 2 2 3" xfId="16229" xr:uid="{78C05432-732F-4F47-B336-378E26C6A940}"/>
    <cellStyle name="Normal 4 4 3 2 2 3 2 3" xfId="19637" xr:uid="{D4EEB273-D42B-4413-9F3E-25FE0FA3239F}"/>
    <cellStyle name="Normal 4 4 3 2 2 3 2 4" xfId="12016" xr:uid="{6491B2A0-8E9E-4AF1-999C-DA56B7D68B04}"/>
    <cellStyle name="Normal 4 4 3 2 2 3 3" xfId="5589" xr:uid="{00000000-0005-0000-0000-00006E150000}"/>
    <cellStyle name="Normal 4 4 3 2 2 3 3 2" xfId="21705" xr:uid="{3638B7DC-983B-4C4B-87DE-FD7C1002E5A7}"/>
    <cellStyle name="Normal 4 4 3 2 2 3 3 3" xfId="14084" xr:uid="{FE6A6B0C-469C-40E6-A7CA-761EFC324DD4}"/>
    <cellStyle name="Normal 4 4 3 2 2 3 4" xfId="17492" xr:uid="{6FD51DB0-089E-4309-B716-837C9EE53F5D}"/>
    <cellStyle name="Normal 4 4 3 2 2 3 5" xfId="9871" xr:uid="{2DA17D18-152D-4BA6-B828-D64410E99BC2}"/>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24263" xr:uid="{9E0ADFD3-820D-403C-86A3-33FBFBA5548B}"/>
    <cellStyle name="Normal 4 4 3 2 2 4 2 2 3" xfId="16642" xr:uid="{3BD8F84C-13F5-4CC4-98C1-4071C422E035}"/>
    <cellStyle name="Normal 4 4 3 2 2 4 2 3" xfId="20050" xr:uid="{8D0D22FE-F09E-4786-BEB2-AD94C9C685B5}"/>
    <cellStyle name="Normal 4 4 3 2 2 4 2 4" xfId="12429" xr:uid="{65FBAFBD-6059-4268-98CE-C4444B1925AE}"/>
    <cellStyle name="Normal 4 4 3 2 2 4 3" xfId="6002" xr:uid="{00000000-0005-0000-0000-000072150000}"/>
    <cellStyle name="Normal 4 4 3 2 2 4 3 2" xfId="22118" xr:uid="{5E2878A3-8CE4-4978-BE82-7CE9343E2564}"/>
    <cellStyle name="Normal 4 4 3 2 2 4 3 3" xfId="14497" xr:uid="{AA292EF4-D2D0-4BA9-9A10-133276F857D8}"/>
    <cellStyle name="Normal 4 4 3 2 2 4 4" xfId="17905" xr:uid="{F22AC07F-CC45-4BE7-9418-4EFB4656E88F}"/>
    <cellStyle name="Normal 4 4 3 2 2 4 5" xfId="10284" xr:uid="{1E5677F4-1A1B-43EA-A3D8-B041808CA34C}"/>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24676" xr:uid="{DAA8DDCB-1CA6-4A59-A583-5C5C0EE64C4D}"/>
    <cellStyle name="Normal 4 4 3 2 2 5 2 2 3" xfId="17055" xr:uid="{802F6AFA-9096-4D81-918A-A430F1465C71}"/>
    <cellStyle name="Normal 4 4 3 2 2 5 2 3" xfId="20463" xr:uid="{4FD6DE6F-B1AC-4BF5-A756-B506ED8FE2D4}"/>
    <cellStyle name="Normal 4 4 3 2 2 5 2 4" xfId="12842" xr:uid="{4851CD51-5004-43A6-8978-3A1E415D7F62}"/>
    <cellStyle name="Normal 4 4 3 2 2 5 3" xfId="6415" xr:uid="{00000000-0005-0000-0000-000076150000}"/>
    <cellStyle name="Normal 4 4 3 2 2 5 3 2" xfId="22531" xr:uid="{855CC939-C918-43D1-AA41-07F61EAD1C20}"/>
    <cellStyle name="Normal 4 4 3 2 2 5 3 3" xfId="14910" xr:uid="{D901D150-0339-4A10-A938-9047335F187A}"/>
    <cellStyle name="Normal 4 4 3 2 2 5 4" xfId="18318" xr:uid="{EC959E0C-EB37-477B-8BEA-327F7EBA44A6}"/>
    <cellStyle name="Normal 4 4 3 2 2 5 5" xfId="10697" xr:uid="{53A991EC-4EF7-4FA5-90AB-3032D15C4758}"/>
    <cellStyle name="Normal 4 4 3 2 2 6" xfId="2545" xr:uid="{00000000-0005-0000-0000-000077150000}"/>
    <cellStyle name="Normal 4 4 3 2 2 6 2" xfId="6828" xr:uid="{00000000-0005-0000-0000-000078150000}"/>
    <cellStyle name="Normal 4 4 3 2 2 6 2 2" xfId="22944" xr:uid="{39EB3B02-0240-49E3-ABD1-34164B66E3BF}"/>
    <cellStyle name="Normal 4 4 3 2 2 6 2 3" xfId="15323" xr:uid="{33F6BFC1-72C9-489E-9EAB-7BC1240A08D8}"/>
    <cellStyle name="Normal 4 4 3 2 2 6 3" xfId="18731" xr:uid="{4FC02D8D-4EBB-4819-ACD6-227EBF40BE26}"/>
    <cellStyle name="Normal 4 4 3 2 2 6 4" xfId="11110" xr:uid="{5BE59CD3-096C-4F4C-953A-6CDBD5AB6B16}"/>
    <cellStyle name="Normal 4 4 3 2 2 7" xfId="4763" xr:uid="{00000000-0005-0000-0000-000079150000}"/>
    <cellStyle name="Normal 4 4 3 2 2 7 2" xfId="20879" xr:uid="{959C1022-8E64-47EE-9113-718FF2940686}"/>
    <cellStyle name="Normal 4 4 3 2 2 7 3" xfId="13258" xr:uid="{69A42C51-881C-4234-8F05-DE7CE64EB695}"/>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23436" xr:uid="{69ED2578-6902-493A-9223-62AC745D6B2D}"/>
    <cellStyle name="Normal 4 4 3 2 3 2 2 3" xfId="15815" xr:uid="{B91181CD-99BD-4C48-BB69-3CDD74DAEF22}"/>
    <cellStyle name="Normal 4 4 3 2 3 2 3" xfId="19223" xr:uid="{C3DB5EC2-3661-426D-AED8-4A4173D90398}"/>
    <cellStyle name="Normal 4 4 3 2 3 2 4" xfId="11602" xr:uid="{E32CEB79-9F07-4901-9337-EB41BAD9EEBB}"/>
    <cellStyle name="Normal 4 4 3 2 3 3" xfId="5175" xr:uid="{00000000-0005-0000-0000-00007D150000}"/>
    <cellStyle name="Normal 4 4 3 2 3 3 2" xfId="21291" xr:uid="{6E05509B-4791-4A62-99C5-AC0C74B157A5}"/>
    <cellStyle name="Normal 4 4 3 2 3 3 3" xfId="13670" xr:uid="{DB3C21DD-2227-4FAC-A163-C5B4120680B7}"/>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23849" xr:uid="{342C8217-E095-4AB9-9E58-54722F8245F2}"/>
    <cellStyle name="Normal 4 4 3 2 4 2 2 3" xfId="16228" xr:uid="{FC786F26-7E63-4195-88D6-01427F7AEEBA}"/>
    <cellStyle name="Normal 4 4 3 2 4 2 3" xfId="19636" xr:uid="{F53FC75E-7647-49F0-A044-B857D82BBA4D}"/>
    <cellStyle name="Normal 4 4 3 2 4 2 4" xfId="12015" xr:uid="{9FEE7FBC-7AAE-4577-B617-E45D470F8E36}"/>
    <cellStyle name="Normal 4 4 3 2 4 3" xfId="5588" xr:uid="{00000000-0005-0000-0000-000081150000}"/>
    <cellStyle name="Normal 4 4 3 2 4 3 2" xfId="21704" xr:uid="{F4490A38-A106-4B26-9858-72612E048339}"/>
    <cellStyle name="Normal 4 4 3 2 4 3 3" xfId="14083" xr:uid="{87683BE6-4DCA-465E-9CE5-B43BD016DBDB}"/>
    <cellStyle name="Normal 4 4 3 2 4 4" xfId="17491" xr:uid="{780D028C-8A4C-4C92-8E7E-47F3971CB822}"/>
    <cellStyle name="Normal 4 4 3 2 4 5" xfId="9870" xr:uid="{9E4A3849-3138-42AB-ACDC-FA7E0C4E78C9}"/>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24262" xr:uid="{CA360D9D-4819-4997-A00A-5F99F2BAE634}"/>
    <cellStyle name="Normal 4 4 3 2 5 2 2 3" xfId="16641" xr:uid="{4025B3F1-7807-4F9E-9CDC-8F4259FA2E55}"/>
    <cellStyle name="Normal 4 4 3 2 5 2 3" xfId="20049" xr:uid="{BCAE8464-0648-4874-A90E-41EB80498DE1}"/>
    <cellStyle name="Normal 4 4 3 2 5 2 4" xfId="12428" xr:uid="{15949A09-B5CB-4B54-9E19-B50F36129C86}"/>
    <cellStyle name="Normal 4 4 3 2 5 3" xfId="6001" xr:uid="{00000000-0005-0000-0000-000085150000}"/>
    <cellStyle name="Normal 4 4 3 2 5 3 2" xfId="22117" xr:uid="{EB70FA3E-E3E8-4C3A-98A2-8445A24ADD04}"/>
    <cellStyle name="Normal 4 4 3 2 5 3 3" xfId="14496" xr:uid="{D285278F-5588-45B7-983E-E95295423685}"/>
    <cellStyle name="Normal 4 4 3 2 5 4" xfId="17904" xr:uid="{E8168613-4C55-4413-A569-D2FD1DF984D5}"/>
    <cellStyle name="Normal 4 4 3 2 5 5" xfId="10283" xr:uid="{21F7A7F8-4849-47FD-BB2B-F5EAE8B5234C}"/>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24675" xr:uid="{F1B8EBC4-21A1-4AD1-9CB1-A359A2E48770}"/>
    <cellStyle name="Normal 4 4 3 2 6 2 2 3" xfId="17054" xr:uid="{124A3259-1704-4F88-8F46-48F85E0D9586}"/>
    <cellStyle name="Normal 4 4 3 2 6 2 3" xfId="20462" xr:uid="{8B7FE1E3-19D6-432F-B451-C24E65B9CBAE}"/>
    <cellStyle name="Normal 4 4 3 2 6 2 4" xfId="12841" xr:uid="{BBFB56B8-9AFC-4100-BA9B-503CD8F795E3}"/>
    <cellStyle name="Normal 4 4 3 2 6 3" xfId="6414" xr:uid="{00000000-0005-0000-0000-000089150000}"/>
    <cellStyle name="Normal 4 4 3 2 6 3 2" xfId="22530" xr:uid="{8AB6D746-4FF2-4872-A2D5-514980B44248}"/>
    <cellStyle name="Normal 4 4 3 2 6 3 3" xfId="14909" xr:uid="{749B9E56-FE5A-4D7A-9849-8BECD13F692E}"/>
    <cellStyle name="Normal 4 4 3 2 6 4" xfId="18317" xr:uid="{E16B8B32-2CD0-414D-AFF3-B15FDC49FF93}"/>
    <cellStyle name="Normal 4 4 3 2 6 5" xfId="10696" xr:uid="{FA293CF1-6194-4D15-93F3-9111E7BA3E29}"/>
    <cellStyle name="Normal 4 4 3 2 7" xfId="2544" xr:uid="{00000000-0005-0000-0000-00008A150000}"/>
    <cellStyle name="Normal 4 4 3 2 7 2" xfId="6827" xr:uid="{00000000-0005-0000-0000-00008B150000}"/>
    <cellStyle name="Normal 4 4 3 2 7 2 2" xfId="22943" xr:uid="{1AF1C0E1-ACBD-456B-A54F-5E02E339486D}"/>
    <cellStyle name="Normal 4 4 3 2 7 2 3" xfId="15322" xr:uid="{868F97E7-31DE-4C36-A7CC-CE6B30A4A9E6}"/>
    <cellStyle name="Normal 4 4 3 2 7 3" xfId="18730" xr:uid="{AD21E5BD-8CB6-49C8-BBE7-36C5F58A251B}"/>
    <cellStyle name="Normal 4 4 3 2 7 4" xfId="11109" xr:uid="{33B86D76-1B5C-4808-8FD3-DA37B4EAC344}"/>
    <cellStyle name="Normal 4 4 3 2 8" xfId="4762" xr:uid="{00000000-0005-0000-0000-00008C150000}"/>
    <cellStyle name="Normal 4 4 3 2 8 2" xfId="20878" xr:uid="{02C3BCF3-4AB9-4865-BA0C-4EE590D2CF39}"/>
    <cellStyle name="Normal 4 4 3 2 8 3" xfId="13257" xr:uid="{F67509A2-6C1C-4B22-93FC-7BE1003D535B}"/>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23438" xr:uid="{6252CBC1-3CA3-4166-ADAE-FFB2C3D01442}"/>
    <cellStyle name="Normal 4 4 3 3 2 2 2 3" xfId="15817" xr:uid="{0974FBF4-2D8E-41E9-BC9B-78DFE7C873D7}"/>
    <cellStyle name="Normal 4 4 3 3 2 2 3" xfId="19225" xr:uid="{8249C3F5-427A-4B94-94A2-F878ADC2B638}"/>
    <cellStyle name="Normal 4 4 3 3 2 2 4" xfId="11604" xr:uid="{B0E4BEAC-4C60-4A00-8237-5DB767CC309A}"/>
    <cellStyle name="Normal 4 4 3 3 2 3" xfId="5177" xr:uid="{00000000-0005-0000-0000-000091150000}"/>
    <cellStyle name="Normal 4 4 3 3 2 3 2" xfId="21293" xr:uid="{39D6B2E4-C6BF-411E-B090-27ECB69A5D99}"/>
    <cellStyle name="Normal 4 4 3 3 2 3 3" xfId="13672" xr:uid="{0B92A69E-43C5-48D3-8F69-185FC2C8458C}"/>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23851" xr:uid="{C2FC4EC3-F811-4DC1-A938-5FA1546C6DED}"/>
    <cellStyle name="Normal 4 4 3 3 3 2 2 3" xfId="16230" xr:uid="{472C8B1B-5A6E-42D1-B65A-B9CFC8828AF8}"/>
    <cellStyle name="Normal 4 4 3 3 3 2 3" xfId="19638" xr:uid="{15267216-4F26-4247-AF78-7EB0933E7122}"/>
    <cellStyle name="Normal 4 4 3 3 3 2 4" xfId="12017" xr:uid="{CCC6F44C-0060-4A9D-9689-F4E834406412}"/>
    <cellStyle name="Normal 4 4 3 3 3 3" xfId="5590" xr:uid="{00000000-0005-0000-0000-000095150000}"/>
    <cellStyle name="Normal 4 4 3 3 3 3 2" xfId="21706" xr:uid="{7D6B74D9-5840-44C3-8EF8-FC9A1FECBC6C}"/>
    <cellStyle name="Normal 4 4 3 3 3 3 3" xfId="14085" xr:uid="{3AD92B2C-7A32-424A-A394-EB70897ECDFA}"/>
    <cellStyle name="Normal 4 4 3 3 3 4" xfId="17493" xr:uid="{E2F695DB-8176-475C-AB94-FD8F6C4BFB6D}"/>
    <cellStyle name="Normal 4 4 3 3 3 5" xfId="9872" xr:uid="{EA2937B3-92E1-4D54-998E-1FBF9CEDA23A}"/>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24264" xr:uid="{62865CE0-2026-4459-A6D3-A091A8FA9A38}"/>
    <cellStyle name="Normal 4 4 3 3 4 2 2 3" xfId="16643" xr:uid="{83A19AC9-49DB-4AAC-9E60-E4E79CEC913E}"/>
    <cellStyle name="Normal 4 4 3 3 4 2 3" xfId="20051" xr:uid="{B8B40EA7-2C14-4579-B2E4-5F2C358E1747}"/>
    <cellStyle name="Normal 4 4 3 3 4 2 4" xfId="12430" xr:uid="{CB876133-5D0B-49D4-A06D-3D184CD9E95E}"/>
    <cellStyle name="Normal 4 4 3 3 4 3" xfId="6003" xr:uid="{00000000-0005-0000-0000-000099150000}"/>
    <cellStyle name="Normal 4 4 3 3 4 3 2" xfId="22119" xr:uid="{223A1780-9EFC-4BC1-88AB-AF683891D899}"/>
    <cellStyle name="Normal 4 4 3 3 4 3 3" xfId="14498" xr:uid="{943AB85F-9752-4ACD-B5B5-AEA24DEC7E1C}"/>
    <cellStyle name="Normal 4 4 3 3 4 4" xfId="17906" xr:uid="{5E9ABBC6-B8CE-4E95-A7CC-0F8A996AB6F7}"/>
    <cellStyle name="Normal 4 4 3 3 4 5" xfId="10285" xr:uid="{BDA4FE77-4F1B-466E-B91A-94FAD1EE9F0C}"/>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24677" xr:uid="{9855ABC0-E886-4B90-B013-006B9AEB9948}"/>
    <cellStyle name="Normal 4 4 3 3 5 2 2 3" xfId="17056" xr:uid="{42D272B9-C072-4802-8F5F-97D9C21EDD54}"/>
    <cellStyle name="Normal 4 4 3 3 5 2 3" xfId="20464" xr:uid="{C1373D5B-2AE7-4280-8F76-9CDBBDB482FC}"/>
    <cellStyle name="Normal 4 4 3 3 5 2 4" xfId="12843" xr:uid="{1DC2E0CA-1139-47E1-A35B-85FACEAA0D85}"/>
    <cellStyle name="Normal 4 4 3 3 5 3" xfId="6416" xr:uid="{00000000-0005-0000-0000-00009D150000}"/>
    <cellStyle name="Normal 4 4 3 3 5 3 2" xfId="22532" xr:uid="{962BBBE0-6E75-484E-BDDA-09DCA165EB6E}"/>
    <cellStyle name="Normal 4 4 3 3 5 3 3" xfId="14911" xr:uid="{66CA6413-E5ED-43EA-A48D-F37829D56D4C}"/>
    <cellStyle name="Normal 4 4 3 3 5 4" xfId="18319" xr:uid="{CE04C822-CA5E-4E9C-B048-97C3EA76EE0F}"/>
    <cellStyle name="Normal 4 4 3 3 5 5" xfId="10698" xr:uid="{92510C30-99A6-4783-AE31-A31F4EC28EE2}"/>
    <cellStyle name="Normal 4 4 3 3 6" xfId="2546" xr:uid="{00000000-0005-0000-0000-00009E150000}"/>
    <cellStyle name="Normal 4 4 3 3 6 2" xfId="6829" xr:uid="{00000000-0005-0000-0000-00009F150000}"/>
    <cellStyle name="Normal 4 4 3 3 6 2 2" xfId="22945" xr:uid="{EC21CCA5-5788-4A08-9AE0-50463AF9CEE6}"/>
    <cellStyle name="Normal 4 4 3 3 6 2 3" xfId="15324" xr:uid="{C5790FE9-5CE8-48C3-8755-6A3D864658E4}"/>
    <cellStyle name="Normal 4 4 3 3 6 3" xfId="18732" xr:uid="{2F66AE3D-588C-4119-9CB1-FAE2931E8A34}"/>
    <cellStyle name="Normal 4 4 3 3 6 4" xfId="11111" xr:uid="{9DF1AEC4-47C2-4587-82F2-7A5ABC803DB0}"/>
    <cellStyle name="Normal 4 4 3 3 7" xfId="4764" xr:uid="{00000000-0005-0000-0000-0000A0150000}"/>
    <cellStyle name="Normal 4 4 3 3 7 2" xfId="20880" xr:uid="{0E1DBF56-395C-47AB-ACE8-BDE92A4A5B38}"/>
    <cellStyle name="Normal 4 4 3 3 7 3" xfId="13259" xr:uid="{3A3B2A55-A283-425A-AF60-80D93ACE37C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2 2 2" xfId="23435" xr:uid="{C109FC06-E68F-45FA-BCAB-9E66BA7D2DD0}"/>
    <cellStyle name="Normal 4 4 3 4 2 2 3" xfId="15814" xr:uid="{B2645544-8FDC-4DEC-87DD-659BA09B11CF}"/>
    <cellStyle name="Normal 4 4 3 4 2 3" xfId="19222" xr:uid="{D3A0C445-BE1E-406B-B5AB-C197D11A4F98}"/>
    <cellStyle name="Normal 4 4 3 4 2 4" xfId="11601" xr:uid="{ED22B9B4-E376-48E5-8A3A-49E131EBA644}"/>
    <cellStyle name="Normal 4 4 3 4 3" xfId="5174" xr:uid="{00000000-0005-0000-0000-0000A4150000}"/>
    <cellStyle name="Normal 4 4 3 4 3 2" xfId="21290" xr:uid="{AF6A6042-C1F6-46CB-B6F4-4E4C59515068}"/>
    <cellStyle name="Normal 4 4 3 4 3 3" xfId="13669" xr:uid="{A7F64DC0-CD45-4AEF-BB24-F5CCB8DE24EC}"/>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2 2 2" xfId="23848" xr:uid="{0CCD01E9-CF92-4A2C-819B-8F9018992C12}"/>
    <cellStyle name="Normal 4 4 3 5 2 2 3" xfId="16227" xr:uid="{C0AE7324-1045-40FE-8AA9-2CDAE3A93720}"/>
    <cellStyle name="Normal 4 4 3 5 2 3" xfId="19635" xr:uid="{FC4427BD-6992-4E7E-963B-C9329EF3B159}"/>
    <cellStyle name="Normal 4 4 3 5 2 4" xfId="12014" xr:uid="{FC9D9118-2024-4A39-A8BA-8A831E55070E}"/>
    <cellStyle name="Normal 4 4 3 5 3" xfId="5587" xr:uid="{00000000-0005-0000-0000-0000A8150000}"/>
    <cellStyle name="Normal 4 4 3 5 3 2" xfId="21703" xr:uid="{1DE566D7-5779-44CE-8E3B-0E54F85D10D4}"/>
    <cellStyle name="Normal 4 4 3 5 3 3" xfId="14082" xr:uid="{FFE846A1-7BB2-4ACC-818B-4CA0FAB7C694}"/>
    <cellStyle name="Normal 4 4 3 5 4" xfId="17490" xr:uid="{0A701060-329B-48AF-8527-EEB68E2AA4A6}"/>
    <cellStyle name="Normal 4 4 3 5 5" xfId="9869" xr:uid="{F04CBBED-12D8-4562-B526-430C5A4BB44E}"/>
    <cellStyle name="Normal 4 4 3 6" xfId="1693" xr:uid="{00000000-0005-0000-0000-0000A9150000}"/>
    <cellStyle name="Normal 4 4 3 6 2" xfId="3923" xr:uid="{00000000-0005-0000-0000-0000AA150000}"/>
    <cellStyle name="Normal 4 4 3 6 2 2" xfId="8145" xr:uid="{00000000-0005-0000-0000-0000AB150000}"/>
    <cellStyle name="Normal 4 4 3 6 2 2 2" xfId="24261" xr:uid="{3B161BCA-CD56-411C-A8E1-2ADF92805CBE}"/>
    <cellStyle name="Normal 4 4 3 6 2 2 3" xfId="16640" xr:uid="{E53D6F4E-0847-4DB6-B2D4-77F662B9E801}"/>
    <cellStyle name="Normal 4 4 3 6 2 3" xfId="20048" xr:uid="{EA187420-D1B1-4C28-930A-F23E839A6A1C}"/>
    <cellStyle name="Normal 4 4 3 6 2 4" xfId="12427" xr:uid="{6A22AA12-DF08-4922-9425-55C01BD36C00}"/>
    <cellStyle name="Normal 4 4 3 6 3" xfId="6000" xr:uid="{00000000-0005-0000-0000-0000AC150000}"/>
    <cellStyle name="Normal 4 4 3 6 3 2" xfId="22116" xr:uid="{CC753A8A-60C0-447A-BA82-C8BCA45E5B26}"/>
    <cellStyle name="Normal 4 4 3 6 3 3" xfId="14495" xr:uid="{0EAF81BA-0D1C-4B94-94C5-89B7EDBC7C50}"/>
    <cellStyle name="Normal 4 4 3 6 4" xfId="17903" xr:uid="{E562E8F2-A754-4B7C-A7C3-DF7D541E698E}"/>
    <cellStyle name="Normal 4 4 3 6 5" xfId="10282" xr:uid="{D3ADE52E-9D73-4355-BCFE-036467E763D5}"/>
    <cellStyle name="Normal 4 4 3 7" xfId="2107" xr:uid="{00000000-0005-0000-0000-0000AD150000}"/>
    <cellStyle name="Normal 4 4 3 7 2" xfId="4336" xr:uid="{00000000-0005-0000-0000-0000AE150000}"/>
    <cellStyle name="Normal 4 4 3 7 2 2" xfId="8558" xr:uid="{00000000-0005-0000-0000-0000AF150000}"/>
    <cellStyle name="Normal 4 4 3 7 2 2 2" xfId="24674" xr:uid="{F6BDBCDD-6D3C-4E49-B003-9672C62FE333}"/>
    <cellStyle name="Normal 4 4 3 7 2 2 3" xfId="17053" xr:uid="{7A34E040-DF7C-4D75-91A8-657371847472}"/>
    <cellStyle name="Normal 4 4 3 7 2 3" xfId="20461" xr:uid="{8A27E0B5-A17D-4355-B68B-7A112BB9ECAB}"/>
    <cellStyle name="Normal 4 4 3 7 2 4" xfId="12840" xr:uid="{F257D8EF-30BB-4766-8D9E-0A5321CF7BA1}"/>
    <cellStyle name="Normal 4 4 3 7 3" xfId="6413" xr:uid="{00000000-0005-0000-0000-0000B0150000}"/>
    <cellStyle name="Normal 4 4 3 7 3 2" xfId="22529" xr:uid="{67CAACCE-E54A-4873-9700-386026C63081}"/>
    <cellStyle name="Normal 4 4 3 7 3 3" xfId="14908" xr:uid="{C92AAEC6-90C8-4EF9-904D-BAD1EAF1BB94}"/>
    <cellStyle name="Normal 4 4 3 7 4" xfId="18316" xr:uid="{0D92B914-721C-45FA-A377-179539747720}"/>
    <cellStyle name="Normal 4 4 3 7 5" xfId="10695" xr:uid="{49BCB0D7-7A50-4D7F-8B5B-99F30E37DA1C}"/>
    <cellStyle name="Normal 4 4 3 8" xfId="2543" xr:uid="{00000000-0005-0000-0000-0000B1150000}"/>
    <cellStyle name="Normal 4 4 3 8 2" xfId="6826" xr:uid="{00000000-0005-0000-0000-0000B2150000}"/>
    <cellStyle name="Normal 4 4 3 8 2 2" xfId="22942" xr:uid="{48DA5EAC-1590-4594-9957-54E3518EA585}"/>
    <cellStyle name="Normal 4 4 3 8 2 3" xfId="15321" xr:uid="{AB8B2F16-C4E7-4499-AD12-34173340D35F}"/>
    <cellStyle name="Normal 4 4 3 8 3" xfId="18729" xr:uid="{50FDA675-90F4-4738-9E8A-3A014D30E707}"/>
    <cellStyle name="Normal 4 4 3 8 4" xfId="11108" xr:uid="{9D299644-FBCB-45CA-B4D0-9EA420B879C2}"/>
    <cellStyle name="Normal 4 4 3 9" xfId="4761" xr:uid="{00000000-0005-0000-0000-0000B3150000}"/>
    <cellStyle name="Normal 4 4 3 9 2" xfId="20877" xr:uid="{E5F99A0D-F848-45B8-B710-30DDF9FD917B}"/>
    <cellStyle name="Normal 4 4 3 9 3" xfId="13256" xr:uid="{BE4AE875-3ED6-44B0-BFCB-E912A20473C6}"/>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23440" xr:uid="{1D68F587-5181-49D9-BBC9-C793884367EF}"/>
    <cellStyle name="Normal 4 4 4 2 2 2 2 3" xfId="15819" xr:uid="{1E9245A6-D112-48F6-B3CD-D40F43F69810}"/>
    <cellStyle name="Normal 4 4 4 2 2 2 3" xfId="19227" xr:uid="{B504F5BD-3337-4466-B0BA-5F87106EB60C}"/>
    <cellStyle name="Normal 4 4 4 2 2 2 4" xfId="11606" xr:uid="{760ACA7A-7DCC-4C2A-89DC-2DEECE40A3B6}"/>
    <cellStyle name="Normal 4 4 4 2 2 3" xfId="5179" xr:uid="{00000000-0005-0000-0000-0000B9150000}"/>
    <cellStyle name="Normal 4 4 4 2 2 3 2" xfId="21295" xr:uid="{41790D60-CCB9-432E-BAAF-70773E7BA0D9}"/>
    <cellStyle name="Normal 4 4 4 2 2 3 3" xfId="13674" xr:uid="{3FFF3C08-719F-4BFD-91E7-F6C0E8B45587}"/>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23853" xr:uid="{C576A8A8-3DD8-455B-8E85-801CF5757041}"/>
    <cellStyle name="Normal 4 4 4 2 3 2 2 3" xfId="16232" xr:uid="{EED01BB7-8332-47CB-9D44-4C2DCE5BD23E}"/>
    <cellStyle name="Normal 4 4 4 2 3 2 3" xfId="19640" xr:uid="{891F3DC1-F738-49C3-BE89-79077BAA161D}"/>
    <cellStyle name="Normal 4 4 4 2 3 2 4" xfId="12019" xr:uid="{E80AA5ED-349F-429D-89F2-19732DB74947}"/>
    <cellStyle name="Normal 4 4 4 2 3 3" xfId="5592" xr:uid="{00000000-0005-0000-0000-0000BD150000}"/>
    <cellStyle name="Normal 4 4 4 2 3 3 2" xfId="21708" xr:uid="{45D9C104-899F-4990-9FB2-B38AF66237D8}"/>
    <cellStyle name="Normal 4 4 4 2 3 3 3" xfId="14087" xr:uid="{2530849E-A9BD-49BE-937D-0DAD6A2011DA}"/>
    <cellStyle name="Normal 4 4 4 2 3 4" xfId="17495" xr:uid="{D2246FDE-32BD-4A00-A018-73169C000215}"/>
    <cellStyle name="Normal 4 4 4 2 3 5" xfId="9874" xr:uid="{5FB3B37B-F404-4F7E-8FFC-624E98A16A5C}"/>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24266" xr:uid="{F0BC8524-1DED-4116-9BDE-59BB62E5D5FA}"/>
    <cellStyle name="Normal 4 4 4 2 4 2 2 3" xfId="16645" xr:uid="{174F8B8C-AF19-4C1A-86D5-31669B41F959}"/>
    <cellStyle name="Normal 4 4 4 2 4 2 3" xfId="20053" xr:uid="{A228CE17-D6E7-4A9C-8D9F-1ADDB6D4672A}"/>
    <cellStyle name="Normal 4 4 4 2 4 2 4" xfId="12432" xr:uid="{02D1A9E0-C827-463A-BB7E-73A330C91D84}"/>
    <cellStyle name="Normal 4 4 4 2 4 3" xfId="6005" xr:uid="{00000000-0005-0000-0000-0000C1150000}"/>
    <cellStyle name="Normal 4 4 4 2 4 3 2" xfId="22121" xr:uid="{82DEC5BF-ED89-4068-86D0-72214C6AAF82}"/>
    <cellStyle name="Normal 4 4 4 2 4 3 3" xfId="14500" xr:uid="{E3EACE3E-5D3A-4E53-9D0A-F994A1B45C75}"/>
    <cellStyle name="Normal 4 4 4 2 4 4" xfId="17908" xr:uid="{5674A5E4-4BAC-4128-880C-459CFD8FA935}"/>
    <cellStyle name="Normal 4 4 4 2 4 5" xfId="10287" xr:uid="{A90525FD-A896-4D5D-B581-66A5A68307C6}"/>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24679" xr:uid="{9039A2DA-A2FF-4F11-9F54-7753EC6F03C6}"/>
    <cellStyle name="Normal 4 4 4 2 5 2 2 3" xfId="17058" xr:uid="{71DE14C9-4BE4-437A-9AA9-50DAC9F9BD8C}"/>
    <cellStyle name="Normal 4 4 4 2 5 2 3" xfId="20466" xr:uid="{C6D3AC21-B75F-4E75-A834-2450406F51FD}"/>
    <cellStyle name="Normal 4 4 4 2 5 2 4" xfId="12845" xr:uid="{9B7FB9C9-307F-4BBE-8B19-B4D31A78051E}"/>
    <cellStyle name="Normal 4 4 4 2 5 3" xfId="6418" xr:uid="{00000000-0005-0000-0000-0000C5150000}"/>
    <cellStyle name="Normal 4 4 4 2 5 3 2" xfId="22534" xr:uid="{E8DA3BEF-3EED-4C1B-9515-DE97F8096CE3}"/>
    <cellStyle name="Normal 4 4 4 2 5 3 3" xfId="14913" xr:uid="{262A847E-C626-487C-B0B5-A5AFD272F86E}"/>
    <cellStyle name="Normal 4 4 4 2 5 4" xfId="18321" xr:uid="{DF8D399F-6729-41BB-A51F-742B86F9B083}"/>
    <cellStyle name="Normal 4 4 4 2 5 5" xfId="10700" xr:uid="{A0215076-87B4-4DD8-88C1-7848EE718405}"/>
    <cellStyle name="Normal 4 4 4 2 6" xfId="2548" xr:uid="{00000000-0005-0000-0000-0000C6150000}"/>
    <cellStyle name="Normal 4 4 4 2 6 2" xfId="6831" xr:uid="{00000000-0005-0000-0000-0000C7150000}"/>
    <cellStyle name="Normal 4 4 4 2 6 2 2" xfId="22947" xr:uid="{F891580F-A554-48D9-A191-ACBADEF397DC}"/>
    <cellStyle name="Normal 4 4 4 2 6 2 3" xfId="15326" xr:uid="{FE5126DC-D752-4687-8E3A-A5AB41527A25}"/>
    <cellStyle name="Normal 4 4 4 2 6 3" xfId="18734" xr:uid="{DF95D6B1-DFFB-49C0-889D-6C56B610D7F4}"/>
    <cellStyle name="Normal 4 4 4 2 6 4" xfId="11113" xr:uid="{7D5CF14B-691B-41AC-A70C-07D7589AAC12}"/>
    <cellStyle name="Normal 4 4 4 2 7" xfId="4766" xr:uid="{00000000-0005-0000-0000-0000C8150000}"/>
    <cellStyle name="Normal 4 4 4 2 7 2" xfId="20882" xr:uid="{B23C071B-472D-401D-81B3-FA7492141D2C}"/>
    <cellStyle name="Normal 4 4 4 2 7 3" xfId="13261" xr:uid="{DE89A6D0-B66F-4E69-A508-E9245791CAE4}"/>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2 2 2" xfId="23439" xr:uid="{0A98B771-F08D-4BBF-8561-27D4877D70D1}"/>
    <cellStyle name="Normal 4 4 4 3 2 2 3" xfId="15818" xr:uid="{E7C2FA74-3C3C-4429-9B6F-6D411A8FBF61}"/>
    <cellStyle name="Normal 4 4 4 3 2 3" xfId="19226" xr:uid="{E2393E59-83A5-40BE-91E2-55A0762D360A}"/>
    <cellStyle name="Normal 4 4 4 3 2 4" xfId="11605" xr:uid="{BF35F3C5-8F6C-45DE-B499-1740D0782BA0}"/>
    <cellStyle name="Normal 4 4 4 3 3" xfId="5178" xr:uid="{00000000-0005-0000-0000-0000CC150000}"/>
    <cellStyle name="Normal 4 4 4 3 3 2" xfId="21294" xr:uid="{4743B339-C7E5-4624-BA89-9E8F48FD7115}"/>
    <cellStyle name="Normal 4 4 4 3 3 3" xfId="13673" xr:uid="{3AE9B141-AF17-4998-AC85-CF48A00E0A22}"/>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2 2 2" xfId="23852" xr:uid="{1C06B70A-0394-4953-B927-CE2CB745FA56}"/>
    <cellStyle name="Normal 4 4 4 4 2 2 3" xfId="16231" xr:uid="{C1F2772D-C183-4318-9475-4866528A6BDB}"/>
    <cellStyle name="Normal 4 4 4 4 2 3" xfId="19639" xr:uid="{2AB3C601-B782-4DB6-8F75-860207C07A99}"/>
    <cellStyle name="Normal 4 4 4 4 2 4" xfId="12018" xr:uid="{86B966B1-61A0-42C6-BBB8-7F0FB4B95E5D}"/>
    <cellStyle name="Normal 4 4 4 4 3" xfId="5591" xr:uid="{00000000-0005-0000-0000-0000D0150000}"/>
    <cellStyle name="Normal 4 4 4 4 3 2" xfId="21707" xr:uid="{932AAA9D-6599-4C8D-8F11-8F8136A9FB24}"/>
    <cellStyle name="Normal 4 4 4 4 3 3" xfId="14086" xr:uid="{905D59CA-75F3-42C4-8BB8-81560308BB97}"/>
    <cellStyle name="Normal 4 4 4 4 4" xfId="17494" xr:uid="{1B214FDB-B0B0-4511-9CB1-4DDE821B6737}"/>
    <cellStyle name="Normal 4 4 4 4 5" xfId="9873" xr:uid="{F228AD1B-B5B3-46FB-9DD2-7D6BC08A8CD2}"/>
    <cellStyle name="Normal 4 4 4 5" xfId="1697" xr:uid="{00000000-0005-0000-0000-0000D1150000}"/>
    <cellStyle name="Normal 4 4 4 5 2" xfId="3927" xr:uid="{00000000-0005-0000-0000-0000D2150000}"/>
    <cellStyle name="Normal 4 4 4 5 2 2" xfId="8149" xr:uid="{00000000-0005-0000-0000-0000D3150000}"/>
    <cellStyle name="Normal 4 4 4 5 2 2 2" xfId="24265" xr:uid="{846BDF03-92CA-4682-861E-2E653273E002}"/>
    <cellStyle name="Normal 4 4 4 5 2 2 3" xfId="16644" xr:uid="{AC0CCE8E-45A9-4367-A46E-E721C13A0FEA}"/>
    <cellStyle name="Normal 4 4 4 5 2 3" xfId="20052" xr:uid="{D588548E-C525-40E5-B3DB-5883456362B2}"/>
    <cellStyle name="Normal 4 4 4 5 2 4" xfId="12431" xr:uid="{2D501245-3015-460C-AA6C-A717AD6872F3}"/>
    <cellStyle name="Normal 4 4 4 5 3" xfId="6004" xr:uid="{00000000-0005-0000-0000-0000D4150000}"/>
    <cellStyle name="Normal 4 4 4 5 3 2" xfId="22120" xr:uid="{B84D0203-070F-4581-9A71-BE16DCA37384}"/>
    <cellStyle name="Normal 4 4 4 5 3 3" xfId="14499" xr:uid="{9F674D4B-8BA5-43B5-ADBE-5BF6451A94B7}"/>
    <cellStyle name="Normal 4 4 4 5 4" xfId="17907" xr:uid="{14B0A0B5-B258-47E2-BAF3-94CAEF1D549D}"/>
    <cellStyle name="Normal 4 4 4 5 5" xfId="10286" xr:uid="{24D45ED5-8FE2-407C-BA8E-ADB1CC54B774}"/>
    <cellStyle name="Normal 4 4 4 6" xfId="2111" xr:uid="{00000000-0005-0000-0000-0000D5150000}"/>
    <cellStyle name="Normal 4 4 4 6 2" xfId="4340" xr:uid="{00000000-0005-0000-0000-0000D6150000}"/>
    <cellStyle name="Normal 4 4 4 6 2 2" xfId="8562" xr:uid="{00000000-0005-0000-0000-0000D7150000}"/>
    <cellStyle name="Normal 4 4 4 6 2 2 2" xfId="24678" xr:uid="{F13D3989-DF54-41BD-9B9F-C13D26FAF860}"/>
    <cellStyle name="Normal 4 4 4 6 2 2 3" xfId="17057" xr:uid="{EC0634E2-6CA3-4A11-99A2-5F0B41171A2F}"/>
    <cellStyle name="Normal 4 4 4 6 2 3" xfId="20465" xr:uid="{7027C350-B339-497E-9675-293790D4C68D}"/>
    <cellStyle name="Normal 4 4 4 6 2 4" xfId="12844" xr:uid="{8FEC1096-0DB6-4D17-94DC-EFCD9CE385F3}"/>
    <cellStyle name="Normal 4 4 4 6 3" xfId="6417" xr:uid="{00000000-0005-0000-0000-0000D8150000}"/>
    <cellStyle name="Normal 4 4 4 6 3 2" xfId="22533" xr:uid="{B2065383-F677-4197-859A-8D34F2EA995E}"/>
    <cellStyle name="Normal 4 4 4 6 3 3" xfId="14912" xr:uid="{1583E134-CDFE-457B-B2BC-56BD8582F25D}"/>
    <cellStyle name="Normal 4 4 4 6 4" xfId="18320" xr:uid="{185FCD61-E588-46DB-986E-F2994D35BB80}"/>
    <cellStyle name="Normal 4 4 4 6 5" xfId="10699" xr:uid="{CB921CD9-F5CB-4646-A8AB-954292DC4346}"/>
    <cellStyle name="Normal 4 4 4 7" xfId="2547" xr:uid="{00000000-0005-0000-0000-0000D9150000}"/>
    <cellStyle name="Normal 4 4 4 7 2" xfId="6830" xr:uid="{00000000-0005-0000-0000-0000DA150000}"/>
    <cellStyle name="Normal 4 4 4 7 2 2" xfId="22946" xr:uid="{F7689141-9076-4DAD-A839-46DB7675BFC8}"/>
    <cellStyle name="Normal 4 4 4 7 2 3" xfId="15325" xr:uid="{824018A9-A4F3-4946-975B-DD42186E1329}"/>
    <cellStyle name="Normal 4 4 4 7 3" xfId="18733" xr:uid="{D978F4CF-72A8-4788-8BF2-641A71AA8178}"/>
    <cellStyle name="Normal 4 4 4 7 4" xfId="11112" xr:uid="{1D1CB7BF-F77D-4FF6-8B67-C2FC2C6F46A4}"/>
    <cellStyle name="Normal 4 4 4 8" xfId="4765" xr:uid="{00000000-0005-0000-0000-0000DB150000}"/>
    <cellStyle name="Normal 4 4 4 8 2" xfId="20881" xr:uid="{1249E734-C309-4988-827B-76841F092B85}"/>
    <cellStyle name="Normal 4 4 4 8 3" xfId="13260" xr:uid="{E6246490-DEED-4030-A948-5D080A657F8F}"/>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23441" xr:uid="{2581382B-9C40-4311-A7A5-83E962427552}"/>
    <cellStyle name="Normal 4 4 5 2 2 2 3" xfId="15820" xr:uid="{03922BF6-1EE7-4511-8C4B-50464FCFADB2}"/>
    <cellStyle name="Normal 4 4 5 2 2 3" xfId="19228" xr:uid="{C3681223-2F9A-4F1C-B38B-EA886D4AAB59}"/>
    <cellStyle name="Normal 4 4 5 2 2 4" xfId="11607" xr:uid="{8BE7968C-5BC5-47B6-8415-B3553F46D280}"/>
    <cellStyle name="Normal 4 4 5 2 3" xfId="5180" xr:uid="{00000000-0005-0000-0000-0000E0150000}"/>
    <cellStyle name="Normal 4 4 5 2 3 2" xfId="21296" xr:uid="{9013C19F-8505-471F-8164-BC20442027A4}"/>
    <cellStyle name="Normal 4 4 5 2 3 3" xfId="13675" xr:uid="{CD5C9050-3DD2-47E8-895F-5A933AFB69D8}"/>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2 2 2" xfId="23854" xr:uid="{71951AED-C274-4C13-9455-3525FB8CD391}"/>
    <cellStyle name="Normal 4 4 5 3 2 2 3" xfId="16233" xr:uid="{F445DBFA-4B5E-4FD1-8A95-F889B0D9DD21}"/>
    <cellStyle name="Normal 4 4 5 3 2 3" xfId="19641" xr:uid="{B6908E1A-5187-4108-9964-D41E7D43B65C}"/>
    <cellStyle name="Normal 4 4 5 3 2 4" xfId="12020" xr:uid="{84D10F29-264F-4A9E-918F-9983D38852CD}"/>
    <cellStyle name="Normal 4 4 5 3 3" xfId="5593" xr:uid="{00000000-0005-0000-0000-0000E4150000}"/>
    <cellStyle name="Normal 4 4 5 3 3 2" xfId="21709" xr:uid="{A308190C-8A93-4D3F-9174-6603056646DB}"/>
    <cellStyle name="Normal 4 4 5 3 3 3" xfId="14088" xr:uid="{0666660E-C763-401C-BABF-4A06D64B418F}"/>
    <cellStyle name="Normal 4 4 5 3 4" xfId="17496" xr:uid="{230E9236-36F5-40F1-BCEC-2E465A5A0BAB}"/>
    <cellStyle name="Normal 4 4 5 3 5" xfId="9875" xr:uid="{B51D8F12-B472-4A47-AB3F-B662994CBF0E}"/>
    <cellStyle name="Normal 4 4 5 4" xfId="1699" xr:uid="{00000000-0005-0000-0000-0000E5150000}"/>
    <cellStyle name="Normal 4 4 5 4 2" xfId="3929" xr:uid="{00000000-0005-0000-0000-0000E6150000}"/>
    <cellStyle name="Normal 4 4 5 4 2 2" xfId="8151" xr:uid="{00000000-0005-0000-0000-0000E7150000}"/>
    <cellStyle name="Normal 4 4 5 4 2 2 2" xfId="24267" xr:uid="{ABAA6A06-C275-4078-88F1-0E7649867BF4}"/>
    <cellStyle name="Normal 4 4 5 4 2 2 3" xfId="16646" xr:uid="{C8D3BDE6-44A4-4397-A4B8-F3E183DBC380}"/>
    <cellStyle name="Normal 4 4 5 4 2 3" xfId="20054" xr:uid="{F31DCCDF-1E50-46E2-9C96-62377EAE7677}"/>
    <cellStyle name="Normal 4 4 5 4 2 4" xfId="12433" xr:uid="{ED46DA92-DC64-422D-A1A0-DFAD2A964C49}"/>
    <cellStyle name="Normal 4 4 5 4 3" xfId="6006" xr:uid="{00000000-0005-0000-0000-0000E8150000}"/>
    <cellStyle name="Normal 4 4 5 4 3 2" xfId="22122" xr:uid="{7F74C192-81ED-423C-B11B-34C1FA75C997}"/>
    <cellStyle name="Normal 4 4 5 4 3 3" xfId="14501" xr:uid="{70946322-190B-4C40-9349-422C4FD97851}"/>
    <cellStyle name="Normal 4 4 5 4 4" xfId="17909" xr:uid="{F911507C-251E-4643-BF36-A8850FAC2538}"/>
    <cellStyle name="Normal 4 4 5 4 5" xfId="10288" xr:uid="{ADA5B1B7-50E7-4692-8901-21CCEDB1C574}"/>
    <cellStyle name="Normal 4 4 5 5" xfId="2113" xr:uid="{00000000-0005-0000-0000-0000E9150000}"/>
    <cellStyle name="Normal 4 4 5 5 2" xfId="4342" xr:uid="{00000000-0005-0000-0000-0000EA150000}"/>
    <cellStyle name="Normal 4 4 5 5 2 2" xfId="8564" xr:uid="{00000000-0005-0000-0000-0000EB150000}"/>
    <cellStyle name="Normal 4 4 5 5 2 2 2" xfId="24680" xr:uid="{F65EF622-5CAD-4ED4-818E-1B643D06F360}"/>
    <cellStyle name="Normal 4 4 5 5 2 2 3" xfId="17059" xr:uid="{F27C25D8-5A47-41DD-96F7-81FECEE0885C}"/>
    <cellStyle name="Normal 4 4 5 5 2 3" xfId="20467" xr:uid="{A5BBE4FC-1BFE-442D-BA11-70D42D26D2E2}"/>
    <cellStyle name="Normal 4 4 5 5 2 4" xfId="12846" xr:uid="{EFDCD929-78C3-48DC-A577-F9C0EC6CA2C6}"/>
    <cellStyle name="Normal 4 4 5 5 3" xfId="6419" xr:uid="{00000000-0005-0000-0000-0000EC150000}"/>
    <cellStyle name="Normal 4 4 5 5 3 2" xfId="22535" xr:uid="{F5016D20-6B0B-4BE0-84C0-0EC04E635EA6}"/>
    <cellStyle name="Normal 4 4 5 5 3 3" xfId="14914" xr:uid="{7E4774B5-4953-4D45-8115-A5787BB62BE9}"/>
    <cellStyle name="Normal 4 4 5 5 4" xfId="18322" xr:uid="{0E81E57A-A994-41D7-811C-0C71686D709F}"/>
    <cellStyle name="Normal 4 4 5 5 5" xfId="10701" xr:uid="{7210285B-68C0-435A-8D96-2C050D651AC6}"/>
    <cellStyle name="Normal 4 4 5 6" xfId="2549" xr:uid="{00000000-0005-0000-0000-0000ED150000}"/>
    <cellStyle name="Normal 4 4 5 6 2" xfId="6832" xr:uid="{00000000-0005-0000-0000-0000EE150000}"/>
    <cellStyle name="Normal 4 4 5 6 2 2" xfId="22948" xr:uid="{3BF8FFDA-5F59-4B36-968A-074F931BF554}"/>
    <cellStyle name="Normal 4 4 5 6 2 3" xfId="15327" xr:uid="{239FA32E-0CC4-4B9C-87E1-4BB8D32BD670}"/>
    <cellStyle name="Normal 4 4 5 6 3" xfId="18735" xr:uid="{F764A753-E792-40AE-A8F1-A673B11392BF}"/>
    <cellStyle name="Normal 4 4 5 6 4" xfId="11114" xr:uid="{BAC800FB-952D-48CD-87CC-271F199859FD}"/>
    <cellStyle name="Normal 4 4 5 7" xfId="4767" xr:uid="{00000000-0005-0000-0000-0000EF150000}"/>
    <cellStyle name="Normal 4 4 5 7 2" xfId="20883" xr:uid="{8989DE31-4F6A-434C-91BD-2B2BDEF101DE}"/>
    <cellStyle name="Normal 4 4 5 7 3" xfId="13262" xr:uid="{FC36CE80-0752-42B9-9690-3D98E7B26AA7}"/>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2 2 2" xfId="23426" xr:uid="{445BFEF6-ED6D-46B9-8A60-87CA541F6792}"/>
    <cellStyle name="Normal 4 4 6 2 2 3" xfId="15805" xr:uid="{D8B91C0A-231F-453B-A022-300170347F51}"/>
    <cellStyle name="Normal 4 4 6 2 3" xfId="19213" xr:uid="{9608AB45-6C2C-4EFF-9722-CF1F87DEAD1C}"/>
    <cellStyle name="Normal 4 4 6 2 4" xfId="11592" xr:uid="{B48EF299-9596-45E1-8C7C-CFB667E501E2}"/>
    <cellStyle name="Normal 4 4 6 3" xfId="5165" xr:uid="{00000000-0005-0000-0000-0000F3150000}"/>
    <cellStyle name="Normal 4 4 6 3 2" xfId="21281" xr:uid="{E87DE949-3F77-428D-8357-E7303E30341F}"/>
    <cellStyle name="Normal 4 4 6 3 3" xfId="13660" xr:uid="{69EBB14B-4882-4F9F-8E11-6ACF69195577}"/>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2 2 2" xfId="23839" xr:uid="{42210E2E-7C81-4221-9533-EA539EEC3D6F}"/>
    <cellStyle name="Normal 4 4 7 2 2 3" xfId="16218" xr:uid="{D8D2AC6D-6D40-4B10-8C6A-9406082B5579}"/>
    <cellStyle name="Normal 4 4 7 2 3" xfId="19626" xr:uid="{CD1C33F4-2ED9-4AA1-A849-285E2175C643}"/>
    <cellStyle name="Normal 4 4 7 2 4" xfId="12005" xr:uid="{21051FE3-DDD4-41D6-B944-621EC2C34870}"/>
    <cellStyle name="Normal 4 4 7 3" xfId="5578" xr:uid="{00000000-0005-0000-0000-0000F7150000}"/>
    <cellStyle name="Normal 4 4 7 3 2" xfId="21694" xr:uid="{EE0C76D8-0844-4352-9FB1-43B4909A1F22}"/>
    <cellStyle name="Normal 4 4 7 3 3" xfId="14073" xr:uid="{F941D99A-7946-4519-AF8E-338AFA7549A1}"/>
    <cellStyle name="Normal 4 4 7 4" xfId="17481" xr:uid="{6797A149-64C0-43A6-9ED4-145ACDC1E75F}"/>
    <cellStyle name="Normal 4 4 7 5" xfId="9860" xr:uid="{A358FB07-70C9-4E19-A1B3-5D6BE7D465E8}"/>
    <cellStyle name="Normal 4 4 8" xfId="1684" xr:uid="{00000000-0005-0000-0000-0000F8150000}"/>
    <cellStyle name="Normal 4 4 8 2" xfId="3914" xr:uid="{00000000-0005-0000-0000-0000F9150000}"/>
    <cellStyle name="Normal 4 4 8 2 2" xfId="8136" xr:uid="{00000000-0005-0000-0000-0000FA150000}"/>
    <cellStyle name="Normal 4 4 8 2 2 2" xfId="24252" xr:uid="{77042CBB-4559-4BA7-90AA-0E3E88A485AC}"/>
    <cellStyle name="Normal 4 4 8 2 2 3" xfId="16631" xr:uid="{789CC794-9F31-4D04-AE58-393A002DCEE3}"/>
    <cellStyle name="Normal 4 4 8 2 3" xfId="20039" xr:uid="{9BADEF9C-1706-4CA3-83B5-5C7A0A250CE7}"/>
    <cellStyle name="Normal 4 4 8 2 4" xfId="12418" xr:uid="{025EEBEA-ACA6-4607-A6BA-984E9F56AE73}"/>
    <cellStyle name="Normal 4 4 8 3" xfId="5991" xr:uid="{00000000-0005-0000-0000-0000FB150000}"/>
    <cellStyle name="Normal 4 4 8 3 2" xfId="22107" xr:uid="{2D5807FC-41F4-4F43-A6FD-88771596B893}"/>
    <cellStyle name="Normal 4 4 8 3 3" xfId="14486" xr:uid="{BD87C56B-4A08-4295-988B-72E35C92036E}"/>
    <cellStyle name="Normal 4 4 8 4" xfId="17894" xr:uid="{90375A95-16A0-4F33-BC08-C039E1E6DA3D}"/>
    <cellStyle name="Normal 4 4 8 5" xfId="10273" xr:uid="{55281377-90A1-4367-B4CC-282707B4FFF1}"/>
    <cellStyle name="Normal 4 4 9" xfId="2098" xr:uid="{00000000-0005-0000-0000-0000FC150000}"/>
    <cellStyle name="Normal 4 4 9 2" xfId="4327" xr:uid="{00000000-0005-0000-0000-0000FD150000}"/>
    <cellStyle name="Normal 4 4 9 2 2" xfId="8549" xr:uid="{00000000-0005-0000-0000-0000FE150000}"/>
    <cellStyle name="Normal 4 4 9 2 2 2" xfId="24665" xr:uid="{99A83CD8-6D70-4C55-9F35-07CDF9F81701}"/>
    <cellStyle name="Normal 4 4 9 2 2 3" xfId="17044" xr:uid="{41420504-F566-4019-B6DD-9768A2400A54}"/>
    <cellStyle name="Normal 4 4 9 2 3" xfId="20452" xr:uid="{614E1CC3-6A60-40A9-A7B4-3D3838A31DB4}"/>
    <cellStyle name="Normal 4 4 9 2 4" xfId="12831" xr:uid="{D2244C53-0D22-4BBA-B834-7FCDD938BE01}"/>
    <cellStyle name="Normal 4 4 9 3" xfId="6404" xr:uid="{00000000-0005-0000-0000-0000FF150000}"/>
    <cellStyle name="Normal 4 4 9 3 2" xfId="22520" xr:uid="{A45CBBFF-EB54-4238-8C69-A3A8F8474091}"/>
    <cellStyle name="Normal 4 4 9 3 3" xfId="14899" xr:uid="{1E37BF2B-5339-4B7A-B6C5-0C5D881A23EC}"/>
    <cellStyle name="Normal 4 4 9 4" xfId="18307" xr:uid="{A83B72D2-ABF5-411B-984F-B77A479708D5}"/>
    <cellStyle name="Normal 4 4 9 5" xfId="10686" xr:uid="{C4CB7EB7-AF39-42BC-BC5B-0428036D42D4}"/>
    <cellStyle name="Normal 4 5" xfId="394" xr:uid="{00000000-0005-0000-0000-000000160000}"/>
    <cellStyle name="Normal 4 6" xfId="395" xr:uid="{00000000-0005-0000-0000-000001160000}"/>
    <cellStyle name="Normal 4 6 10" xfId="4768" xr:uid="{00000000-0005-0000-0000-000002160000}"/>
    <cellStyle name="Normal 4 6 10 2" xfId="20884" xr:uid="{E4C69C94-6B39-4C0C-B291-EBFE009A0B45}"/>
    <cellStyle name="Normal 4 6 10 3" xfId="13263" xr:uid="{B0B372BF-9173-4D27-A3C7-1DF5EE0D507C}"/>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23445" xr:uid="{03774D53-4650-477E-8F36-E34E4040BE28}"/>
    <cellStyle name="Normal 4 6 2 2 2 2 2 2 3" xfId="15824" xr:uid="{7BF454C1-7565-4E40-9D86-43FF03399961}"/>
    <cellStyle name="Normal 4 6 2 2 2 2 2 3" xfId="19232" xr:uid="{5BB9EA92-6381-4422-893A-75D192A9AE0A}"/>
    <cellStyle name="Normal 4 6 2 2 2 2 2 4" xfId="11611" xr:uid="{3FB9F382-A145-40B3-BF9B-53A2F65F0272}"/>
    <cellStyle name="Normal 4 6 2 2 2 2 3" xfId="5184" xr:uid="{00000000-0005-0000-0000-000009160000}"/>
    <cellStyle name="Normal 4 6 2 2 2 2 3 2" xfId="21300" xr:uid="{F1774084-7DFD-4B73-81AA-5FF36DB2538A}"/>
    <cellStyle name="Normal 4 6 2 2 2 2 3 3" xfId="13679" xr:uid="{B6A3B723-F6CB-4A73-92F1-D97808989B4E}"/>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23858" xr:uid="{F5189A92-AB71-4193-ADC8-1626F8BAADFC}"/>
    <cellStyle name="Normal 4 6 2 2 2 3 2 2 3" xfId="16237" xr:uid="{B704AD02-F881-4BF7-94B4-22DBE9DCEAEA}"/>
    <cellStyle name="Normal 4 6 2 2 2 3 2 3" xfId="19645" xr:uid="{09633018-022D-44A8-89B9-6901F4437502}"/>
    <cellStyle name="Normal 4 6 2 2 2 3 2 4" xfId="12024" xr:uid="{1F9525E6-CB4B-4EDD-A9FF-37FF9E5F4E27}"/>
    <cellStyle name="Normal 4 6 2 2 2 3 3" xfId="5597" xr:uid="{00000000-0005-0000-0000-00000D160000}"/>
    <cellStyle name="Normal 4 6 2 2 2 3 3 2" xfId="21713" xr:uid="{29DCA92F-B6D7-4E2D-BEAF-52F6C489477C}"/>
    <cellStyle name="Normal 4 6 2 2 2 3 3 3" xfId="14092" xr:uid="{E4B32F73-E333-426D-A5D5-1A50C5D5DDE3}"/>
    <cellStyle name="Normal 4 6 2 2 2 3 4" xfId="17500" xr:uid="{C867F5D4-B073-439B-9A9B-73AEFF46A6BE}"/>
    <cellStyle name="Normal 4 6 2 2 2 3 5" xfId="9879" xr:uid="{3788273D-1E1D-41D5-B97F-807E3C43908A}"/>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24271" xr:uid="{C2317770-FF88-41A0-80D5-3B02A55282FA}"/>
    <cellStyle name="Normal 4 6 2 2 2 4 2 2 3" xfId="16650" xr:uid="{8E185B79-1F29-483F-8855-4A54B1EC975D}"/>
    <cellStyle name="Normal 4 6 2 2 2 4 2 3" xfId="20058" xr:uid="{39E827CA-9DD9-4743-A7F6-B188585CE9D6}"/>
    <cellStyle name="Normal 4 6 2 2 2 4 2 4" xfId="12437" xr:uid="{FA81DB5D-1B04-49C7-91E5-098F8B32F367}"/>
    <cellStyle name="Normal 4 6 2 2 2 4 3" xfId="6010" xr:uid="{00000000-0005-0000-0000-000011160000}"/>
    <cellStyle name="Normal 4 6 2 2 2 4 3 2" xfId="22126" xr:uid="{559AE733-F62F-42EB-AEE1-BB67A9BF63B9}"/>
    <cellStyle name="Normal 4 6 2 2 2 4 3 3" xfId="14505" xr:uid="{1DC0EA57-F368-4D39-BF94-3BC57F6CFD72}"/>
    <cellStyle name="Normal 4 6 2 2 2 4 4" xfId="17913" xr:uid="{799CE418-69FF-4551-B799-95618579DA86}"/>
    <cellStyle name="Normal 4 6 2 2 2 4 5" xfId="10292" xr:uid="{B5D603FE-AFD6-4D0D-98DE-EE836417C1DF}"/>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24684" xr:uid="{61886BFB-F441-4A40-8FA7-28C880E796E0}"/>
    <cellStyle name="Normal 4 6 2 2 2 5 2 2 3" xfId="17063" xr:uid="{85DAD002-55AE-474E-AEC1-99DB95091E8E}"/>
    <cellStyle name="Normal 4 6 2 2 2 5 2 3" xfId="20471" xr:uid="{2E2ABB06-4873-43DF-B3DB-3A5CD419FC77}"/>
    <cellStyle name="Normal 4 6 2 2 2 5 2 4" xfId="12850" xr:uid="{D2B8FE49-D25B-415C-A6B8-0876BBD9333E}"/>
    <cellStyle name="Normal 4 6 2 2 2 5 3" xfId="6423" xr:uid="{00000000-0005-0000-0000-000015160000}"/>
    <cellStyle name="Normal 4 6 2 2 2 5 3 2" xfId="22539" xr:uid="{70354321-2348-425D-B65B-CEBD1A92F390}"/>
    <cellStyle name="Normal 4 6 2 2 2 5 3 3" xfId="14918" xr:uid="{66C49E70-06AF-4543-BA15-DDBF27D85145}"/>
    <cellStyle name="Normal 4 6 2 2 2 5 4" xfId="18326" xr:uid="{18D3CF55-7F07-4E8E-9B85-30AB2A463C41}"/>
    <cellStyle name="Normal 4 6 2 2 2 5 5" xfId="10705" xr:uid="{0733AFA3-0333-4173-B41D-299309814333}"/>
    <cellStyle name="Normal 4 6 2 2 2 6" xfId="2553" xr:uid="{00000000-0005-0000-0000-000016160000}"/>
    <cellStyle name="Normal 4 6 2 2 2 6 2" xfId="6836" xr:uid="{00000000-0005-0000-0000-000017160000}"/>
    <cellStyle name="Normal 4 6 2 2 2 6 2 2" xfId="22952" xr:uid="{D422909C-DE84-49B4-854A-1352148787A6}"/>
    <cellStyle name="Normal 4 6 2 2 2 6 2 3" xfId="15331" xr:uid="{F75CDBD0-847D-416A-B7F9-DA6257586140}"/>
    <cellStyle name="Normal 4 6 2 2 2 6 3" xfId="18739" xr:uid="{A3979E2F-7FBD-44EB-90DF-BAA0803F5E32}"/>
    <cellStyle name="Normal 4 6 2 2 2 6 4" xfId="11118" xr:uid="{0BBF8F3D-DB86-4857-9041-4B9CEEBB290F}"/>
    <cellStyle name="Normal 4 6 2 2 2 7" xfId="4771" xr:uid="{00000000-0005-0000-0000-000018160000}"/>
    <cellStyle name="Normal 4 6 2 2 2 7 2" xfId="20887" xr:uid="{69882452-983A-4498-9051-051DA4DD0EEA}"/>
    <cellStyle name="Normal 4 6 2 2 2 7 3" xfId="13266" xr:uid="{88CED2AB-1D45-4748-9D0E-4D37CBB88637}"/>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23444" xr:uid="{75BAD1D6-18CA-4E40-9D30-C35D63DC75F2}"/>
    <cellStyle name="Normal 4 6 2 2 3 2 2 3" xfId="15823" xr:uid="{3AE99FEC-D876-4460-BA53-79ADD9EF0FDE}"/>
    <cellStyle name="Normal 4 6 2 2 3 2 3" xfId="19231" xr:uid="{037A87E6-3996-462D-946B-E6C019F7ECB9}"/>
    <cellStyle name="Normal 4 6 2 2 3 2 4" xfId="11610" xr:uid="{99F995E5-9595-4F35-A73B-67D0C5291C3D}"/>
    <cellStyle name="Normal 4 6 2 2 3 3" xfId="5183" xr:uid="{00000000-0005-0000-0000-00001C160000}"/>
    <cellStyle name="Normal 4 6 2 2 3 3 2" xfId="21299" xr:uid="{34755FCB-A290-45E5-8D3A-3D53A673798C}"/>
    <cellStyle name="Normal 4 6 2 2 3 3 3" xfId="13678" xr:uid="{6C04A756-0491-4E42-B6F2-895831D5AB4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23857" xr:uid="{C0DC8466-32E4-466A-B1F6-9DB30096AB3D}"/>
    <cellStyle name="Normal 4 6 2 2 4 2 2 3" xfId="16236" xr:uid="{14030379-C2E2-434E-999E-1475C43F9713}"/>
    <cellStyle name="Normal 4 6 2 2 4 2 3" xfId="19644" xr:uid="{17D1C414-7CA5-47B0-BA7B-17BEC7FF97B3}"/>
    <cellStyle name="Normal 4 6 2 2 4 2 4" xfId="12023" xr:uid="{FCA05F3B-37FB-4C09-8FF8-C904A7B3804B}"/>
    <cellStyle name="Normal 4 6 2 2 4 3" xfId="5596" xr:uid="{00000000-0005-0000-0000-000020160000}"/>
    <cellStyle name="Normal 4 6 2 2 4 3 2" xfId="21712" xr:uid="{B3F13399-E98B-431F-8DA5-9FAE968E2BB0}"/>
    <cellStyle name="Normal 4 6 2 2 4 3 3" xfId="14091" xr:uid="{B832D7AE-654F-416C-BAE6-DF150ECAE37B}"/>
    <cellStyle name="Normal 4 6 2 2 4 4" xfId="17499" xr:uid="{08985913-780C-490E-9420-7B83E6095E31}"/>
    <cellStyle name="Normal 4 6 2 2 4 5" xfId="9878" xr:uid="{11750464-0ACD-4AB9-AF55-75C734E81AB5}"/>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24270" xr:uid="{F38DF6D5-5F36-4537-AB61-A701CEB29BF9}"/>
    <cellStyle name="Normal 4 6 2 2 5 2 2 3" xfId="16649" xr:uid="{BA0BE9EE-59CB-4E12-8E76-4D42DDE3071C}"/>
    <cellStyle name="Normal 4 6 2 2 5 2 3" xfId="20057" xr:uid="{A90AC1CD-0C64-4774-86BC-EB8467B61B9C}"/>
    <cellStyle name="Normal 4 6 2 2 5 2 4" xfId="12436" xr:uid="{B58F257E-EF85-493E-8AFC-C0E45C2FCCE9}"/>
    <cellStyle name="Normal 4 6 2 2 5 3" xfId="6009" xr:uid="{00000000-0005-0000-0000-000024160000}"/>
    <cellStyle name="Normal 4 6 2 2 5 3 2" xfId="22125" xr:uid="{24E859F5-6005-4F7E-AA99-9C16F71786C8}"/>
    <cellStyle name="Normal 4 6 2 2 5 3 3" xfId="14504" xr:uid="{297441A7-DB56-48A4-820A-09BE22BA4165}"/>
    <cellStyle name="Normal 4 6 2 2 5 4" xfId="17912" xr:uid="{A7245509-ECEF-427F-91F6-80ED02AA3455}"/>
    <cellStyle name="Normal 4 6 2 2 5 5" xfId="10291" xr:uid="{975071D4-9C22-486F-88A6-229DEE0F8366}"/>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24683" xr:uid="{A42850C6-71CE-4267-A79C-502DF214B386}"/>
    <cellStyle name="Normal 4 6 2 2 6 2 2 3" xfId="17062" xr:uid="{47C30AC1-C8FF-4119-BCCC-ED458D6CAFEC}"/>
    <cellStyle name="Normal 4 6 2 2 6 2 3" xfId="20470" xr:uid="{CE58DD09-4444-457C-91BB-5434D8CB7565}"/>
    <cellStyle name="Normal 4 6 2 2 6 2 4" xfId="12849" xr:uid="{FE5063BB-5E2B-4419-9B66-429D85DA434D}"/>
    <cellStyle name="Normal 4 6 2 2 6 3" xfId="6422" xr:uid="{00000000-0005-0000-0000-000028160000}"/>
    <cellStyle name="Normal 4 6 2 2 6 3 2" xfId="22538" xr:uid="{F0BA8997-D376-4086-BB8D-82E163A882C2}"/>
    <cellStyle name="Normal 4 6 2 2 6 3 3" xfId="14917" xr:uid="{0A8AAE23-A758-4017-B87C-09A78629FC2F}"/>
    <cellStyle name="Normal 4 6 2 2 6 4" xfId="18325" xr:uid="{D2D9D127-BE2E-4E2C-93FF-F43B99505578}"/>
    <cellStyle name="Normal 4 6 2 2 6 5" xfId="10704" xr:uid="{A9233167-DB62-4020-8688-AF923E564E4D}"/>
    <cellStyle name="Normal 4 6 2 2 7" xfId="2552" xr:uid="{00000000-0005-0000-0000-000029160000}"/>
    <cellStyle name="Normal 4 6 2 2 7 2" xfId="6835" xr:uid="{00000000-0005-0000-0000-00002A160000}"/>
    <cellStyle name="Normal 4 6 2 2 7 2 2" xfId="22951" xr:uid="{14F6F67C-E216-4BC7-8DBB-DDBE6292C6E2}"/>
    <cellStyle name="Normal 4 6 2 2 7 2 3" xfId="15330" xr:uid="{2CFAD8FA-EA7C-4A08-A40A-D597AB218D3B}"/>
    <cellStyle name="Normal 4 6 2 2 7 3" xfId="18738" xr:uid="{C0FA6788-55CD-4A4A-9217-B742E6A2E71B}"/>
    <cellStyle name="Normal 4 6 2 2 7 4" xfId="11117" xr:uid="{7534BD45-6CB5-4595-8D40-1A5AD7687B5E}"/>
    <cellStyle name="Normal 4 6 2 2 8" xfId="4770" xr:uid="{00000000-0005-0000-0000-00002B160000}"/>
    <cellStyle name="Normal 4 6 2 2 8 2" xfId="20886" xr:uid="{C11B7AB9-D8BC-4E6D-BE4B-570916D06EE0}"/>
    <cellStyle name="Normal 4 6 2 2 8 3" xfId="13265" xr:uid="{F75A1544-99F9-488B-838E-6CE0C7E83EA5}"/>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23446" xr:uid="{C52D0B70-057B-41BC-BD6A-B66892001CAB}"/>
    <cellStyle name="Normal 4 6 2 3 2 2 2 3" xfId="15825" xr:uid="{1D579AAC-0129-4B4D-888E-A5B77628E73E}"/>
    <cellStyle name="Normal 4 6 2 3 2 2 3" xfId="19233" xr:uid="{30E4B263-6245-4A79-9972-353AB2F630F6}"/>
    <cellStyle name="Normal 4 6 2 3 2 2 4" xfId="11612" xr:uid="{4CEE0C3D-EA55-4DA4-9D60-F830399A7AFE}"/>
    <cellStyle name="Normal 4 6 2 3 2 3" xfId="5185" xr:uid="{00000000-0005-0000-0000-000030160000}"/>
    <cellStyle name="Normal 4 6 2 3 2 3 2" xfId="21301" xr:uid="{9DF1A668-6F0F-4652-90D8-F47F8128EC32}"/>
    <cellStyle name="Normal 4 6 2 3 2 3 3" xfId="13680" xr:uid="{B8A38944-F573-44CE-86D9-DEE4FBA1477F}"/>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23859" xr:uid="{9F6B5997-91CC-4E1B-B9F6-AEAC59436549}"/>
    <cellStyle name="Normal 4 6 2 3 3 2 2 3" xfId="16238" xr:uid="{64ACA51B-22F5-499B-9571-D7AFEFA122F4}"/>
    <cellStyle name="Normal 4 6 2 3 3 2 3" xfId="19646" xr:uid="{759BDA90-7B36-4236-A43F-74A265099D20}"/>
    <cellStyle name="Normal 4 6 2 3 3 2 4" xfId="12025" xr:uid="{C635AFA5-2239-48EC-AE89-E38F2868CC21}"/>
    <cellStyle name="Normal 4 6 2 3 3 3" xfId="5598" xr:uid="{00000000-0005-0000-0000-000034160000}"/>
    <cellStyle name="Normal 4 6 2 3 3 3 2" xfId="21714" xr:uid="{5385703F-3508-43FC-9622-E16C0499E0D1}"/>
    <cellStyle name="Normal 4 6 2 3 3 3 3" xfId="14093" xr:uid="{D408B83D-F907-455E-ACE3-F9AFBDF482C5}"/>
    <cellStyle name="Normal 4 6 2 3 3 4" xfId="17501" xr:uid="{9072C4B0-1731-4C65-A2C3-DB5B0D96770F}"/>
    <cellStyle name="Normal 4 6 2 3 3 5" xfId="9880" xr:uid="{E50EC289-C5F7-42D5-8E62-1378B7319A70}"/>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24272" xr:uid="{544E667D-B018-48D7-BC6C-370C81820254}"/>
    <cellStyle name="Normal 4 6 2 3 4 2 2 3" xfId="16651" xr:uid="{A49722ED-673C-40F0-A054-2F5AA318FA16}"/>
    <cellStyle name="Normal 4 6 2 3 4 2 3" xfId="20059" xr:uid="{60696936-8BD8-4080-8909-7BDCF71E5311}"/>
    <cellStyle name="Normal 4 6 2 3 4 2 4" xfId="12438" xr:uid="{92FE5385-A260-4840-A158-4F210A2124E8}"/>
    <cellStyle name="Normal 4 6 2 3 4 3" xfId="6011" xr:uid="{00000000-0005-0000-0000-000038160000}"/>
    <cellStyle name="Normal 4 6 2 3 4 3 2" xfId="22127" xr:uid="{FCC1F7CB-5E5B-448D-98B0-AAAA2F478FBD}"/>
    <cellStyle name="Normal 4 6 2 3 4 3 3" xfId="14506" xr:uid="{65D2F43B-1D1A-4521-9100-E597E75040BC}"/>
    <cellStyle name="Normal 4 6 2 3 4 4" xfId="17914" xr:uid="{B9F0313E-209B-4449-8514-0D704CB2B155}"/>
    <cellStyle name="Normal 4 6 2 3 4 5" xfId="10293" xr:uid="{8207F8ED-C624-433F-9570-D8870E9C7AB7}"/>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24685" xr:uid="{33A8A94B-640E-42FA-87B5-D1F038E9D885}"/>
    <cellStyle name="Normal 4 6 2 3 5 2 2 3" xfId="17064" xr:uid="{C098101F-7E43-4108-B448-54CA9B163208}"/>
    <cellStyle name="Normal 4 6 2 3 5 2 3" xfId="20472" xr:uid="{9491C898-0EF3-467E-949B-A6149D3FFC67}"/>
    <cellStyle name="Normal 4 6 2 3 5 2 4" xfId="12851" xr:uid="{09402F9A-34EE-44F8-A2F4-9BACF17B9BC2}"/>
    <cellStyle name="Normal 4 6 2 3 5 3" xfId="6424" xr:uid="{00000000-0005-0000-0000-00003C160000}"/>
    <cellStyle name="Normal 4 6 2 3 5 3 2" xfId="22540" xr:uid="{0F714BA0-0A35-4A49-8089-18203F797516}"/>
    <cellStyle name="Normal 4 6 2 3 5 3 3" xfId="14919" xr:uid="{2A86741F-A67C-4B9D-B752-7FE7A062E977}"/>
    <cellStyle name="Normal 4 6 2 3 5 4" xfId="18327" xr:uid="{B6418A30-A1C9-4DA0-8754-1FA3C02F3714}"/>
    <cellStyle name="Normal 4 6 2 3 5 5" xfId="10706" xr:uid="{F2F3531F-E6E6-45E7-B5A3-C3FED23576DC}"/>
    <cellStyle name="Normal 4 6 2 3 6" xfId="2554" xr:uid="{00000000-0005-0000-0000-00003D160000}"/>
    <cellStyle name="Normal 4 6 2 3 6 2" xfId="6837" xr:uid="{00000000-0005-0000-0000-00003E160000}"/>
    <cellStyle name="Normal 4 6 2 3 6 2 2" xfId="22953" xr:uid="{35F14235-1249-4B82-B5A9-E4184A923851}"/>
    <cellStyle name="Normal 4 6 2 3 6 2 3" xfId="15332" xr:uid="{CA314DFE-4E81-4E14-97D1-2B714C997798}"/>
    <cellStyle name="Normal 4 6 2 3 6 3" xfId="18740" xr:uid="{7BE2FE41-2FAF-416B-A572-11E5E573DE66}"/>
    <cellStyle name="Normal 4 6 2 3 6 4" xfId="11119" xr:uid="{A73F3C46-AE5B-4D8F-B1F1-93F1307E404D}"/>
    <cellStyle name="Normal 4 6 2 3 7" xfId="4772" xr:uid="{00000000-0005-0000-0000-00003F160000}"/>
    <cellStyle name="Normal 4 6 2 3 7 2" xfId="20888" xr:uid="{EB8C77D5-7A2A-4BE5-8D91-804F32CFB4D2}"/>
    <cellStyle name="Normal 4 6 2 3 7 3" xfId="13267" xr:uid="{1C6AC726-80E3-4480-BC7F-13A33C4E9927}"/>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2 2 2" xfId="23443" xr:uid="{FF23A788-F7D9-48C9-8FCC-1BE3F80CE3C5}"/>
    <cellStyle name="Normal 4 6 2 4 2 2 3" xfId="15822" xr:uid="{28049E8E-3481-41E7-A6AA-6C7AFC44E488}"/>
    <cellStyle name="Normal 4 6 2 4 2 3" xfId="19230" xr:uid="{30CAAC47-8F65-4E92-AAEC-C9A70DCE376F}"/>
    <cellStyle name="Normal 4 6 2 4 2 4" xfId="11609" xr:uid="{442A1BA1-153A-4A34-BE6C-929EA25679D0}"/>
    <cellStyle name="Normal 4 6 2 4 3" xfId="5182" xr:uid="{00000000-0005-0000-0000-000043160000}"/>
    <cellStyle name="Normal 4 6 2 4 3 2" xfId="21298" xr:uid="{80B7D7AC-C1C2-4988-B966-F182E2646B41}"/>
    <cellStyle name="Normal 4 6 2 4 3 3" xfId="13677" xr:uid="{2132B475-F096-41B1-9B12-9B008110CA2C}"/>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2 2 2" xfId="23856" xr:uid="{96692DA4-556E-46E1-A50F-A190E55F3148}"/>
    <cellStyle name="Normal 4 6 2 5 2 2 3" xfId="16235" xr:uid="{D50A7CB7-8D07-485B-B1D7-8D81D29FC57A}"/>
    <cellStyle name="Normal 4 6 2 5 2 3" xfId="19643" xr:uid="{F83AFA6F-194A-481C-A29F-6A50435A0C0B}"/>
    <cellStyle name="Normal 4 6 2 5 2 4" xfId="12022" xr:uid="{889396CC-91E2-4CC8-8170-17B21C00AD38}"/>
    <cellStyle name="Normal 4 6 2 5 3" xfId="5595" xr:uid="{00000000-0005-0000-0000-000047160000}"/>
    <cellStyle name="Normal 4 6 2 5 3 2" xfId="21711" xr:uid="{32543005-A3CD-4320-A629-24E0A3B46C50}"/>
    <cellStyle name="Normal 4 6 2 5 3 3" xfId="14090" xr:uid="{CFCF0E33-5C60-4848-9B6D-1C86ED8CBB7B}"/>
    <cellStyle name="Normal 4 6 2 5 4" xfId="17498" xr:uid="{F723B500-2A60-4DFC-8965-34FA1FEE4FC8}"/>
    <cellStyle name="Normal 4 6 2 5 5" xfId="9877" xr:uid="{A5C32378-8C85-4B1D-9F6C-5DE79F621810}"/>
    <cellStyle name="Normal 4 6 2 6" xfId="1701" xr:uid="{00000000-0005-0000-0000-000048160000}"/>
    <cellStyle name="Normal 4 6 2 6 2" xfId="3931" xr:uid="{00000000-0005-0000-0000-000049160000}"/>
    <cellStyle name="Normal 4 6 2 6 2 2" xfId="8153" xr:uid="{00000000-0005-0000-0000-00004A160000}"/>
    <cellStyle name="Normal 4 6 2 6 2 2 2" xfId="24269" xr:uid="{B1575E26-BF11-4A22-8D49-264C54A66C5C}"/>
    <cellStyle name="Normal 4 6 2 6 2 2 3" xfId="16648" xr:uid="{94E980AC-0D9D-4858-A52F-B68032CAE7A6}"/>
    <cellStyle name="Normal 4 6 2 6 2 3" xfId="20056" xr:uid="{F6193F8E-520B-41E6-A814-B2EEEC2D58DF}"/>
    <cellStyle name="Normal 4 6 2 6 2 4" xfId="12435" xr:uid="{B62A9D45-835F-4F8D-8E9C-3B676456385B}"/>
    <cellStyle name="Normal 4 6 2 6 3" xfId="6008" xr:uid="{00000000-0005-0000-0000-00004B160000}"/>
    <cellStyle name="Normal 4 6 2 6 3 2" xfId="22124" xr:uid="{45AF3338-4931-4516-8C0B-A8C2854754B5}"/>
    <cellStyle name="Normal 4 6 2 6 3 3" xfId="14503" xr:uid="{30A9D71B-3A98-4ADB-BB44-7F1208AA1231}"/>
    <cellStyle name="Normal 4 6 2 6 4" xfId="17911" xr:uid="{D1D054E8-1F2B-45CF-A73F-949D8644CF75}"/>
    <cellStyle name="Normal 4 6 2 6 5" xfId="10290" xr:uid="{04715B3A-9817-4839-A166-045EEF55B3C4}"/>
    <cellStyle name="Normal 4 6 2 7" xfId="2115" xr:uid="{00000000-0005-0000-0000-00004C160000}"/>
    <cellStyle name="Normal 4 6 2 7 2" xfId="4344" xr:uid="{00000000-0005-0000-0000-00004D160000}"/>
    <cellStyle name="Normal 4 6 2 7 2 2" xfId="8566" xr:uid="{00000000-0005-0000-0000-00004E160000}"/>
    <cellStyle name="Normal 4 6 2 7 2 2 2" xfId="24682" xr:uid="{F7EEFC4A-9189-4171-991C-EAAAFDEF0983}"/>
    <cellStyle name="Normal 4 6 2 7 2 2 3" xfId="17061" xr:uid="{F4F08285-FC60-40A6-AEC0-9BA7FB27BD96}"/>
    <cellStyle name="Normal 4 6 2 7 2 3" xfId="20469" xr:uid="{EF178FD6-0B52-4054-A241-6699029AFF15}"/>
    <cellStyle name="Normal 4 6 2 7 2 4" xfId="12848" xr:uid="{15D11F81-0914-4D18-A26A-DA65DB8FE7A6}"/>
    <cellStyle name="Normal 4 6 2 7 3" xfId="6421" xr:uid="{00000000-0005-0000-0000-00004F160000}"/>
    <cellStyle name="Normal 4 6 2 7 3 2" xfId="22537" xr:uid="{8A8B30B1-4517-427A-99A7-1B3003C2A874}"/>
    <cellStyle name="Normal 4 6 2 7 3 3" xfId="14916" xr:uid="{25BA791A-1496-4C9C-8999-9498815C219B}"/>
    <cellStyle name="Normal 4 6 2 7 4" xfId="18324" xr:uid="{4AEAEF12-7A9F-4CEB-9778-181445B078DC}"/>
    <cellStyle name="Normal 4 6 2 7 5" xfId="10703" xr:uid="{BE2C3DD8-2B56-449A-8960-128A83B90203}"/>
    <cellStyle name="Normal 4 6 2 8" xfId="2551" xr:uid="{00000000-0005-0000-0000-000050160000}"/>
    <cellStyle name="Normal 4 6 2 8 2" xfId="6834" xr:uid="{00000000-0005-0000-0000-000051160000}"/>
    <cellStyle name="Normal 4 6 2 8 2 2" xfId="22950" xr:uid="{2A59091E-E64D-466A-933A-4FB7ECB22BB1}"/>
    <cellStyle name="Normal 4 6 2 8 2 3" xfId="15329" xr:uid="{A6B07B23-B943-46BD-B4D1-3C8E88EFBED9}"/>
    <cellStyle name="Normal 4 6 2 8 3" xfId="18737" xr:uid="{B83E4410-9E7F-457B-833A-F20A24C4DF3F}"/>
    <cellStyle name="Normal 4 6 2 8 4" xfId="11116" xr:uid="{EBFA4D4E-9820-4A9B-8167-3B16798861DA}"/>
    <cellStyle name="Normal 4 6 2 9" xfId="4769" xr:uid="{00000000-0005-0000-0000-000052160000}"/>
    <cellStyle name="Normal 4 6 2 9 2" xfId="20885" xr:uid="{9AFEF2D3-E8F8-4B7D-AB7D-C5C623EF9369}"/>
    <cellStyle name="Normal 4 6 2 9 3" xfId="13264" xr:uid="{CA0025EE-A11A-40B9-BE9C-9B7EA730A9D7}"/>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23448" xr:uid="{BC3E29C6-C08F-4383-804E-DE91D7EDE8C1}"/>
    <cellStyle name="Normal 4 6 3 2 2 2 2 3" xfId="15827" xr:uid="{4744C208-279F-4814-941E-6300ECA5D728}"/>
    <cellStyle name="Normal 4 6 3 2 2 2 3" xfId="19235" xr:uid="{E434856D-090E-469E-B220-FCCFE10A4135}"/>
    <cellStyle name="Normal 4 6 3 2 2 2 4" xfId="11614" xr:uid="{A7C628AF-C028-4DBB-B65B-3F23CF91E9F0}"/>
    <cellStyle name="Normal 4 6 3 2 2 3" xfId="5187" xr:uid="{00000000-0005-0000-0000-000058160000}"/>
    <cellStyle name="Normal 4 6 3 2 2 3 2" xfId="21303" xr:uid="{5E82EF3A-5DF3-4363-9830-2B3BB8B308C2}"/>
    <cellStyle name="Normal 4 6 3 2 2 3 3" xfId="13682" xr:uid="{3F60E779-60A4-4E92-987B-CFA6682750A8}"/>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23861" xr:uid="{32B78288-8EEC-4891-B600-4E702138D07F}"/>
    <cellStyle name="Normal 4 6 3 2 3 2 2 3" xfId="16240" xr:uid="{62FFB4D9-B73F-40D3-A762-7C190B8A7AFB}"/>
    <cellStyle name="Normal 4 6 3 2 3 2 3" xfId="19648" xr:uid="{47F686D2-B386-4E68-B6FE-C349C1F323EB}"/>
    <cellStyle name="Normal 4 6 3 2 3 2 4" xfId="12027" xr:uid="{FC784BD8-0349-495B-B8CF-E76DCFCE8455}"/>
    <cellStyle name="Normal 4 6 3 2 3 3" xfId="5600" xr:uid="{00000000-0005-0000-0000-00005C160000}"/>
    <cellStyle name="Normal 4 6 3 2 3 3 2" xfId="21716" xr:uid="{7A5C579C-2E0D-4F9F-AC1C-C97EFDB69462}"/>
    <cellStyle name="Normal 4 6 3 2 3 3 3" xfId="14095" xr:uid="{88B5D659-4D57-482A-B0EF-100277A2C86F}"/>
    <cellStyle name="Normal 4 6 3 2 3 4" xfId="17503" xr:uid="{4D02FC52-862C-469F-9D1F-F2BCA4B338DF}"/>
    <cellStyle name="Normal 4 6 3 2 3 5" xfId="9882" xr:uid="{BE43385F-D450-447D-8692-6A585E9C91B2}"/>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24274" xr:uid="{5285691A-78EE-43B5-9719-5216085BF8F3}"/>
    <cellStyle name="Normal 4 6 3 2 4 2 2 3" xfId="16653" xr:uid="{00C8C343-7117-42E9-8D95-BA62FD410234}"/>
    <cellStyle name="Normal 4 6 3 2 4 2 3" xfId="20061" xr:uid="{CB294FD6-0312-4A2E-9249-0FB530437991}"/>
    <cellStyle name="Normal 4 6 3 2 4 2 4" xfId="12440" xr:uid="{4A1398F3-A667-434D-8820-533CC4E9FDD4}"/>
    <cellStyle name="Normal 4 6 3 2 4 3" xfId="6013" xr:uid="{00000000-0005-0000-0000-000060160000}"/>
    <cellStyle name="Normal 4 6 3 2 4 3 2" xfId="22129" xr:uid="{4B50C309-E6FF-4269-BDDD-D4472ACE47F5}"/>
    <cellStyle name="Normal 4 6 3 2 4 3 3" xfId="14508" xr:uid="{541C70A2-1DFA-43F7-87F6-870FDCC75DB5}"/>
    <cellStyle name="Normal 4 6 3 2 4 4" xfId="17916" xr:uid="{B36EDC2B-7D03-4BF2-B429-F318E4310655}"/>
    <cellStyle name="Normal 4 6 3 2 4 5" xfId="10295" xr:uid="{34AE6B8E-3831-4B3F-AFC0-69C79EB89FF7}"/>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24687" xr:uid="{B527C6FC-9FD1-43AA-BF6A-440EC6A23392}"/>
    <cellStyle name="Normal 4 6 3 2 5 2 2 3" xfId="17066" xr:uid="{A1FAE964-4BDC-40D9-9505-62CC5EA2C219}"/>
    <cellStyle name="Normal 4 6 3 2 5 2 3" xfId="20474" xr:uid="{BCEC613E-666F-4BD6-BAD7-F4EF93C8B49B}"/>
    <cellStyle name="Normal 4 6 3 2 5 2 4" xfId="12853" xr:uid="{F8D97F4D-46B0-4E19-BA6D-5673A49693CD}"/>
    <cellStyle name="Normal 4 6 3 2 5 3" xfId="6426" xr:uid="{00000000-0005-0000-0000-000064160000}"/>
    <cellStyle name="Normal 4 6 3 2 5 3 2" xfId="22542" xr:uid="{C762C9A5-562B-4C0F-8D59-8E7EC484EBDB}"/>
    <cellStyle name="Normal 4 6 3 2 5 3 3" xfId="14921" xr:uid="{5BB4EC45-942B-4D8C-8789-FFC11F8B293F}"/>
    <cellStyle name="Normal 4 6 3 2 5 4" xfId="18329" xr:uid="{CFB22B0E-7190-4728-8177-BC33C5A208AA}"/>
    <cellStyle name="Normal 4 6 3 2 5 5" xfId="10708" xr:uid="{037DEFAE-9A70-42DB-9FA1-653B300BB10C}"/>
    <cellStyle name="Normal 4 6 3 2 6" xfId="2556" xr:uid="{00000000-0005-0000-0000-000065160000}"/>
    <cellStyle name="Normal 4 6 3 2 6 2" xfId="6839" xr:uid="{00000000-0005-0000-0000-000066160000}"/>
    <cellStyle name="Normal 4 6 3 2 6 2 2" xfId="22955" xr:uid="{D71B681B-ED93-4691-BBEE-77B7B911A925}"/>
    <cellStyle name="Normal 4 6 3 2 6 2 3" xfId="15334" xr:uid="{96849A99-EB1F-4DC3-8E94-C81382922B07}"/>
    <cellStyle name="Normal 4 6 3 2 6 3" xfId="18742" xr:uid="{41F97628-9C9E-4E8D-8F79-CCB035361A75}"/>
    <cellStyle name="Normal 4 6 3 2 6 4" xfId="11121" xr:uid="{C7274C58-E7F0-42D5-A47E-B533FAEA5C2D}"/>
    <cellStyle name="Normal 4 6 3 2 7" xfId="4774" xr:uid="{00000000-0005-0000-0000-000067160000}"/>
    <cellStyle name="Normal 4 6 3 2 7 2" xfId="20890" xr:uid="{831E8EDC-78A4-4792-BA56-E2C22CA0DF18}"/>
    <cellStyle name="Normal 4 6 3 2 7 3" xfId="13269" xr:uid="{489FA259-D715-453E-AD6E-AD358AC8387C}"/>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2 2 2" xfId="23447" xr:uid="{998FACF3-5623-47C6-8F6C-732182B71B41}"/>
    <cellStyle name="Normal 4 6 3 3 2 2 3" xfId="15826" xr:uid="{E0C6BF0B-1AE8-4CF4-A44D-3C95B327BC24}"/>
    <cellStyle name="Normal 4 6 3 3 2 3" xfId="19234" xr:uid="{B62C1001-13D2-453A-AEA0-06B255ECAB25}"/>
    <cellStyle name="Normal 4 6 3 3 2 4" xfId="11613" xr:uid="{C75B8401-47A0-41B7-A4FB-79B5BB58FCCD}"/>
    <cellStyle name="Normal 4 6 3 3 3" xfId="5186" xr:uid="{00000000-0005-0000-0000-00006B160000}"/>
    <cellStyle name="Normal 4 6 3 3 3 2" xfId="21302" xr:uid="{4E3D9CB5-462C-43D2-8919-9F5D70E25E7C}"/>
    <cellStyle name="Normal 4 6 3 3 3 3" xfId="13681" xr:uid="{9246C9E8-2505-45D5-ABA9-AEF504246923}"/>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2 2 2" xfId="23860" xr:uid="{9F3F39A4-E9CB-4F7A-AE78-E61E3481BAF5}"/>
    <cellStyle name="Normal 4 6 3 4 2 2 3" xfId="16239" xr:uid="{0013F1B3-C2E6-45C1-AEF2-F071B0141D0B}"/>
    <cellStyle name="Normal 4 6 3 4 2 3" xfId="19647" xr:uid="{26CC617C-75D7-41A9-BE59-FE5640E6C250}"/>
    <cellStyle name="Normal 4 6 3 4 2 4" xfId="12026" xr:uid="{B9B27B3F-387B-4958-9446-413E5C03E9A5}"/>
    <cellStyle name="Normal 4 6 3 4 3" xfId="5599" xr:uid="{00000000-0005-0000-0000-00006F160000}"/>
    <cellStyle name="Normal 4 6 3 4 3 2" xfId="21715" xr:uid="{813C0B3F-D78B-4DE8-97D6-89E34DE6CF86}"/>
    <cellStyle name="Normal 4 6 3 4 3 3" xfId="14094" xr:uid="{52085AB6-BE25-41E2-9AC3-835C50D0C003}"/>
    <cellStyle name="Normal 4 6 3 4 4" xfId="17502" xr:uid="{1ED9AB10-F17F-4F54-9CCC-1B4B831CB071}"/>
    <cellStyle name="Normal 4 6 3 4 5" xfId="9881" xr:uid="{2BCDB66B-1CD8-42DC-9038-EDFF483FA569}"/>
    <cellStyle name="Normal 4 6 3 5" xfId="1705" xr:uid="{00000000-0005-0000-0000-000070160000}"/>
    <cellStyle name="Normal 4 6 3 5 2" xfId="3935" xr:uid="{00000000-0005-0000-0000-000071160000}"/>
    <cellStyle name="Normal 4 6 3 5 2 2" xfId="8157" xr:uid="{00000000-0005-0000-0000-000072160000}"/>
    <cellStyle name="Normal 4 6 3 5 2 2 2" xfId="24273" xr:uid="{198B886E-3053-4FF9-8F48-B9CC7D916786}"/>
    <cellStyle name="Normal 4 6 3 5 2 2 3" xfId="16652" xr:uid="{985A8912-6EB9-4F2A-9769-FA823E55FF43}"/>
    <cellStyle name="Normal 4 6 3 5 2 3" xfId="20060" xr:uid="{9C011F93-1783-4B71-B3C5-8B069A358CC5}"/>
    <cellStyle name="Normal 4 6 3 5 2 4" xfId="12439" xr:uid="{41712492-44F4-4E61-8FD4-ADA60CC2A37E}"/>
    <cellStyle name="Normal 4 6 3 5 3" xfId="6012" xr:uid="{00000000-0005-0000-0000-000073160000}"/>
    <cellStyle name="Normal 4 6 3 5 3 2" xfId="22128" xr:uid="{4C77A905-BFC0-449C-BCAF-10C2B7298133}"/>
    <cellStyle name="Normal 4 6 3 5 3 3" xfId="14507" xr:uid="{9FB37459-1377-4C9C-A1BF-097AF80E3009}"/>
    <cellStyle name="Normal 4 6 3 5 4" xfId="17915" xr:uid="{C04318A7-ACEC-4F5A-ADE5-452B1DA1E9A4}"/>
    <cellStyle name="Normal 4 6 3 5 5" xfId="10294" xr:uid="{466C27C8-DDB6-4BE6-89DE-C050F9085399}"/>
    <cellStyle name="Normal 4 6 3 6" xfId="2119" xr:uid="{00000000-0005-0000-0000-000074160000}"/>
    <cellStyle name="Normal 4 6 3 6 2" xfId="4348" xr:uid="{00000000-0005-0000-0000-000075160000}"/>
    <cellStyle name="Normal 4 6 3 6 2 2" xfId="8570" xr:uid="{00000000-0005-0000-0000-000076160000}"/>
    <cellStyle name="Normal 4 6 3 6 2 2 2" xfId="24686" xr:uid="{78B1B8D8-EDB0-41A9-B83C-AE9D18F4808A}"/>
    <cellStyle name="Normal 4 6 3 6 2 2 3" xfId="17065" xr:uid="{C9B6D423-BFAA-4434-BC52-A1FFDEC48DBD}"/>
    <cellStyle name="Normal 4 6 3 6 2 3" xfId="20473" xr:uid="{20797C1B-E7AA-428D-B4CF-D457CB3CF48C}"/>
    <cellStyle name="Normal 4 6 3 6 2 4" xfId="12852" xr:uid="{8AA5F8A0-9ACF-4100-8C41-6F99F898C44D}"/>
    <cellStyle name="Normal 4 6 3 6 3" xfId="6425" xr:uid="{00000000-0005-0000-0000-000077160000}"/>
    <cellStyle name="Normal 4 6 3 6 3 2" xfId="22541" xr:uid="{C9D9BA36-E3B5-4729-8081-1E81D5004F2C}"/>
    <cellStyle name="Normal 4 6 3 6 3 3" xfId="14920" xr:uid="{62D4FF75-9565-46B0-90D6-4D340C7FD4E1}"/>
    <cellStyle name="Normal 4 6 3 6 4" xfId="18328" xr:uid="{80152889-080E-44C9-B5C7-5C97B4F38574}"/>
    <cellStyle name="Normal 4 6 3 6 5" xfId="10707" xr:uid="{8002F0E3-99C0-4AB7-8AE8-5299B0C3E0F0}"/>
    <cellStyle name="Normal 4 6 3 7" xfId="2555" xr:uid="{00000000-0005-0000-0000-000078160000}"/>
    <cellStyle name="Normal 4 6 3 7 2" xfId="6838" xr:uid="{00000000-0005-0000-0000-000079160000}"/>
    <cellStyle name="Normal 4 6 3 7 2 2" xfId="22954" xr:uid="{94989CE7-D4FD-4A9A-9E59-03206A25E42C}"/>
    <cellStyle name="Normal 4 6 3 7 2 3" xfId="15333" xr:uid="{384CE2BC-6BED-4EC6-97A1-4974CB0402DB}"/>
    <cellStyle name="Normal 4 6 3 7 3" xfId="18741" xr:uid="{4FC4A6C5-084F-423D-8DE8-F292CAC3C597}"/>
    <cellStyle name="Normal 4 6 3 7 4" xfId="11120" xr:uid="{E214EAB1-AA78-4BB3-85A5-5B6223441A47}"/>
    <cellStyle name="Normal 4 6 3 8" xfId="4773" xr:uid="{00000000-0005-0000-0000-00007A160000}"/>
    <cellStyle name="Normal 4 6 3 8 2" xfId="20889" xr:uid="{F360E710-1042-4344-BCD3-78407E0FC722}"/>
    <cellStyle name="Normal 4 6 3 8 3" xfId="13268" xr:uid="{2A6E9318-7907-4332-8D66-C0B87AA5C83B}"/>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23449" xr:uid="{63A8A25C-8B14-4B59-90F3-2159792923C3}"/>
    <cellStyle name="Normal 4 6 4 2 2 2 3" xfId="15828" xr:uid="{DE2E5C75-4CDA-4C95-B511-B410286DDFD2}"/>
    <cellStyle name="Normal 4 6 4 2 2 3" xfId="19236" xr:uid="{45E63857-857A-44FB-B05C-14F963DB153A}"/>
    <cellStyle name="Normal 4 6 4 2 2 4" xfId="11615" xr:uid="{A7F0115E-9DF2-4A4F-9B2C-F5A6155B48CD}"/>
    <cellStyle name="Normal 4 6 4 2 3" xfId="5188" xr:uid="{00000000-0005-0000-0000-00007F160000}"/>
    <cellStyle name="Normal 4 6 4 2 3 2" xfId="21304" xr:uid="{4116BCEF-FFC2-4644-AF5D-A4926658B381}"/>
    <cellStyle name="Normal 4 6 4 2 3 3" xfId="13683" xr:uid="{C5973470-32EE-4C36-8134-17861D83851D}"/>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2 2 2" xfId="23862" xr:uid="{0C0255D9-B419-49BE-89CC-EFF131B70FFA}"/>
    <cellStyle name="Normal 4 6 4 3 2 2 3" xfId="16241" xr:uid="{47919330-B10F-415F-A6EC-BD778636FE30}"/>
    <cellStyle name="Normal 4 6 4 3 2 3" xfId="19649" xr:uid="{BB6CDDEA-F90C-4B36-9C79-0EEFC1F747A3}"/>
    <cellStyle name="Normal 4 6 4 3 2 4" xfId="12028" xr:uid="{4D3C1891-1A6F-4F83-8A29-C782A5BD05C5}"/>
    <cellStyle name="Normal 4 6 4 3 3" xfId="5601" xr:uid="{00000000-0005-0000-0000-000083160000}"/>
    <cellStyle name="Normal 4 6 4 3 3 2" xfId="21717" xr:uid="{291251CF-B3D1-40FC-A384-2FF146129F17}"/>
    <cellStyle name="Normal 4 6 4 3 3 3" xfId="14096" xr:uid="{0E769D5A-84A3-458B-8EAF-D7D9287FAE85}"/>
    <cellStyle name="Normal 4 6 4 3 4" xfId="17504" xr:uid="{ED5D3AE4-7F03-4924-B31F-F3CD11D2C614}"/>
    <cellStyle name="Normal 4 6 4 3 5" xfId="9883" xr:uid="{4F109AD6-148E-4627-869C-5BBE8A06E006}"/>
    <cellStyle name="Normal 4 6 4 4" xfId="1707" xr:uid="{00000000-0005-0000-0000-000084160000}"/>
    <cellStyle name="Normal 4 6 4 4 2" xfId="3937" xr:uid="{00000000-0005-0000-0000-000085160000}"/>
    <cellStyle name="Normal 4 6 4 4 2 2" xfId="8159" xr:uid="{00000000-0005-0000-0000-000086160000}"/>
    <cellStyle name="Normal 4 6 4 4 2 2 2" xfId="24275" xr:uid="{4C55FF8C-575C-483B-8A36-C641BD7B08DF}"/>
    <cellStyle name="Normal 4 6 4 4 2 2 3" xfId="16654" xr:uid="{AF5426C0-5509-4963-A8DE-06731D47E6CF}"/>
    <cellStyle name="Normal 4 6 4 4 2 3" xfId="20062" xr:uid="{4FD8D73D-5216-45D7-A5AB-4BB9384BFA78}"/>
    <cellStyle name="Normal 4 6 4 4 2 4" xfId="12441" xr:uid="{9DC47B35-88D7-472D-B195-6BF9FB88AFB9}"/>
    <cellStyle name="Normal 4 6 4 4 3" xfId="6014" xr:uid="{00000000-0005-0000-0000-000087160000}"/>
    <cellStyle name="Normal 4 6 4 4 3 2" xfId="22130" xr:uid="{B8DB3AE7-596F-4F21-8351-C48F3D718C8B}"/>
    <cellStyle name="Normal 4 6 4 4 3 3" xfId="14509" xr:uid="{9A2685CE-CD62-47F4-AE6E-0651CD14C2B2}"/>
    <cellStyle name="Normal 4 6 4 4 4" xfId="17917" xr:uid="{8DCA1C70-40D4-461C-A161-29C1A7BED921}"/>
    <cellStyle name="Normal 4 6 4 4 5" xfId="10296" xr:uid="{983C2653-2E3A-456B-B0BE-F0A16C313AF2}"/>
    <cellStyle name="Normal 4 6 4 5" xfId="2121" xr:uid="{00000000-0005-0000-0000-000088160000}"/>
    <cellStyle name="Normal 4 6 4 5 2" xfId="4350" xr:uid="{00000000-0005-0000-0000-000089160000}"/>
    <cellStyle name="Normal 4 6 4 5 2 2" xfId="8572" xr:uid="{00000000-0005-0000-0000-00008A160000}"/>
    <cellStyle name="Normal 4 6 4 5 2 2 2" xfId="24688" xr:uid="{3F59AE58-AFFB-48DA-932B-DF16588F2AAE}"/>
    <cellStyle name="Normal 4 6 4 5 2 2 3" xfId="17067" xr:uid="{A5A89C16-FA63-4A86-81A7-9391314F86D2}"/>
    <cellStyle name="Normal 4 6 4 5 2 3" xfId="20475" xr:uid="{2D0A294B-6944-4A25-87D7-A5086D1B894C}"/>
    <cellStyle name="Normal 4 6 4 5 2 4" xfId="12854" xr:uid="{DC2126F5-B8C1-4048-9A91-B727A7F24E63}"/>
    <cellStyle name="Normal 4 6 4 5 3" xfId="6427" xr:uid="{00000000-0005-0000-0000-00008B160000}"/>
    <cellStyle name="Normal 4 6 4 5 3 2" xfId="22543" xr:uid="{C8F1892E-A773-4102-8C04-01531DD78764}"/>
    <cellStyle name="Normal 4 6 4 5 3 3" xfId="14922" xr:uid="{663E481E-0D90-4829-B6BB-B7A60C210FA0}"/>
    <cellStyle name="Normal 4 6 4 5 4" xfId="18330" xr:uid="{D1315233-BC81-4698-AD59-41A26791E61B}"/>
    <cellStyle name="Normal 4 6 4 5 5" xfId="10709" xr:uid="{2573B44B-0AAE-4E5D-856F-DC3F52366A7A}"/>
    <cellStyle name="Normal 4 6 4 6" xfId="2557" xr:uid="{00000000-0005-0000-0000-00008C160000}"/>
    <cellStyle name="Normal 4 6 4 6 2" xfId="6840" xr:uid="{00000000-0005-0000-0000-00008D160000}"/>
    <cellStyle name="Normal 4 6 4 6 2 2" xfId="22956" xr:uid="{D7B981AB-CCC7-495D-A242-9DD5C1598C88}"/>
    <cellStyle name="Normal 4 6 4 6 2 3" xfId="15335" xr:uid="{18C30E5F-994C-42CF-9AB9-99E5D648F755}"/>
    <cellStyle name="Normal 4 6 4 6 3" xfId="18743" xr:uid="{B76A6DDE-C875-42BD-82F6-33E77381FD10}"/>
    <cellStyle name="Normal 4 6 4 6 4" xfId="11122" xr:uid="{172142CB-03F2-46BC-B8B0-F964BB9B2DC5}"/>
    <cellStyle name="Normal 4 6 4 7" xfId="4775" xr:uid="{00000000-0005-0000-0000-00008E160000}"/>
    <cellStyle name="Normal 4 6 4 7 2" xfId="20891" xr:uid="{D18D1ED2-E268-410C-93C0-7386E3F197E6}"/>
    <cellStyle name="Normal 4 6 4 7 3" xfId="13270" xr:uid="{5D27803F-97D9-4DA8-9C6F-44731EBE73A8}"/>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2 2 2" xfId="23442" xr:uid="{4BF71312-D1F4-419B-8045-214E326D5F6A}"/>
    <cellStyle name="Normal 4 6 5 2 2 3" xfId="15821" xr:uid="{8F496707-DE80-4D00-9254-579AD5385B2E}"/>
    <cellStyle name="Normal 4 6 5 2 3" xfId="19229" xr:uid="{8E806811-8B4F-42BA-8202-6CAF3E9C7655}"/>
    <cellStyle name="Normal 4 6 5 2 4" xfId="11608" xr:uid="{6C88141B-24AB-493A-88C0-5CC836D3CD21}"/>
    <cellStyle name="Normal 4 6 5 3" xfId="5181" xr:uid="{00000000-0005-0000-0000-000092160000}"/>
    <cellStyle name="Normal 4 6 5 3 2" xfId="21297" xr:uid="{6E9EBCB6-DA4A-475F-9D7B-2167FFB0F638}"/>
    <cellStyle name="Normal 4 6 5 3 3" xfId="13676" xr:uid="{0D745CE0-E353-485C-AE2C-4E94F3CCCA25}"/>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2 2 2" xfId="23855" xr:uid="{4EBAA41A-799C-47B2-BDF8-24A7997F6070}"/>
    <cellStyle name="Normal 4 6 6 2 2 3" xfId="16234" xr:uid="{72900EEB-751E-48F1-A5F7-2DDCCBE03C53}"/>
    <cellStyle name="Normal 4 6 6 2 3" xfId="19642" xr:uid="{81FA2204-A10B-4ECD-AF9A-3477DCB45F59}"/>
    <cellStyle name="Normal 4 6 6 2 4" xfId="12021" xr:uid="{C87E7398-ACD3-4ADE-B74F-577519538546}"/>
    <cellStyle name="Normal 4 6 6 3" xfId="5594" xr:uid="{00000000-0005-0000-0000-000096160000}"/>
    <cellStyle name="Normal 4 6 6 3 2" xfId="21710" xr:uid="{8F99710A-9E5A-4750-B04A-D39221247CA8}"/>
    <cellStyle name="Normal 4 6 6 3 3" xfId="14089" xr:uid="{4FE241CA-689B-460A-AF69-B4E92249C660}"/>
    <cellStyle name="Normal 4 6 6 4" xfId="17497" xr:uid="{DB4D569E-80AF-48ED-84AC-D2950664F0ED}"/>
    <cellStyle name="Normal 4 6 6 5" xfId="9876" xr:uid="{A30F0101-F832-4A61-94E4-FB08A7C6BFF1}"/>
    <cellStyle name="Normal 4 6 7" xfId="1700" xr:uid="{00000000-0005-0000-0000-000097160000}"/>
    <cellStyle name="Normal 4 6 7 2" xfId="3930" xr:uid="{00000000-0005-0000-0000-000098160000}"/>
    <cellStyle name="Normal 4 6 7 2 2" xfId="8152" xr:uid="{00000000-0005-0000-0000-000099160000}"/>
    <cellStyle name="Normal 4 6 7 2 2 2" xfId="24268" xr:uid="{16505D10-3425-43B4-8CE1-2C6D5F63B5DD}"/>
    <cellStyle name="Normal 4 6 7 2 2 3" xfId="16647" xr:uid="{B6A54CD5-DD03-44C6-973C-EE804EB0404C}"/>
    <cellStyle name="Normal 4 6 7 2 3" xfId="20055" xr:uid="{B85C1A7A-1228-4223-9D43-0D39DEBAA948}"/>
    <cellStyle name="Normal 4 6 7 2 4" xfId="12434" xr:uid="{B30653CF-5E94-4D51-B128-773857C6A659}"/>
    <cellStyle name="Normal 4 6 7 3" xfId="6007" xr:uid="{00000000-0005-0000-0000-00009A160000}"/>
    <cellStyle name="Normal 4 6 7 3 2" xfId="22123" xr:uid="{52F8EFAC-A2C2-4D83-B2A1-10FE4E083C9C}"/>
    <cellStyle name="Normal 4 6 7 3 3" xfId="14502" xr:uid="{37607926-F0C9-45FF-BE1D-394C83B780C6}"/>
    <cellStyle name="Normal 4 6 7 4" xfId="17910" xr:uid="{ACD35ECA-48D7-4A1A-A555-7726ABEFA2B4}"/>
    <cellStyle name="Normal 4 6 7 5" xfId="10289" xr:uid="{DDE7B1D2-5582-45BE-8B91-0A51683E09EA}"/>
    <cellStyle name="Normal 4 6 8" xfId="2114" xr:uid="{00000000-0005-0000-0000-00009B160000}"/>
    <cellStyle name="Normal 4 6 8 2" xfId="4343" xr:uid="{00000000-0005-0000-0000-00009C160000}"/>
    <cellStyle name="Normal 4 6 8 2 2" xfId="8565" xr:uid="{00000000-0005-0000-0000-00009D160000}"/>
    <cellStyle name="Normal 4 6 8 2 2 2" xfId="24681" xr:uid="{26C3E1A6-501D-4FF5-945B-ECD94DE4E581}"/>
    <cellStyle name="Normal 4 6 8 2 2 3" xfId="17060" xr:uid="{10BBD25D-9718-43C3-B550-FB8DA8C85915}"/>
    <cellStyle name="Normal 4 6 8 2 3" xfId="20468" xr:uid="{191D5845-A444-4617-AEF9-ED2C40E0F2A8}"/>
    <cellStyle name="Normal 4 6 8 2 4" xfId="12847" xr:uid="{C84EC756-7216-4204-AB9F-D246F8B5DBB7}"/>
    <cellStyle name="Normal 4 6 8 3" xfId="6420" xr:uid="{00000000-0005-0000-0000-00009E160000}"/>
    <cellStyle name="Normal 4 6 8 3 2" xfId="22536" xr:uid="{0ECE2D38-31CC-4E44-8CEC-70610AD81968}"/>
    <cellStyle name="Normal 4 6 8 3 3" xfId="14915" xr:uid="{E13F1BEF-D2AC-4327-848B-73F2538AB734}"/>
    <cellStyle name="Normal 4 6 8 4" xfId="18323" xr:uid="{322E3E4A-C74E-48FE-BC0E-4EC9F5670D48}"/>
    <cellStyle name="Normal 4 6 8 5" xfId="10702" xr:uid="{E913829F-71C1-4770-BE43-F70B1B828356}"/>
    <cellStyle name="Normal 4 6 9" xfId="2550" xr:uid="{00000000-0005-0000-0000-00009F160000}"/>
    <cellStyle name="Normal 4 6 9 2" xfId="6833" xr:uid="{00000000-0005-0000-0000-0000A0160000}"/>
    <cellStyle name="Normal 4 6 9 2 2" xfId="22949" xr:uid="{B7A58516-13A5-44FB-A4B9-E8D338252D67}"/>
    <cellStyle name="Normal 4 6 9 2 3" xfId="15328" xr:uid="{880A585E-3686-4F66-89C3-086C7E638C7D}"/>
    <cellStyle name="Normal 4 6 9 3" xfId="18736" xr:uid="{E1965788-9169-4702-BF8D-E09C7198CF06}"/>
    <cellStyle name="Normal 4 6 9 4" xfId="11115" xr:uid="{38A45BCF-EDEB-4A72-BD47-3EDAB5BD04BE}"/>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23451" xr:uid="{A4CE18DF-19B2-46A8-945B-1E9A66CA434A}"/>
    <cellStyle name="Normal 4 7 2 2 2 2 3" xfId="15830" xr:uid="{A49E575E-2C6C-43B3-BB47-5199ACAA6B10}"/>
    <cellStyle name="Normal 4 7 2 2 2 3" xfId="19238" xr:uid="{084303BB-4AAB-4247-93B4-4F4DFE6ADED6}"/>
    <cellStyle name="Normal 4 7 2 2 2 4" xfId="11617" xr:uid="{D1A61D84-8F6C-4C88-AF1C-2A6EB2D9B5F3}"/>
    <cellStyle name="Normal 4 7 2 2 3" xfId="5190" xr:uid="{00000000-0005-0000-0000-0000A6160000}"/>
    <cellStyle name="Normal 4 7 2 2 3 2" xfId="21306" xr:uid="{43022BF2-428B-461F-9288-132333E05F4B}"/>
    <cellStyle name="Normal 4 7 2 2 3 3" xfId="13685" xr:uid="{F66C5CBF-9931-441B-AAB8-79F10D69EA6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2 2 2" xfId="23864" xr:uid="{97C23173-74E1-4C10-955B-C46CA667A4AC}"/>
    <cellStyle name="Normal 4 7 2 3 2 2 3" xfId="16243" xr:uid="{BA8D8AA6-A632-44F6-A8BE-81A6598ED21A}"/>
    <cellStyle name="Normal 4 7 2 3 2 3" xfId="19651" xr:uid="{E451B168-0F11-405C-A921-DC6FD992EC5E}"/>
    <cellStyle name="Normal 4 7 2 3 2 4" xfId="12030" xr:uid="{216AD853-F730-4E84-BB24-7B99310E8DD2}"/>
    <cellStyle name="Normal 4 7 2 3 3" xfId="5603" xr:uid="{00000000-0005-0000-0000-0000AA160000}"/>
    <cellStyle name="Normal 4 7 2 3 3 2" xfId="21719" xr:uid="{9BF4A964-704C-432C-89B5-D346A836E2B7}"/>
    <cellStyle name="Normal 4 7 2 3 3 3" xfId="14098" xr:uid="{4E58FB38-9CA6-40BE-8EE9-A97AE7D48110}"/>
    <cellStyle name="Normal 4 7 2 3 4" xfId="17506" xr:uid="{6E3FFA34-71B7-4FD9-92D7-5987079A94A9}"/>
    <cellStyle name="Normal 4 7 2 3 5" xfId="9885" xr:uid="{C8099F86-A691-4EA9-AE5A-163C34BE8DCE}"/>
    <cellStyle name="Normal 4 7 2 4" xfId="1709" xr:uid="{00000000-0005-0000-0000-0000AB160000}"/>
    <cellStyle name="Normal 4 7 2 4 2" xfId="3939" xr:uid="{00000000-0005-0000-0000-0000AC160000}"/>
    <cellStyle name="Normal 4 7 2 4 2 2" xfId="8161" xr:uid="{00000000-0005-0000-0000-0000AD160000}"/>
    <cellStyle name="Normal 4 7 2 4 2 2 2" xfId="24277" xr:uid="{DB828862-3065-4907-8005-28AE647160E2}"/>
    <cellStyle name="Normal 4 7 2 4 2 2 3" xfId="16656" xr:uid="{2CF064EF-BC46-4614-82DB-DC2732B7D44F}"/>
    <cellStyle name="Normal 4 7 2 4 2 3" xfId="20064" xr:uid="{ED1DC2E7-9B28-4B31-AF3A-5B54A8478522}"/>
    <cellStyle name="Normal 4 7 2 4 2 4" xfId="12443" xr:uid="{231D5569-3274-4F7E-832B-280D41F88458}"/>
    <cellStyle name="Normal 4 7 2 4 3" xfId="6016" xr:uid="{00000000-0005-0000-0000-0000AE160000}"/>
    <cellStyle name="Normal 4 7 2 4 3 2" xfId="22132" xr:uid="{F1E47D70-27C6-4DC5-B146-DBFD3C933EE0}"/>
    <cellStyle name="Normal 4 7 2 4 3 3" xfId="14511" xr:uid="{902569C1-23AB-425E-BC7A-0F455FABC747}"/>
    <cellStyle name="Normal 4 7 2 4 4" xfId="17919" xr:uid="{B55010A0-BB92-466A-9805-3F2F214E4499}"/>
    <cellStyle name="Normal 4 7 2 4 5" xfId="10298" xr:uid="{B11103E5-9DDF-4974-BEC6-B3A8F8663902}"/>
    <cellStyle name="Normal 4 7 2 5" xfId="2123" xr:uid="{00000000-0005-0000-0000-0000AF160000}"/>
    <cellStyle name="Normal 4 7 2 5 2" xfId="4352" xr:uid="{00000000-0005-0000-0000-0000B0160000}"/>
    <cellStyle name="Normal 4 7 2 5 2 2" xfId="8574" xr:uid="{00000000-0005-0000-0000-0000B1160000}"/>
    <cellStyle name="Normal 4 7 2 5 2 2 2" xfId="24690" xr:uid="{D77C58FA-B5CA-41C1-927D-E73CBE4271DF}"/>
    <cellStyle name="Normal 4 7 2 5 2 2 3" xfId="17069" xr:uid="{9F9662DD-5426-426B-B987-7629B34EFA90}"/>
    <cellStyle name="Normal 4 7 2 5 2 3" xfId="20477" xr:uid="{D583E72E-916F-49E9-8CE3-C0CFD7C6E106}"/>
    <cellStyle name="Normal 4 7 2 5 2 4" xfId="12856" xr:uid="{4835A7BE-8F78-484D-BD65-ECF0F042F40E}"/>
    <cellStyle name="Normal 4 7 2 5 3" xfId="6429" xr:uid="{00000000-0005-0000-0000-0000B2160000}"/>
    <cellStyle name="Normal 4 7 2 5 3 2" xfId="22545" xr:uid="{F0DE23B6-0F53-4858-9FD7-DECE01883E26}"/>
    <cellStyle name="Normal 4 7 2 5 3 3" xfId="14924" xr:uid="{9C184D84-24E9-45BC-86B6-71CD635BB306}"/>
    <cellStyle name="Normal 4 7 2 5 4" xfId="18332" xr:uid="{373E071C-2CF0-4928-A99C-236C159DC24B}"/>
    <cellStyle name="Normal 4 7 2 5 5" xfId="10711" xr:uid="{5FEE0149-88C8-43F7-BFD5-4AD68BD98D57}"/>
    <cellStyle name="Normal 4 7 2 6" xfId="2559" xr:uid="{00000000-0005-0000-0000-0000B3160000}"/>
    <cellStyle name="Normal 4 7 2 6 2" xfId="6842" xr:uid="{00000000-0005-0000-0000-0000B4160000}"/>
    <cellStyle name="Normal 4 7 2 6 2 2" xfId="22958" xr:uid="{4F3702EE-88D4-4203-9BB7-914FD88E767C}"/>
    <cellStyle name="Normal 4 7 2 6 2 3" xfId="15337" xr:uid="{B6602372-1466-4B76-8D35-24C162B2F882}"/>
    <cellStyle name="Normal 4 7 2 6 3" xfId="18745" xr:uid="{25827BD3-295F-4663-8782-F9E5880A3DDE}"/>
    <cellStyle name="Normal 4 7 2 6 4" xfId="11124" xr:uid="{7B60B80A-0CFB-438D-8FCE-849160FD909B}"/>
    <cellStyle name="Normal 4 7 2 7" xfId="4777" xr:uid="{00000000-0005-0000-0000-0000B5160000}"/>
    <cellStyle name="Normal 4 7 2 7 2" xfId="20893" xr:uid="{48D40792-051C-4DDB-8C98-957F607B20B1}"/>
    <cellStyle name="Normal 4 7 2 7 3" xfId="13272" xr:uid="{DF1656BA-9767-491A-8C51-989952B5AF1E}"/>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2 2 2" xfId="23450" xr:uid="{5E0773AD-1F1B-41BE-8134-C540C7894CA7}"/>
    <cellStyle name="Normal 4 7 3 2 2 3" xfId="15829" xr:uid="{1C4260A7-40E2-4768-9099-88E1CE9B5034}"/>
    <cellStyle name="Normal 4 7 3 2 3" xfId="19237" xr:uid="{E27ECDFC-F4EC-4643-A7A0-35D14C68C24C}"/>
    <cellStyle name="Normal 4 7 3 2 4" xfId="11616" xr:uid="{6487E3D3-71A5-4C5C-9043-52997C9C5151}"/>
    <cellStyle name="Normal 4 7 3 3" xfId="5189" xr:uid="{00000000-0005-0000-0000-0000B9160000}"/>
    <cellStyle name="Normal 4 7 3 3 2" xfId="21305" xr:uid="{6ECBCAD7-CF0E-4DBA-BF6F-F06D896286B8}"/>
    <cellStyle name="Normal 4 7 3 3 3" xfId="13684" xr:uid="{5B93C346-553C-4B7D-8620-6049C896CB3D}"/>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2 2 2" xfId="23863" xr:uid="{696B23D4-6890-4612-AB9F-722B53C9AA29}"/>
    <cellStyle name="Normal 4 7 4 2 2 3" xfId="16242" xr:uid="{EE481375-31F7-4707-8133-6F766E2367BA}"/>
    <cellStyle name="Normal 4 7 4 2 3" xfId="19650" xr:uid="{2362E1A3-E650-404B-B222-A112C2BF2C6B}"/>
    <cellStyle name="Normal 4 7 4 2 4" xfId="12029" xr:uid="{5853630E-1130-4551-853A-8308051F038E}"/>
    <cellStyle name="Normal 4 7 4 3" xfId="5602" xr:uid="{00000000-0005-0000-0000-0000BD160000}"/>
    <cellStyle name="Normal 4 7 4 3 2" xfId="21718" xr:uid="{D27D2893-864D-4E2B-A80E-D7F1EBB993AB}"/>
    <cellStyle name="Normal 4 7 4 3 3" xfId="14097" xr:uid="{266117B0-06CC-489C-971D-3F8E5F6288DE}"/>
    <cellStyle name="Normal 4 7 4 4" xfId="17505" xr:uid="{8D7E7591-F6D8-4115-9E57-77F5D03AA179}"/>
    <cellStyle name="Normal 4 7 4 5" xfId="9884" xr:uid="{68DDA12D-A510-4928-90EA-1099A57A5532}"/>
    <cellStyle name="Normal 4 7 5" xfId="1708" xr:uid="{00000000-0005-0000-0000-0000BE160000}"/>
    <cellStyle name="Normal 4 7 5 2" xfId="3938" xr:uid="{00000000-0005-0000-0000-0000BF160000}"/>
    <cellStyle name="Normal 4 7 5 2 2" xfId="8160" xr:uid="{00000000-0005-0000-0000-0000C0160000}"/>
    <cellStyle name="Normal 4 7 5 2 2 2" xfId="24276" xr:uid="{97F1479F-9207-4B03-B767-7D05A6537EF6}"/>
    <cellStyle name="Normal 4 7 5 2 2 3" xfId="16655" xr:uid="{FCBA5687-6B09-4588-839F-DE32922362FB}"/>
    <cellStyle name="Normal 4 7 5 2 3" xfId="20063" xr:uid="{E7955208-26D7-4620-A174-F8AEC42B90A1}"/>
    <cellStyle name="Normal 4 7 5 2 4" xfId="12442" xr:uid="{F00EF78C-591D-4B38-B13F-F371E3718841}"/>
    <cellStyle name="Normal 4 7 5 3" xfId="6015" xr:uid="{00000000-0005-0000-0000-0000C1160000}"/>
    <cellStyle name="Normal 4 7 5 3 2" xfId="22131" xr:uid="{194499D6-3AD1-4361-8BA8-6E47B8B052A9}"/>
    <cellStyle name="Normal 4 7 5 3 3" xfId="14510" xr:uid="{8F0550AF-38F8-4A6A-BC1C-FEF450CB8F36}"/>
    <cellStyle name="Normal 4 7 5 4" xfId="17918" xr:uid="{44122E14-ED3C-4CE6-8C9D-F6F92B0D27B6}"/>
    <cellStyle name="Normal 4 7 5 5" xfId="10297" xr:uid="{119F9F63-F004-4EED-97DA-F3982E96287F}"/>
    <cellStyle name="Normal 4 7 6" xfId="2122" xr:uid="{00000000-0005-0000-0000-0000C2160000}"/>
    <cellStyle name="Normal 4 7 6 2" xfId="4351" xr:uid="{00000000-0005-0000-0000-0000C3160000}"/>
    <cellStyle name="Normal 4 7 6 2 2" xfId="8573" xr:uid="{00000000-0005-0000-0000-0000C4160000}"/>
    <cellStyle name="Normal 4 7 6 2 2 2" xfId="24689" xr:uid="{E1C29025-1AA8-40C6-97A3-26B7F592DA5C}"/>
    <cellStyle name="Normal 4 7 6 2 2 3" xfId="17068" xr:uid="{60765F99-A35A-4B8B-82D5-275961E0FDE1}"/>
    <cellStyle name="Normal 4 7 6 2 3" xfId="20476" xr:uid="{6420C9D5-84F1-4526-8A35-1834A74B3F0E}"/>
    <cellStyle name="Normal 4 7 6 2 4" xfId="12855" xr:uid="{570A3196-5FDF-414C-A8DE-C31A5070144A}"/>
    <cellStyle name="Normal 4 7 6 3" xfId="6428" xr:uid="{00000000-0005-0000-0000-0000C5160000}"/>
    <cellStyle name="Normal 4 7 6 3 2" xfId="22544" xr:uid="{611C6CA2-8FBB-456E-B5E6-9580A1AEDB15}"/>
    <cellStyle name="Normal 4 7 6 3 3" xfId="14923" xr:uid="{E6EB396E-8741-4461-9376-2EE8328E2B6A}"/>
    <cellStyle name="Normal 4 7 6 4" xfId="18331" xr:uid="{71571175-5DC3-4103-892C-9E9C0441C44D}"/>
    <cellStyle name="Normal 4 7 6 5" xfId="10710" xr:uid="{BD6A7F78-1AAD-44EA-84FB-F0901C994AEE}"/>
    <cellStyle name="Normal 4 7 7" xfId="2558" xr:uid="{00000000-0005-0000-0000-0000C6160000}"/>
    <cellStyle name="Normal 4 7 7 2" xfId="6841" xr:uid="{00000000-0005-0000-0000-0000C7160000}"/>
    <cellStyle name="Normal 4 7 7 2 2" xfId="22957" xr:uid="{E0D1D887-4044-41CB-A251-8F0F856C9F04}"/>
    <cellStyle name="Normal 4 7 7 2 3" xfId="15336" xr:uid="{9C4575D6-1516-4FD2-84B6-7255195621A5}"/>
    <cellStyle name="Normal 4 7 7 3" xfId="18744" xr:uid="{72C505B2-5124-4F2A-B55A-3609838E718C}"/>
    <cellStyle name="Normal 4 7 7 4" xfId="11123" xr:uid="{B950F2D7-DD68-4DF0-993A-88854941564B}"/>
    <cellStyle name="Normal 4 7 8" xfId="4776" xr:uid="{00000000-0005-0000-0000-0000C8160000}"/>
    <cellStyle name="Normal 4 7 8 2" xfId="20892" xr:uid="{D8894952-BE11-4B55-A9CF-F736671A0932}"/>
    <cellStyle name="Normal 4 7 8 3" xfId="13271" xr:uid="{DFB18F2B-714E-4BB2-AC8D-AC381ADF3606}"/>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23452" xr:uid="{33974542-80BC-4317-8CEA-7DED0BEF1997}"/>
    <cellStyle name="Normal 4 8 2 2 2 3" xfId="15831" xr:uid="{17A219DA-432F-4BD1-801E-79A2A9D6B16C}"/>
    <cellStyle name="Normal 4 8 2 2 3" xfId="19239" xr:uid="{993FE384-F6FB-4AC2-8EAE-13564F555D7B}"/>
    <cellStyle name="Normal 4 8 2 2 4" xfId="11618" xr:uid="{70979F02-5552-4EF3-9A29-2AFA895ABA6A}"/>
    <cellStyle name="Normal 4 8 2 3" xfId="5191" xr:uid="{00000000-0005-0000-0000-0000CD160000}"/>
    <cellStyle name="Normal 4 8 2 3 2" xfId="21307" xr:uid="{62653788-841B-4F40-B696-4B2BDBBC460B}"/>
    <cellStyle name="Normal 4 8 2 3 3" xfId="13686" xr:uid="{27122654-3F75-42C6-9286-622699F8613F}"/>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2 2 2" xfId="23865" xr:uid="{C74920A3-FC5F-4659-9A02-B7CFD87AF38F}"/>
    <cellStyle name="Normal 4 8 3 2 2 3" xfId="16244" xr:uid="{EB76004A-539C-4ECB-9FA9-27B3A57D65A4}"/>
    <cellStyle name="Normal 4 8 3 2 3" xfId="19652" xr:uid="{D8183FA6-9568-457D-9A1C-C986BBA152DC}"/>
    <cellStyle name="Normal 4 8 3 2 4" xfId="12031" xr:uid="{500D7959-B3AC-424B-BE27-AB09164CF93B}"/>
    <cellStyle name="Normal 4 8 3 3" xfId="5604" xr:uid="{00000000-0005-0000-0000-0000D1160000}"/>
    <cellStyle name="Normal 4 8 3 3 2" xfId="21720" xr:uid="{9D6B466B-3E20-48DE-AF48-68334E16AB42}"/>
    <cellStyle name="Normal 4 8 3 3 3" xfId="14099" xr:uid="{1474A639-894A-4F6B-8B50-3121032FE06F}"/>
    <cellStyle name="Normal 4 8 3 4" xfId="17507" xr:uid="{51CF476E-3AE3-4C61-ACE5-B2D8BF428585}"/>
    <cellStyle name="Normal 4 8 3 5" xfId="9886" xr:uid="{517DAA05-58B9-46D9-B8D4-91930B292D03}"/>
    <cellStyle name="Normal 4 8 4" xfId="1710" xr:uid="{00000000-0005-0000-0000-0000D2160000}"/>
    <cellStyle name="Normal 4 8 4 2" xfId="3940" xr:uid="{00000000-0005-0000-0000-0000D3160000}"/>
    <cellStyle name="Normal 4 8 4 2 2" xfId="8162" xr:uid="{00000000-0005-0000-0000-0000D4160000}"/>
    <cellStyle name="Normal 4 8 4 2 2 2" xfId="24278" xr:uid="{60777291-F11B-44DD-92F9-973DEBBAC615}"/>
    <cellStyle name="Normal 4 8 4 2 2 3" xfId="16657" xr:uid="{2E76F4B5-2F6F-4552-B971-F560A41C288F}"/>
    <cellStyle name="Normal 4 8 4 2 3" xfId="20065" xr:uid="{5C07B2A6-F85D-48D8-A112-360048912ECC}"/>
    <cellStyle name="Normal 4 8 4 2 4" xfId="12444" xr:uid="{FDE76B35-2B6E-4156-AB13-200A10112293}"/>
    <cellStyle name="Normal 4 8 4 3" xfId="6017" xr:uid="{00000000-0005-0000-0000-0000D5160000}"/>
    <cellStyle name="Normal 4 8 4 3 2" xfId="22133" xr:uid="{E0A4941B-FFBA-4B2D-9BA5-18447E574B78}"/>
    <cellStyle name="Normal 4 8 4 3 3" xfId="14512" xr:uid="{D226009B-EF60-4358-A675-3D030EB7E8AA}"/>
    <cellStyle name="Normal 4 8 4 4" xfId="17920" xr:uid="{A86F754D-A843-47A9-883A-A80594851935}"/>
    <cellStyle name="Normal 4 8 4 5" xfId="10299" xr:uid="{16E5DC54-D36D-45EE-820F-3BCED3EAEBE8}"/>
    <cellStyle name="Normal 4 8 5" xfId="2124" xr:uid="{00000000-0005-0000-0000-0000D6160000}"/>
    <cellStyle name="Normal 4 8 5 2" xfId="4353" xr:uid="{00000000-0005-0000-0000-0000D7160000}"/>
    <cellStyle name="Normal 4 8 5 2 2" xfId="8575" xr:uid="{00000000-0005-0000-0000-0000D8160000}"/>
    <cellStyle name="Normal 4 8 5 2 2 2" xfId="24691" xr:uid="{5E7917DA-7A0F-48B9-B793-A6C2674CD83C}"/>
    <cellStyle name="Normal 4 8 5 2 2 3" xfId="17070" xr:uid="{EAA44B43-BA39-4B04-8332-D79DBBB5807B}"/>
    <cellStyle name="Normal 4 8 5 2 3" xfId="20478" xr:uid="{FD4B194E-061A-4334-940D-AA018D86E06F}"/>
    <cellStyle name="Normal 4 8 5 2 4" xfId="12857" xr:uid="{B14810AF-D9FD-4663-B0BA-966C9454A5F7}"/>
    <cellStyle name="Normal 4 8 5 3" xfId="6430" xr:uid="{00000000-0005-0000-0000-0000D9160000}"/>
    <cellStyle name="Normal 4 8 5 3 2" xfId="22546" xr:uid="{B0F83EF1-374D-40C0-8B30-D1EA60561969}"/>
    <cellStyle name="Normal 4 8 5 3 3" xfId="14925" xr:uid="{1803BCED-3677-4F0B-A3F1-F65D1F1F8E77}"/>
    <cellStyle name="Normal 4 8 5 4" xfId="18333" xr:uid="{B9043E13-B812-41E9-82EF-54F2988E992E}"/>
    <cellStyle name="Normal 4 8 5 5" xfId="10712" xr:uid="{5F9390F0-7246-4120-90EA-E3136668A62A}"/>
    <cellStyle name="Normal 4 8 6" xfId="2560" xr:uid="{00000000-0005-0000-0000-0000DA160000}"/>
    <cellStyle name="Normal 4 8 6 2" xfId="6843" xr:uid="{00000000-0005-0000-0000-0000DB160000}"/>
    <cellStyle name="Normal 4 8 6 2 2" xfId="22959" xr:uid="{58A17CCA-4E97-49C3-840E-F6B71BFF7469}"/>
    <cellStyle name="Normal 4 8 6 2 3" xfId="15338" xr:uid="{F8B42547-E040-4AF0-A0C3-5946374E09CC}"/>
    <cellStyle name="Normal 4 8 6 3" xfId="18746" xr:uid="{F8AB64A8-5BAE-48EC-9191-86491B149403}"/>
    <cellStyle name="Normal 4 8 6 4" xfId="11125" xr:uid="{7A4904E2-3163-43AB-9663-69E9492C43A8}"/>
    <cellStyle name="Normal 4 8 7" xfId="4778" xr:uid="{00000000-0005-0000-0000-0000DC160000}"/>
    <cellStyle name="Normal 4 8 7 2" xfId="20894" xr:uid="{6BEB6C9B-F482-4637-B278-61E786821391}"/>
    <cellStyle name="Normal 4 8 7 3" xfId="13273" xr:uid="{DC3003F0-0E05-46DA-8C61-37FBA2378019}"/>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24279" xr:uid="{1270BA75-313C-4475-B51E-DE94B6A2E3DE}"/>
    <cellStyle name="Normal 5 10 2 2 3" xfId="16658" xr:uid="{3AF5BF08-F6F0-43BF-9981-FCADBB4C8933}"/>
    <cellStyle name="Normal 5 10 2 3" xfId="20066" xr:uid="{01F2EAE9-D6E7-47CA-B156-6D06B6ADC758}"/>
    <cellStyle name="Normal 5 10 2 4" xfId="12445" xr:uid="{B52519E2-9A6A-4C72-AB03-21A38A86CBC2}"/>
    <cellStyle name="Normal 5 10 3" xfId="6018" xr:uid="{00000000-0005-0000-0000-0000E2160000}"/>
    <cellStyle name="Normal 5 10 3 2" xfId="22134" xr:uid="{969E6FD7-10B2-4E36-9769-FDE82E74C40D}"/>
    <cellStyle name="Normal 5 10 3 3" xfId="14513" xr:uid="{6DFB7BE2-632C-4853-B022-FE1B2CFEF12C}"/>
    <cellStyle name="Normal 5 10 4" xfId="17921" xr:uid="{4D295BD2-8EC2-49AE-A9B4-58A3640E83B7}"/>
    <cellStyle name="Normal 5 10 5" xfId="10300" xr:uid="{5A18221C-542A-4539-B359-65631EE3D81E}"/>
    <cellStyle name="Normal 5 11" xfId="2125" xr:uid="{00000000-0005-0000-0000-0000E3160000}"/>
    <cellStyle name="Normal 5 11 2" xfId="4354" xr:uid="{00000000-0005-0000-0000-0000E4160000}"/>
    <cellStyle name="Normal 5 11 2 2" xfId="8576" xr:uid="{00000000-0005-0000-0000-0000E5160000}"/>
    <cellStyle name="Normal 5 11 2 2 2" xfId="24692" xr:uid="{9F825FA4-96BC-455F-A27C-CC420DFD0F32}"/>
    <cellStyle name="Normal 5 11 2 2 3" xfId="17071" xr:uid="{D441868B-A4FF-4586-B871-2B5E4147E93C}"/>
    <cellStyle name="Normal 5 11 2 3" xfId="20479" xr:uid="{2E1E7756-AEB2-4063-A29C-637D6FBD18C0}"/>
    <cellStyle name="Normal 5 11 2 4" xfId="12858" xr:uid="{BEA402ED-F98C-475E-9556-78B8AB41F237}"/>
    <cellStyle name="Normal 5 11 3" xfId="6431" xr:uid="{00000000-0005-0000-0000-0000E6160000}"/>
    <cellStyle name="Normal 5 11 3 2" xfId="22547" xr:uid="{4EEC2B80-B679-45CA-9355-321AE4CEBBC9}"/>
    <cellStyle name="Normal 5 11 3 3" xfId="14926" xr:uid="{8E8AB44A-DC03-45FE-8F8F-5A7ED6EE350D}"/>
    <cellStyle name="Normal 5 11 4" xfId="18334" xr:uid="{EE038E53-B958-4D06-AD77-77C34B5880F6}"/>
    <cellStyle name="Normal 5 11 5" xfId="10713" xr:uid="{4B71C3C2-D319-424F-B285-CDE515C868BE}"/>
    <cellStyle name="Normal 5 12" xfId="2561" xr:uid="{00000000-0005-0000-0000-0000E7160000}"/>
    <cellStyle name="Normal 5 12 2" xfId="6844" xr:uid="{00000000-0005-0000-0000-0000E8160000}"/>
    <cellStyle name="Normal 5 12 2 2" xfId="22960" xr:uid="{C7F38C61-4E7D-49E3-BF0B-14C7520F0657}"/>
    <cellStyle name="Normal 5 12 2 3" xfId="15339" xr:uid="{7AD9AB6C-9AD4-4589-BFA1-64FE849E5FFF}"/>
    <cellStyle name="Normal 5 12 3" xfId="18747" xr:uid="{87FAEFBE-4A4C-4DF5-AEA3-088FFDCB4D32}"/>
    <cellStyle name="Normal 5 12 4" xfId="11126" xr:uid="{C1777089-CA23-49CF-AEC0-4F232408BC75}"/>
    <cellStyle name="Normal 5 13" xfId="4779" xr:uid="{00000000-0005-0000-0000-0000E9160000}"/>
    <cellStyle name="Normal 5 13 2" xfId="20895" xr:uid="{B57AB97B-6C70-473D-90F0-DFFC286EB50F}"/>
    <cellStyle name="Normal 5 13 3" xfId="13274" xr:uid="{750C4023-E8C6-48A4-B929-C5818BA1B5E3}"/>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24693" xr:uid="{59CB2C7D-CBDC-49D5-AF2D-FBC2FD68F4B1}"/>
    <cellStyle name="Normal 5 2 10 2 2 3" xfId="17072" xr:uid="{7DF3394A-3182-4123-830B-DC96946F3DA2}"/>
    <cellStyle name="Normal 5 2 10 2 3" xfId="20480" xr:uid="{36B17B14-35F1-4023-AEB2-4BD739F97A74}"/>
    <cellStyle name="Normal 5 2 10 2 4" xfId="12859" xr:uid="{FCD8977B-0F1F-496D-84F1-096532EBB449}"/>
    <cellStyle name="Normal 5 2 10 3" xfId="6432" xr:uid="{00000000-0005-0000-0000-0000EE160000}"/>
    <cellStyle name="Normal 5 2 10 3 2" xfId="22548" xr:uid="{7BC84589-A2D9-4484-AF75-8F7D67263A18}"/>
    <cellStyle name="Normal 5 2 10 3 3" xfId="14927" xr:uid="{3086DDF9-1EC7-4A94-BF0F-AE64D06F877F}"/>
    <cellStyle name="Normal 5 2 10 4" xfId="18335" xr:uid="{CD226BE1-BC87-46F6-862E-BC307C7A9C36}"/>
    <cellStyle name="Normal 5 2 10 5" xfId="10714" xr:uid="{7F371ABB-5206-402E-BB45-C89044A18308}"/>
    <cellStyle name="Normal 5 2 11" xfId="2562" xr:uid="{00000000-0005-0000-0000-0000EF160000}"/>
    <cellStyle name="Normal 5 2 11 2" xfId="6845" xr:uid="{00000000-0005-0000-0000-0000F0160000}"/>
    <cellStyle name="Normal 5 2 11 2 2" xfId="22961" xr:uid="{14009E22-A432-4F44-97E0-DA37FBA41595}"/>
    <cellStyle name="Normal 5 2 11 2 3" xfId="15340" xr:uid="{FAEF95BA-9109-4E7E-B07C-A9C1E4B62299}"/>
    <cellStyle name="Normal 5 2 11 3" xfId="18748" xr:uid="{6E865FB1-304D-4176-A7F7-B36D157ABDCC}"/>
    <cellStyle name="Normal 5 2 11 4" xfId="11127" xr:uid="{918EB29C-5CBB-4CA6-BD0A-4536D6D636F2}"/>
    <cellStyle name="Normal 5 2 12" xfId="4780" xr:uid="{00000000-0005-0000-0000-0000F1160000}"/>
    <cellStyle name="Normal 5 2 12 2" xfId="20896" xr:uid="{212DAFCD-2FC3-4121-AC5B-3AB3B5A507A4}"/>
    <cellStyle name="Normal 5 2 12 3" xfId="13275" xr:uid="{A5DE9622-1429-44BF-B4B8-3C1C103FBA1C}"/>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0 2 2" xfId="22962" xr:uid="{4A989E81-0470-4E65-AC60-FBFDF6B9D443}"/>
    <cellStyle name="Normal 5 2 2 10 2 3" xfId="15341" xr:uid="{8EC06AB8-115A-4559-9EA9-E1B83D97D600}"/>
    <cellStyle name="Normal 5 2 2 10 3" xfId="18749" xr:uid="{7267B7C4-83D5-49ED-87D4-2DBA21FD36DB}"/>
    <cellStyle name="Normal 5 2 2 10 4" xfId="11128" xr:uid="{662F0DD8-7CE0-489C-92A0-2CEEC402C98C}"/>
    <cellStyle name="Normal 5 2 2 11" xfId="4781" xr:uid="{00000000-0005-0000-0000-0000F5160000}"/>
    <cellStyle name="Normal 5 2 2 11 2" xfId="20897" xr:uid="{D4AB820B-F41C-409A-805B-09339409CAE2}"/>
    <cellStyle name="Normal 5 2 2 11 3" xfId="13276" xr:uid="{AB17211F-B894-4398-88D8-DC3EC40258CF}"/>
    <cellStyle name="Normal 5 2 2 12" xfId="8753" xr:uid="{96D04E2F-D92F-448D-9FDA-8261D8BEE094}"/>
    <cellStyle name="Normal 5 2 2 2" xfId="409" xr:uid="{00000000-0005-0000-0000-0000F6160000}"/>
    <cellStyle name="Normal 5 2 2 2 10" xfId="4782" xr:uid="{00000000-0005-0000-0000-0000F7160000}"/>
    <cellStyle name="Normal 5 2 2 2 10 2" xfId="20898" xr:uid="{33C15078-AD1A-4A35-A2F6-6CBA7B84907E}"/>
    <cellStyle name="Normal 5 2 2 2 10 3" xfId="13277" xr:uid="{DE26AD70-4292-4045-9A85-D4695258EDF6}"/>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23459" xr:uid="{F2938181-F1A8-46C3-A003-1263ACE43EF7}"/>
    <cellStyle name="Normal 5 2 2 2 2 2 2 2 2 2 3" xfId="15838" xr:uid="{0C35600B-3CE7-464A-8C92-3092770A6450}"/>
    <cellStyle name="Normal 5 2 2 2 2 2 2 2 2 3" xfId="19246" xr:uid="{2CB507AD-A4B1-448F-ACF3-C51C29E1C9DA}"/>
    <cellStyle name="Normal 5 2 2 2 2 2 2 2 2 4" xfId="11625" xr:uid="{E75B159C-8CF9-42FE-9ECD-51A4F417410C}"/>
    <cellStyle name="Normal 5 2 2 2 2 2 2 2 3" xfId="5198" xr:uid="{00000000-0005-0000-0000-0000FE160000}"/>
    <cellStyle name="Normal 5 2 2 2 2 2 2 2 3 2" xfId="21314" xr:uid="{652631E5-088A-41F9-B71C-604B1982F627}"/>
    <cellStyle name="Normal 5 2 2 2 2 2 2 2 3 3" xfId="13693" xr:uid="{97CB352E-8432-4B97-81B5-67B5EE551211}"/>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23872" xr:uid="{9C71B9B9-1130-4B43-9B63-B9DBEE3F82D3}"/>
    <cellStyle name="Normal 5 2 2 2 2 2 2 3 2 2 3" xfId="16251" xr:uid="{7FE5717D-8EB9-4E76-8235-7F4C36573409}"/>
    <cellStyle name="Normal 5 2 2 2 2 2 2 3 2 3" xfId="19659" xr:uid="{63B3B74F-DA9C-4CF7-95D4-288B0CA76E4B}"/>
    <cellStyle name="Normal 5 2 2 2 2 2 2 3 2 4" xfId="12038" xr:uid="{1702EBFF-3021-4BC2-83B3-093B7BD1E64B}"/>
    <cellStyle name="Normal 5 2 2 2 2 2 2 3 3" xfId="5611" xr:uid="{00000000-0005-0000-0000-000002170000}"/>
    <cellStyle name="Normal 5 2 2 2 2 2 2 3 3 2" xfId="21727" xr:uid="{9A9EFCCB-A37F-4EE0-8693-BA26515B19F7}"/>
    <cellStyle name="Normal 5 2 2 2 2 2 2 3 3 3" xfId="14106" xr:uid="{54DE3561-3804-48C8-8A6F-95E7777BA271}"/>
    <cellStyle name="Normal 5 2 2 2 2 2 2 3 4" xfId="17514" xr:uid="{EEB6DABE-399B-4050-814B-DE7F4F2BBF92}"/>
    <cellStyle name="Normal 5 2 2 2 2 2 2 3 5" xfId="9893" xr:uid="{5D27BCC4-DB6F-4D2C-8CAF-34EC47183422}"/>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24285" xr:uid="{E6083D4C-5F4F-42ED-8993-8E9A9C24CDF9}"/>
    <cellStyle name="Normal 5 2 2 2 2 2 2 4 2 2 3" xfId="16664" xr:uid="{82CD7F0C-5D37-4B83-A445-B4C42D176980}"/>
    <cellStyle name="Normal 5 2 2 2 2 2 2 4 2 3" xfId="20072" xr:uid="{7FB7764B-D5FC-48CC-8348-C8506BBB8314}"/>
    <cellStyle name="Normal 5 2 2 2 2 2 2 4 2 4" xfId="12451" xr:uid="{C71A9EB8-318C-45D8-BB63-3F529E5C56A5}"/>
    <cellStyle name="Normal 5 2 2 2 2 2 2 4 3" xfId="6024" xr:uid="{00000000-0005-0000-0000-000006170000}"/>
    <cellStyle name="Normal 5 2 2 2 2 2 2 4 3 2" xfId="22140" xr:uid="{C1AE05C4-545C-4D2C-9F81-D1675890D82E}"/>
    <cellStyle name="Normal 5 2 2 2 2 2 2 4 3 3" xfId="14519" xr:uid="{61F88E70-4742-4FAB-8839-CD8AEBD736D4}"/>
    <cellStyle name="Normal 5 2 2 2 2 2 2 4 4" xfId="17927" xr:uid="{9558D90D-D98C-4B1A-BA32-08FFE60BCF2C}"/>
    <cellStyle name="Normal 5 2 2 2 2 2 2 4 5" xfId="10306" xr:uid="{DD0D7538-F9DA-4040-8945-848CC0CC40CE}"/>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24698" xr:uid="{F1E831F8-34DF-467B-AAB8-EF0CB0F1D25E}"/>
    <cellStyle name="Normal 5 2 2 2 2 2 2 5 2 2 3" xfId="17077" xr:uid="{D262D9C6-1415-4D73-84E5-9C492B716C11}"/>
    <cellStyle name="Normal 5 2 2 2 2 2 2 5 2 3" xfId="20485" xr:uid="{A0C96C82-FACA-420B-BD6E-7BCE4B1B880D}"/>
    <cellStyle name="Normal 5 2 2 2 2 2 2 5 2 4" xfId="12864" xr:uid="{E37885F2-87B3-4ACB-8AEA-FA2804AF8206}"/>
    <cellStyle name="Normal 5 2 2 2 2 2 2 5 3" xfId="6437" xr:uid="{00000000-0005-0000-0000-00000A170000}"/>
    <cellStyle name="Normal 5 2 2 2 2 2 2 5 3 2" xfId="22553" xr:uid="{F8E74C88-DE41-4C67-B8FA-EA07EB981222}"/>
    <cellStyle name="Normal 5 2 2 2 2 2 2 5 3 3" xfId="14932" xr:uid="{250E03AB-84E0-4598-8AB6-381C99860DF6}"/>
    <cellStyle name="Normal 5 2 2 2 2 2 2 5 4" xfId="18340" xr:uid="{A55B18AB-BBC9-4897-9C54-46B5AE15B0A0}"/>
    <cellStyle name="Normal 5 2 2 2 2 2 2 5 5" xfId="10719" xr:uid="{4337B28C-5FE9-4744-A314-56510DD264C3}"/>
    <cellStyle name="Normal 5 2 2 2 2 2 2 6" xfId="2567" xr:uid="{00000000-0005-0000-0000-00000B170000}"/>
    <cellStyle name="Normal 5 2 2 2 2 2 2 6 2" xfId="6850" xr:uid="{00000000-0005-0000-0000-00000C170000}"/>
    <cellStyle name="Normal 5 2 2 2 2 2 2 6 2 2" xfId="22966" xr:uid="{4B0A27DF-80C4-401F-99FA-E3F6E2BEA014}"/>
    <cellStyle name="Normal 5 2 2 2 2 2 2 6 2 3" xfId="15345" xr:uid="{2EB79C8F-CEC4-4DB7-AB6A-253471F0537E}"/>
    <cellStyle name="Normal 5 2 2 2 2 2 2 6 3" xfId="18753" xr:uid="{C2E2DA63-2880-4CC9-B267-D66C3472CDFB}"/>
    <cellStyle name="Normal 5 2 2 2 2 2 2 6 4" xfId="11132" xr:uid="{3DFDE836-DFE5-47CB-BC42-89092BBD8190}"/>
    <cellStyle name="Normal 5 2 2 2 2 2 2 7" xfId="4785" xr:uid="{00000000-0005-0000-0000-00000D170000}"/>
    <cellStyle name="Normal 5 2 2 2 2 2 2 7 2" xfId="20901" xr:uid="{EBDC83D1-8559-41B9-B45C-04132E01EF39}"/>
    <cellStyle name="Normal 5 2 2 2 2 2 2 7 3" xfId="13280" xr:uid="{389411C0-16B8-48B9-977E-81EEDB2B2F4F}"/>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23458" xr:uid="{4BE19692-65DA-4D80-BBDE-9A1FB8E04E95}"/>
    <cellStyle name="Normal 5 2 2 2 2 2 3 2 2 3" xfId="15837" xr:uid="{0B328EEC-310E-4544-89C3-36C819F1C99E}"/>
    <cellStyle name="Normal 5 2 2 2 2 2 3 2 3" xfId="19245" xr:uid="{9D78C982-9A1A-476C-9145-CDDDF01D2855}"/>
    <cellStyle name="Normal 5 2 2 2 2 2 3 2 4" xfId="11624" xr:uid="{43C148FD-ECF8-45D4-8C35-022910A785AF}"/>
    <cellStyle name="Normal 5 2 2 2 2 2 3 3" xfId="5197" xr:uid="{00000000-0005-0000-0000-000011170000}"/>
    <cellStyle name="Normal 5 2 2 2 2 2 3 3 2" xfId="21313" xr:uid="{15A0CB2C-319F-480F-88D5-C64D9FE6C7FB}"/>
    <cellStyle name="Normal 5 2 2 2 2 2 3 3 3" xfId="13692" xr:uid="{71187607-201D-4B71-8CDF-E5EC8D1D1167}"/>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23871" xr:uid="{41767E82-9367-4A59-BD01-A2FA1322DBC7}"/>
    <cellStyle name="Normal 5 2 2 2 2 2 4 2 2 3" xfId="16250" xr:uid="{76965606-3801-4526-8E2A-7A374E04D1D1}"/>
    <cellStyle name="Normal 5 2 2 2 2 2 4 2 3" xfId="19658" xr:uid="{B336098A-32B4-49F4-A472-D7247B6CD3A1}"/>
    <cellStyle name="Normal 5 2 2 2 2 2 4 2 4" xfId="12037" xr:uid="{97CD1A0B-9F28-4481-B17D-1B7675BFBB81}"/>
    <cellStyle name="Normal 5 2 2 2 2 2 4 3" xfId="5610" xr:uid="{00000000-0005-0000-0000-000015170000}"/>
    <cellStyle name="Normal 5 2 2 2 2 2 4 3 2" xfId="21726" xr:uid="{1444C4CC-3930-4BE6-BB93-EB3B616777E5}"/>
    <cellStyle name="Normal 5 2 2 2 2 2 4 3 3" xfId="14105" xr:uid="{5E4A1687-7205-4E55-8E8F-8F9FD976F04B}"/>
    <cellStyle name="Normal 5 2 2 2 2 2 4 4" xfId="17513" xr:uid="{7F96520A-B2BF-49A9-BF74-2AADA1871FCA}"/>
    <cellStyle name="Normal 5 2 2 2 2 2 4 5" xfId="9892" xr:uid="{B39D5AF8-7536-4E5B-A956-E10F5BC9965C}"/>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24284" xr:uid="{C420BCDE-9EE3-4384-89D1-F2676903DCE2}"/>
    <cellStyle name="Normal 5 2 2 2 2 2 5 2 2 3" xfId="16663" xr:uid="{629B1285-0489-4814-B43B-6E65EC0AB610}"/>
    <cellStyle name="Normal 5 2 2 2 2 2 5 2 3" xfId="20071" xr:uid="{1DD764AD-9C1A-454D-9527-967A933C1D76}"/>
    <cellStyle name="Normal 5 2 2 2 2 2 5 2 4" xfId="12450" xr:uid="{DC88A855-5A40-42E9-AD91-66C1ECA5E04C}"/>
    <cellStyle name="Normal 5 2 2 2 2 2 5 3" xfId="6023" xr:uid="{00000000-0005-0000-0000-000019170000}"/>
    <cellStyle name="Normal 5 2 2 2 2 2 5 3 2" xfId="22139" xr:uid="{62E0CC31-0F63-4D96-8BDC-029819A689EE}"/>
    <cellStyle name="Normal 5 2 2 2 2 2 5 3 3" xfId="14518" xr:uid="{5B7A02EF-1D1F-4AD0-A214-C468A7C657B8}"/>
    <cellStyle name="Normal 5 2 2 2 2 2 5 4" xfId="17926" xr:uid="{459FB954-7D03-49C3-B69C-FBB62C385EFF}"/>
    <cellStyle name="Normal 5 2 2 2 2 2 5 5" xfId="10305" xr:uid="{B7AA7E60-F38F-45DD-99E1-9B72984AF194}"/>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24697" xr:uid="{3F7E1CA2-52E0-455F-B32D-1D6B9D6B94A4}"/>
    <cellStyle name="Normal 5 2 2 2 2 2 6 2 2 3" xfId="17076" xr:uid="{846458D4-CFF3-4EC6-96C2-2738ABBA9237}"/>
    <cellStyle name="Normal 5 2 2 2 2 2 6 2 3" xfId="20484" xr:uid="{131D40C5-6D3F-4877-A26A-D1083FAE6053}"/>
    <cellStyle name="Normal 5 2 2 2 2 2 6 2 4" xfId="12863" xr:uid="{C1BB1A27-AF25-40B7-BFE2-A4924614801B}"/>
    <cellStyle name="Normal 5 2 2 2 2 2 6 3" xfId="6436" xr:uid="{00000000-0005-0000-0000-00001D170000}"/>
    <cellStyle name="Normal 5 2 2 2 2 2 6 3 2" xfId="22552" xr:uid="{1576FAE3-91FF-4C5E-96F2-39F84ABF9813}"/>
    <cellStyle name="Normal 5 2 2 2 2 2 6 3 3" xfId="14931" xr:uid="{D95D022C-30F9-436C-9C27-F2881E38B1AD}"/>
    <cellStyle name="Normal 5 2 2 2 2 2 6 4" xfId="18339" xr:uid="{CFECCE69-2E29-4F23-9E3E-2C3D4AF7B7D2}"/>
    <cellStyle name="Normal 5 2 2 2 2 2 6 5" xfId="10718" xr:uid="{B6166FA6-1295-4773-BABA-2AB4470CAC06}"/>
    <cellStyle name="Normal 5 2 2 2 2 2 7" xfId="2566" xr:uid="{00000000-0005-0000-0000-00001E170000}"/>
    <cellStyle name="Normal 5 2 2 2 2 2 7 2" xfId="6849" xr:uid="{00000000-0005-0000-0000-00001F170000}"/>
    <cellStyle name="Normal 5 2 2 2 2 2 7 2 2" xfId="22965" xr:uid="{43297DB1-67BF-4ACB-BB8E-D4382F6F9105}"/>
    <cellStyle name="Normal 5 2 2 2 2 2 7 2 3" xfId="15344" xr:uid="{6F591BFF-5304-45C0-8431-0BD302175421}"/>
    <cellStyle name="Normal 5 2 2 2 2 2 7 3" xfId="18752" xr:uid="{BC944318-F9DD-4BD9-8C3F-9A27879742C1}"/>
    <cellStyle name="Normal 5 2 2 2 2 2 7 4" xfId="11131" xr:uid="{AB3643BF-B116-4C67-B24E-AB6513288941}"/>
    <cellStyle name="Normal 5 2 2 2 2 2 8" xfId="4784" xr:uid="{00000000-0005-0000-0000-000020170000}"/>
    <cellStyle name="Normal 5 2 2 2 2 2 8 2" xfId="20900" xr:uid="{751D7283-1953-4C69-BF79-D5D135A5941E}"/>
    <cellStyle name="Normal 5 2 2 2 2 2 8 3" xfId="13279" xr:uid="{A79FFF89-AB3D-490F-B519-3A0AEE7A34D2}"/>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23460" xr:uid="{FDD3637B-8B7C-49C7-BE1E-51B2C91CB2EA}"/>
    <cellStyle name="Normal 5 2 2 2 2 3 2 2 2 3" xfId="15839" xr:uid="{A5FF7A65-143E-475F-825C-818801CD77C6}"/>
    <cellStyle name="Normal 5 2 2 2 2 3 2 2 3" xfId="19247" xr:uid="{6A7E5765-4B20-4B53-B3EC-0B08E28AB3E0}"/>
    <cellStyle name="Normal 5 2 2 2 2 3 2 2 4" xfId="11626" xr:uid="{FDD36DC2-435B-437F-B3C5-23EDFEDDCAA9}"/>
    <cellStyle name="Normal 5 2 2 2 2 3 2 3" xfId="5199" xr:uid="{00000000-0005-0000-0000-000025170000}"/>
    <cellStyle name="Normal 5 2 2 2 2 3 2 3 2" xfId="21315" xr:uid="{57B9C1BC-0F23-4743-B32D-8EF7FEA094FF}"/>
    <cellStyle name="Normal 5 2 2 2 2 3 2 3 3" xfId="13694" xr:uid="{3DFCA3E3-6FE0-429B-9A86-A0DA62CC0F92}"/>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23873" xr:uid="{97A8D59E-DD01-4F2E-9BAA-0F373F8D5843}"/>
    <cellStyle name="Normal 5 2 2 2 2 3 3 2 2 3" xfId="16252" xr:uid="{1BE6C491-6414-412A-B636-6DEEACF43729}"/>
    <cellStyle name="Normal 5 2 2 2 2 3 3 2 3" xfId="19660" xr:uid="{47DCEEE8-5DC5-49DD-AB17-3189EB406F24}"/>
    <cellStyle name="Normal 5 2 2 2 2 3 3 2 4" xfId="12039" xr:uid="{6E062B00-85FA-4DB6-9C93-61C9B938A7DA}"/>
    <cellStyle name="Normal 5 2 2 2 2 3 3 3" xfId="5612" xr:uid="{00000000-0005-0000-0000-000029170000}"/>
    <cellStyle name="Normal 5 2 2 2 2 3 3 3 2" xfId="21728" xr:uid="{8C5B51DC-641F-4770-A43A-7E8205589B35}"/>
    <cellStyle name="Normal 5 2 2 2 2 3 3 3 3" xfId="14107" xr:uid="{569D80B7-510E-4675-8A32-D3CB573714DD}"/>
    <cellStyle name="Normal 5 2 2 2 2 3 3 4" xfId="17515" xr:uid="{041170E6-B0AB-46A6-B54B-881FCC9A47AA}"/>
    <cellStyle name="Normal 5 2 2 2 2 3 3 5" xfId="9894" xr:uid="{A39B7814-3172-4E9A-BFE0-7C4708BC7BB5}"/>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24286" xr:uid="{60D9C05D-A013-41A4-ADAE-369C92298937}"/>
    <cellStyle name="Normal 5 2 2 2 2 3 4 2 2 3" xfId="16665" xr:uid="{15ED4D78-231C-46D6-9611-DAEF60C43CFF}"/>
    <cellStyle name="Normal 5 2 2 2 2 3 4 2 3" xfId="20073" xr:uid="{C3EBBFF1-B50B-40FE-B355-5F6FB3D5594D}"/>
    <cellStyle name="Normal 5 2 2 2 2 3 4 2 4" xfId="12452" xr:uid="{AD6BEFEC-44C9-40C1-8415-46B26857A67F}"/>
    <cellStyle name="Normal 5 2 2 2 2 3 4 3" xfId="6025" xr:uid="{00000000-0005-0000-0000-00002D170000}"/>
    <cellStyle name="Normal 5 2 2 2 2 3 4 3 2" xfId="22141" xr:uid="{FF45F870-87C9-4332-8E1E-F7834BD2CBDB}"/>
    <cellStyle name="Normal 5 2 2 2 2 3 4 3 3" xfId="14520" xr:uid="{D3254E2E-B621-4911-B3C1-6118A1A64B42}"/>
    <cellStyle name="Normal 5 2 2 2 2 3 4 4" xfId="17928" xr:uid="{0D301A4E-EB65-4802-AFF9-B48D7A0B4A7A}"/>
    <cellStyle name="Normal 5 2 2 2 2 3 4 5" xfId="10307" xr:uid="{DC5DFC48-3B3E-45C2-9449-EC285ECFE74E}"/>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24699" xr:uid="{CBE9E1DF-FC58-4ABA-B320-E5D6073FD8DA}"/>
    <cellStyle name="Normal 5 2 2 2 2 3 5 2 2 3" xfId="17078" xr:uid="{297E1FAD-958D-44DB-9DD7-5ABAC442D692}"/>
    <cellStyle name="Normal 5 2 2 2 2 3 5 2 3" xfId="20486" xr:uid="{953C77F4-95DF-45B2-B75D-766B57D7876E}"/>
    <cellStyle name="Normal 5 2 2 2 2 3 5 2 4" xfId="12865" xr:uid="{6C3B1A72-D57D-4EF3-ACE1-52942588293F}"/>
    <cellStyle name="Normal 5 2 2 2 2 3 5 3" xfId="6438" xr:uid="{00000000-0005-0000-0000-000031170000}"/>
    <cellStyle name="Normal 5 2 2 2 2 3 5 3 2" xfId="22554" xr:uid="{C5F218D9-2295-4751-8DBD-4DD96827396C}"/>
    <cellStyle name="Normal 5 2 2 2 2 3 5 3 3" xfId="14933" xr:uid="{525E3CE8-B472-4030-B3C2-F972B3623ADB}"/>
    <cellStyle name="Normal 5 2 2 2 2 3 5 4" xfId="18341" xr:uid="{DE379131-FDA5-4C44-A493-785B4AFE3481}"/>
    <cellStyle name="Normal 5 2 2 2 2 3 5 5" xfId="10720" xr:uid="{E2119296-8848-43E8-9D2D-BBE214383B11}"/>
    <cellStyle name="Normal 5 2 2 2 2 3 6" xfId="2568" xr:uid="{00000000-0005-0000-0000-000032170000}"/>
    <cellStyle name="Normal 5 2 2 2 2 3 6 2" xfId="6851" xr:uid="{00000000-0005-0000-0000-000033170000}"/>
    <cellStyle name="Normal 5 2 2 2 2 3 6 2 2" xfId="22967" xr:uid="{6C55A603-2675-4A40-B334-AFEA720ED375}"/>
    <cellStyle name="Normal 5 2 2 2 2 3 6 2 3" xfId="15346" xr:uid="{0C1D58F5-EA84-4D68-A6DC-C683F34753C3}"/>
    <cellStyle name="Normal 5 2 2 2 2 3 6 3" xfId="18754" xr:uid="{4E0B2CC5-D6A7-4D15-ABE4-C416D41691C4}"/>
    <cellStyle name="Normal 5 2 2 2 2 3 6 4" xfId="11133" xr:uid="{E81AE820-911E-4BB1-9B61-C6E72872470E}"/>
    <cellStyle name="Normal 5 2 2 2 2 3 7" xfId="4786" xr:uid="{00000000-0005-0000-0000-000034170000}"/>
    <cellStyle name="Normal 5 2 2 2 2 3 7 2" xfId="20902" xr:uid="{C039A976-EEBB-4338-BB07-3DDC2EF3DAB0}"/>
    <cellStyle name="Normal 5 2 2 2 2 3 7 3" xfId="13281" xr:uid="{592F9DC0-E18C-48C1-AE04-5E650ED80929}"/>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23457" xr:uid="{B6C73F38-9AE9-457B-9EEB-AF2D10550B94}"/>
    <cellStyle name="Normal 5 2 2 2 2 4 2 2 3" xfId="15836" xr:uid="{5F34CBCA-DD66-40BD-A0BA-5A386A990F7C}"/>
    <cellStyle name="Normal 5 2 2 2 2 4 2 3" xfId="19244" xr:uid="{EF9B976E-A358-443C-828D-1E582459978D}"/>
    <cellStyle name="Normal 5 2 2 2 2 4 2 4" xfId="11623" xr:uid="{5BB5C478-E95D-4DCD-8284-EBD4CFBE44AA}"/>
    <cellStyle name="Normal 5 2 2 2 2 4 3" xfId="5196" xr:uid="{00000000-0005-0000-0000-000038170000}"/>
    <cellStyle name="Normal 5 2 2 2 2 4 3 2" xfId="21312" xr:uid="{3B405B01-59CB-4948-9BB1-480732C5E3BB}"/>
    <cellStyle name="Normal 5 2 2 2 2 4 3 3" xfId="13691" xr:uid="{83B80C8B-393C-4B5C-98A4-14738AE37ECD}"/>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23870" xr:uid="{737C6D9F-2C27-4238-989F-CF705F0B1FFC}"/>
    <cellStyle name="Normal 5 2 2 2 2 5 2 2 3" xfId="16249" xr:uid="{95C53653-E3C6-48D5-ACC2-2DD90E3CD207}"/>
    <cellStyle name="Normal 5 2 2 2 2 5 2 3" xfId="19657" xr:uid="{F5A305C2-58DA-473B-9214-E7496B982282}"/>
    <cellStyle name="Normal 5 2 2 2 2 5 2 4" xfId="12036" xr:uid="{35F01972-3A1D-413F-8A69-EB80115A8872}"/>
    <cellStyle name="Normal 5 2 2 2 2 5 3" xfId="5609" xr:uid="{00000000-0005-0000-0000-00003C170000}"/>
    <cellStyle name="Normal 5 2 2 2 2 5 3 2" xfId="21725" xr:uid="{507A0613-3E40-4F03-9651-B9328156A887}"/>
    <cellStyle name="Normal 5 2 2 2 2 5 3 3" xfId="14104" xr:uid="{1FFD2B06-E029-43EC-8AF6-A3715186832C}"/>
    <cellStyle name="Normal 5 2 2 2 2 5 4" xfId="17512" xr:uid="{8DFF3C92-0012-4F7F-93E1-5F5DE258A761}"/>
    <cellStyle name="Normal 5 2 2 2 2 5 5" xfId="9891" xr:uid="{8E104B25-DF89-4769-BF35-67FF4703CBFD}"/>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24283" xr:uid="{8E967078-88B2-461D-97F6-DF150A37F96C}"/>
    <cellStyle name="Normal 5 2 2 2 2 6 2 2 3" xfId="16662" xr:uid="{9060DF3B-4F0B-46DB-BC11-6E1B94A34369}"/>
    <cellStyle name="Normal 5 2 2 2 2 6 2 3" xfId="20070" xr:uid="{FE87817C-7188-4EDE-A5C4-B53FF882C31F}"/>
    <cellStyle name="Normal 5 2 2 2 2 6 2 4" xfId="12449" xr:uid="{05E6B9D1-2680-4C08-821C-5ED10D5E258D}"/>
    <cellStyle name="Normal 5 2 2 2 2 6 3" xfId="6022" xr:uid="{00000000-0005-0000-0000-000040170000}"/>
    <cellStyle name="Normal 5 2 2 2 2 6 3 2" xfId="22138" xr:uid="{EA7D3C21-2BA3-4F3C-840D-6BC428F4685B}"/>
    <cellStyle name="Normal 5 2 2 2 2 6 3 3" xfId="14517" xr:uid="{3202FF10-A6BE-4A2C-9352-DFFF85CF4E8C}"/>
    <cellStyle name="Normal 5 2 2 2 2 6 4" xfId="17925" xr:uid="{877C5C79-23CF-492C-B231-F59960B3AE50}"/>
    <cellStyle name="Normal 5 2 2 2 2 6 5" xfId="10304" xr:uid="{CB5CC047-A6D2-4257-8060-0388F01C5A5C}"/>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24696" xr:uid="{03363DD4-6D8A-473C-BC76-7E01DFA3EB62}"/>
    <cellStyle name="Normal 5 2 2 2 2 7 2 2 3" xfId="17075" xr:uid="{9A2AB8A3-6931-4FD9-B982-2FFC1E16DD87}"/>
    <cellStyle name="Normal 5 2 2 2 2 7 2 3" xfId="20483" xr:uid="{F0ED8AD9-772F-4343-B48D-910474A10684}"/>
    <cellStyle name="Normal 5 2 2 2 2 7 2 4" xfId="12862" xr:uid="{41AB6B36-5C6C-4890-BEA4-68902F799A42}"/>
    <cellStyle name="Normal 5 2 2 2 2 7 3" xfId="6435" xr:uid="{00000000-0005-0000-0000-000044170000}"/>
    <cellStyle name="Normal 5 2 2 2 2 7 3 2" xfId="22551" xr:uid="{44698200-0D96-4C50-A596-231784077B8C}"/>
    <cellStyle name="Normal 5 2 2 2 2 7 3 3" xfId="14930" xr:uid="{4AE1DA47-9460-4F88-A372-9ED724AC4E04}"/>
    <cellStyle name="Normal 5 2 2 2 2 7 4" xfId="18338" xr:uid="{F9BFCCE8-97B9-4660-82B3-2070BA27C6A5}"/>
    <cellStyle name="Normal 5 2 2 2 2 7 5" xfId="10717" xr:uid="{8ECA0DCD-D801-47A2-8AD4-4C16805F8E8C}"/>
    <cellStyle name="Normal 5 2 2 2 2 8" xfId="2565" xr:uid="{00000000-0005-0000-0000-000045170000}"/>
    <cellStyle name="Normal 5 2 2 2 2 8 2" xfId="6848" xr:uid="{00000000-0005-0000-0000-000046170000}"/>
    <cellStyle name="Normal 5 2 2 2 2 8 2 2" xfId="22964" xr:uid="{B40CAE14-51ED-4550-BCD5-5B423D9CEEAF}"/>
    <cellStyle name="Normal 5 2 2 2 2 8 2 3" xfId="15343" xr:uid="{0B6BE70C-9B2E-4CAE-B991-AB44F2DDC068}"/>
    <cellStyle name="Normal 5 2 2 2 2 8 3" xfId="18751" xr:uid="{B3852F25-973E-4AEB-A905-FADC4E7786B2}"/>
    <cellStyle name="Normal 5 2 2 2 2 8 4" xfId="11130" xr:uid="{6472BF41-19C1-4ED0-808B-EE0E52E1230C}"/>
    <cellStyle name="Normal 5 2 2 2 2 9" xfId="4783" xr:uid="{00000000-0005-0000-0000-000047170000}"/>
    <cellStyle name="Normal 5 2 2 2 2 9 2" xfId="20899" xr:uid="{21CAD9FE-9509-420D-AB6C-7A3D3AB0432A}"/>
    <cellStyle name="Normal 5 2 2 2 2 9 3" xfId="13278" xr:uid="{7690C383-C20A-4F6F-BFCF-173AD27B4983}"/>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23462" xr:uid="{E876AFC8-3859-4A05-9AFB-648103D33280}"/>
    <cellStyle name="Normal 5 2 2 2 3 2 2 2 2 3" xfId="15841" xr:uid="{7A765C21-83B9-4143-92D3-0FA2F0B37B0D}"/>
    <cellStyle name="Normal 5 2 2 2 3 2 2 2 3" xfId="19249" xr:uid="{152D1927-0AA4-49CE-B4A1-B818BA04F7BD}"/>
    <cellStyle name="Normal 5 2 2 2 3 2 2 2 4" xfId="11628" xr:uid="{F550AFD0-AB9C-4D15-AC4C-837986C139C3}"/>
    <cellStyle name="Normal 5 2 2 2 3 2 2 3" xfId="5201" xr:uid="{00000000-0005-0000-0000-00004D170000}"/>
    <cellStyle name="Normal 5 2 2 2 3 2 2 3 2" xfId="21317" xr:uid="{B4449134-324A-4B03-B8D2-94122DF86D1F}"/>
    <cellStyle name="Normal 5 2 2 2 3 2 2 3 3" xfId="13696" xr:uid="{7B2F5624-CCA1-493F-9046-2BAAB0803192}"/>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23875" xr:uid="{272AC4C8-635C-4A05-BC0F-3F3E8F5DD957}"/>
    <cellStyle name="Normal 5 2 2 2 3 2 3 2 2 3" xfId="16254" xr:uid="{08E6FA45-0736-4DF8-9EE3-0837063B4149}"/>
    <cellStyle name="Normal 5 2 2 2 3 2 3 2 3" xfId="19662" xr:uid="{6921885E-14E2-4E48-BDE1-C927C78C349E}"/>
    <cellStyle name="Normal 5 2 2 2 3 2 3 2 4" xfId="12041" xr:uid="{88FC96F0-E371-4209-B372-251A54B8C6F8}"/>
    <cellStyle name="Normal 5 2 2 2 3 2 3 3" xfId="5614" xr:uid="{00000000-0005-0000-0000-000051170000}"/>
    <cellStyle name="Normal 5 2 2 2 3 2 3 3 2" xfId="21730" xr:uid="{E9D58857-ED20-494A-AD8F-26DE3CCE0B1B}"/>
    <cellStyle name="Normal 5 2 2 2 3 2 3 3 3" xfId="14109" xr:uid="{29ECCB93-8029-4A99-A924-9424DD48D759}"/>
    <cellStyle name="Normal 5 2 2 2 3 2 3 4" xfId="17517" xr:uid="{1AAEE66D-CDA0-4068-9B9C-1E190711DC18}"/>
    <cellStyle name="Normal 5 2 2 2 3 2 3 5" xfId="9896" xr:uid="{F872D632-3472-4B6B-942F-0811D28B7D9F}"/>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24288" xr:uid="{441F9DC5-CA4E-4613-853A-4654B7F4B651}"/>
    <cellStyle name="Normal 5 2 2 2 3 2 4 2 2 3" xfId="16667" xr:uid="{01D4B1E9-E7B4-4457-A7BB-30C987FF4E96}"/>
    <cellStyle name="Normal 5 2 2 2 3 2 4 2 3" xfId="20075" xr:uid="{C240F32C-FF38-4C57-81D2-68DDF1031A0C}"/>
    <cellStyle name="Normal 5 2 2 2 3 2 4 2 4" xfId="12454" xr:uid="{8BB9BB2A-20AD-41DF-97FE-4AFCAE3A13EE}"/>
    <cellStyle name="Normal 5 2 2 2 3 2 4 3" xfId="6027" xr:uid="{00000000-0005-0000-0000-000055170000}"/>
    <cellStyle name="Normal 5 2 2 2 3 2 4 3 2" xfId="22143" xr:uid="{636B3863-F2F6-4B4C-8486-B54AD65C364F}"/>
    <cellStyle name="Normal 5 2 2 2 3 2 4 3 3" xfId="14522" xr:uid="{35C55343-56B5-44D7-B530-BD7D6267DFED}"/>
    <cellStyle name="Normal 5 2 2 2 3 2 4 4" xfId="17930" xr:uid="{2A3F033F-BDED-4BDC-A3A4-6C2304713ACD}"/>
    <cellStyle name="Normal 5 2 2 2 3 2 4 5" xfId="10309" xr:uid="{3D962658-6F32-4A1C-8B9B-3724573C9922}"/>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24701" xr:uid="{A6157773-79A8-47A7-8C83-EBFB29EF3CB3}"/>
    <cellStyle name="Normal 5 2 2 2 3 2 5 2 2 3" xfId="17080" xr:uid="{0897EE20-E787-4F08-AD5E-659786BBA207}"/>
    <cellStyle name="Normal 5 2 2 2 3 2 5 2 3" xfId="20488" xr:uid="{22A7897A-9442-4CA4-B063-6E2E9D99F9F8}"/>
    <cellStyle name="Normal 5 2 2 2 3 2 5 2 4" xfId="12867" xr:uid="{869D9BEC-E0E4-43C0-8F92-59E55E1766F9}"/>
    <cellStyle name="Normal 5 2 2 2 3 2 5 3" xfId="6440" xr:uid="{00000000-0005-0000-0000-000059170000}"/>
    <cellStyle name="Normal 5 2 2 2 3 2 5 3 2" xfId="22556" xr:uid="{B9CE04A4-8C53-492D-9AC6-4A43E60F9F6A}"/>
    <cellStyle name="Normal 5 2 2 2 3 2 5 3 3" xfId="14935" xr:uid="{75F7BD15-2061-45E3-93F0-93F51932C346}"/>
    <cellStyle name="Normal 5 2 2 2 3 2 5 4" xfId="18343" xr:uid="{B301B282-1415-4CD7-91FF-28A55442DB82}"/>
    <cellStyle name="Normal 5 2 2 2 3 2 5 5" xfId="10722" xr:uid="{F280312D-7260-497D-B91B-49E0C7FE171E}"/>
    <cellStyle name="Normal 5 2 2 2 3 2 6" xfId="2570" xr:uid="{00000000-0005-0000-0000-00005A170000}"/>
    <cellStyle name="Normal 5 2 2 2 3 2 6 2" xfId="6853" xr:uid="{00000000-0005-0000-0000-00005B170000}"/>
    <cellStyle name="Normal 5 2 2 2 3 2 6 2 2" xfId="22969" xr:uid="{779E1D95-07D5-4533-92B1-857146FA7ED1}"/>
    <cellStyle name="Normal 5 2 2 2 3 2 6 2 3" xfId="15348" xr:uid="{31BDEEFB-8452-494E-9FFB-3525D01B7BFD}"/>
    <cellStyle name="Normal 5 2 2 2 3 2 6 3" xfId="18756" xr:uid="{B8FE1036-FBA9-4E2B-965F-0F450AF9535B}"/>
    <cellStyle name="Normal 5 2 2 2 3 2 6 4" xfId="11135" xr:uid="{10048DAC-BF72-42B3-9F8E-06BDB03EECA1}"/>
    <cellStyle name="Normal 5 2 2 2 3 2 7" xfId="4788" xr:uid="{00000000-0005-0000-0000-00005C170000}"/>
    <cellStyle name="Normal 5 2 2 2 3 2 7 2" xfId="20904" xr:uid="{06A4E8B5-5812-4095-8183-9D2F60D9C503}"/>
    <cellStyle name="Normal 5 2 2 2 3 2 7 3" xfId="13283" xr:uid="{92EF6507-DA4F-4296-8873-EC8B51D977F8}"/>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23461" xr:uid="{A3A492B9-7847-4C7D-BA54-A00F7B237A09}"/>
    <cellStyle name="Normal 5 2 2 2 3 3 2 2 3" xfId="15840" xr:uid="{F2AA15A3-1C93-4AFC-ABB6-D61831B41A8D}"/>
    <cellStyle name="Normal 5 2 2 2 3 3 2 3" xfId="19248" xr:uid="{D71548BD-1EFD-4127-8E64-050F2374A4AE}"/>
    <cellStyle name="Normal 5 2 2 2 3 3 2 4" xfId="11627" xr:uid="{1C1FD0BF-F68A-47E9-8258-EAB722FE8468}"/>
    <cellStyle name="Normal 5 2 2 2 3 3 3" xfId="5200" xr:uid="{00000000-0005-0000-0000-000060170000}"/>
    <cellStyle name="Normal 5 2 2 2 3 3 3 2" xfId="21316" xr:uid="{045EBCC1-AA57-47AA-9419-91D7FDBE2F66}"/>
    <cellStyle name="Normal 5 2 2 2 3 3 3 3" xfId="13695" xr:uid="{EB14AD71-64F7-4FAA-9C4A-617EE232E357}"/>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23874" xr:uid="{339D45D1-19B5-428F-99F6-346B6192A821}"/>
    <cellStyle name="Normal 5 2 2 2 3 4 2 2 3" xfId="16253" xr:uid="{A3311A43-DC66-47CD-B0DA-AECFA68AFF94}"/>
    <cellStyle name="Normal 5 2 2 2 3 4 2 3" xfId="19661" xr:uid="{3B33DF03-143A-470F-83F2-42084343C583}"/>
    <cellStyle name="Normal 5 2 2 2 3 4 2 4" xfId="12040" xr:uid="{5E8D8985-6091-4C9B-8E8D-0BED81862377}"/>
    <cellStyle name="Normal 5 2 2 2 3 4 3" xfId="5613" xr:uid="{00000000-0005-0000-0000-000064170000}"/>
    <cellStyle name="Normal 5 2 2 2 3 4 3 2" xfId="21729" xr:uid="{FD8366ED-46C0-4A62-969A-742D8EDEC06B}"/>
    <cellStyle name="Normal 5 2 2 2 3 4 3 3" xfId="14108" xr:uid="{A4A4C3F5-56A7-45D6-B5DC-A0C6E26F5D5D}"/>
    <cellStyle name="Normal 5 2 2 2 3 4 4" xfId="17516" xr:uid="{FD55DAB7-64D5-4DF7-8611-31B6893D5C8E}"/>
    <cellStyle name="Normal 5 2 2 2 3 4 5" xfId="9895" xr:uid="{852027E6-17B3-45FF-8A44-109EBF03F475}"/>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24287" xr:uid="{219D3ACD-578D-4822-B9B5-2E769CA505B9}"/>
    <cellStyle name="Normal 5 2 2 2 3 5 2 2 3" xfId="16666" xr:uid="{04F62677-4307-43AF-A532-EDA8421D9D5B}"/>
    <cellStyle name="Normal 5 2 2 2 3 5 2 3" xfId="20074" xr:uid="{7332FFB2-1A69-4139-B366-BCDD651C24D1}"/>
    <cellStyle name="Normal 5 2 2 2 3 5 2 4" xfId="12453" xr:uid="{072D5A8A-E03D-4EBB-9205-1E838630D07F}"/>
    <cellStyle name="Normal 5 2 2 2 3 5 3" xfId="6026" xr:uid="{00000000-0005-0000-0000-000068170000}"/>
    <cellStyle name="Normal 5 2 2 2 3 5 3 2" xfId="22142" xr:uid="{7BE4ED79-E9C8-405E-AE98-3AD307BFDCAA}"/>
    <cellStyle name="Normal 5 2 2 2 3 5 3 3" xfId="14521" xr:uid="{F874C19A-B6BF-44F6-9458-1FFF43B1F0BA}"/>
    <cellStyle name="Normal 5 2 2 2 3 5 4" xfId="17929" xr:uid="{1992D071-954D-400D-AE05-1FBBD2363258}"/>
    <cellStyle name="Normal 5 2 2 2 3 5 5" xfId="10308" xr:uid="{15EE95A1-BCCC-4EF2-9F55-581B849291FC}"/>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24700" xr:uid="{B1E46E2C-E015-4076-ADEF-9C3CD2B95E54}"/>
    <cellStyle name="Normal 5 2 2 2 3 6 2 2 3" xfId="17079" xr:uid="{E4D71E2F-31A2-4AF7-80AC-53DC07C25BDB}"/>
    <cellStyle name="Normal 5 2 2 2 3 6 2 3" xfId="20487" xr:uid="{7300317E-7DBE-4972-BDFA-1DDF01BB490D}"/>
    <cellStyle name="Normal 5 2 2 2 3 6 2 4" xfId="12866" xr:uid="{625EBDDC-0CF1-4A29-A968-2DEB5FC073A1}"/>
    <cellStyle name="Normal 5 2 2 2 3 6 3" xfId="6439" xr:uid="{00000000-0005-0000-0000-00006C170000}"/>
    <cellStyle name="Normal 5 2 2 2 3 6 3 2" xfId="22555" xr:uid="{3E809DEF-1A72-481F-97E0-CC893FE24655}"/>
    <cellStyle name="Normal 5 2 2 2 3 6 3 3" xfId="14934" xr:uid="{2A89F126-1C62-4DE0-92BF-B9D4AC4BB8B1}"/>
    <cellStyle name="Normal 5 2 2 2 3 6 4" xfId="18342" xr:uid="{3D9F2F2E-774D-4B66-B496-E8E2A83D75C2}"/>
    <cellStyle name="Normal 5 2 2 2 3 6 5" xfId="10721" xr:uid="{360499A1-22BA-40E0-B506-F9E879587AD0}"/>
    <cellStyle name="Normal 5 2 2 2 3 7" xfId="2569" xr:uid="{00000000-0005-0000-0000-00006D170000}"/>
    <cellStyle name="Normal 5 2 2 2 3 7 2" xfId="6852" xr:uid="{00000000-0005-0000-0000-00006E170000}"/>
    <cellStyle name="Normal 5 2 2 2 3 7 2 2" xfId="22968" xr:uid="{DD712EE7-4DAD-46F4-8A20-0E35B93506D4}"/>
    <cellStyle name="Normal 5 2 2 2 3 7 2 3" xfId="15347" xr:uid="{F941FA9B-98D0-4FF6-926E-9B95599BE969}"/>
    <cellStyle name="Normal 5 2 2 2 3 7 3" xfId="18755" xr:uid="{10B08F2C-844D-4562-B4CE-E613EBE5233D}"/>
    <cellStyle name="Normal 5 2 2 2 3 7 4" xfId="11134" xr:uid="{24577749-6E50-44CB-A8FE-254D43CE9228}"/>
    <cellStyle name="Normal 5 2 2 2 3 8" xfId="4787" xr:uid="{00000000-0005-0000-0000-00006F170000}"/>
    <cellStyle name="Normal 5 2 2 2 3 8 2" xfId="20903" xr:uid="{BA627990-F0DB-402E-BFDE-1B51D3DB3217}"/>
    <cellStyle name="Normal 5 2 2 2 3 8 3" xfId="13282" xr:uid="{D9535C74-6A75-42E6-8285-04F5BC681132}"/>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23463" xr:uid="{0A9BAD6C-4E09-4835-8DDA-89B1FDCB74EF}"/>
    <cellStyle name="Normal 5 2 2 2 4 2 2 2 3" xfId="15842" xr:uid="{26738F4D-8CD0-4E54-9A62-F32CB435D2D4}"/>
    <cellStyle name="Normal 5 2 2 2 4 2 2 3" xfId="19250" xr:uid="{90C3BFD3-DF6F-4570-BC3A-362BDE98E9DB}"/>
    <cellStyle name="Normal 5 2 2 2 4 2 2 4" xfId="11629" xr:uid="{148B2D67-AB76-4715-972B-CB4C63E28F5C}"/>
    <cellStyle name="Normal 5 2 2 2 4 2 3" xfId="5202" xr:uid="{00000000-0005-0000-0000-000074170000}"/>
    <cellStyle name="Normal 5 2 2 2 4 2 3 2" xfId="21318" xr:uid="{B71318C9-AC10-4860-83D1-9AC5CC763A06}"/>
    <cellStyle name="Normal 5 2 2 2 4 2 3 3" xfId="13697" xr:uid="{9BB11EE8-D529-4B30-A4CC-D42E780D8111}"/>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23876" xr:uid="{2B84E718-0055-40F0-B676-115D730CBCE8}"/>
    <cellStyle name="Normal 5 2 2 2 4 3 2 2 3" xfId="16255" xr:uid="{B4673C32-2255-4F46-BCDE-AE6ACA80023A}"/>
    <cellStyle name="Normal 5 2 2 2 4 3 2 3" xfId="19663" xr:uid="{D96BD3A7-5716-4BF5-A3F2-8F87B9A04FA3}"/>
    <cellStyle name="Normal 5 2 2 2 4 3 2 4" xfId="12042" xr:uid="{56E40128-99EE-4777-B27A-E4501F72B14A}"/>
    <cellStyle name="Normal 5 2 2 2 4 3 3" xfId="5615" xr:uid="{00000000-0005-0000-0000-000078170000}"/>
    <cellStyle name="Normal 5 2 2 2 4 3 3 2" xfId="21731" xr:uid="{CB4FD7FB-AFC6-4DF5-8BE0-1477DD040385}"/>
    <cellStyle name="Normal 5 2 2 2 4 3 3 3" xfId="14110" xr:uid="{FF66D3EB-65CB-4CC4-8DA6-F907951FBA45}"/>
    <cellStyle name="Normal 5 2 2 2 4 3 4" xfId="17518" xr:uid="{54D47117-3448-4166-A230-DACBC09EA21A}"/>
    <cellStyle name="Normal 5 2 2 2 4 3 5" xfId="9897" xr:uid="{27CE5163-7690-450A-8615-330B1789C56C}"/>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24289" xr:uid="{A4A2C6F8-3AFC-43D3-B3F3-0F410341BFC8}"/>
    <cellStyle name="Normal 5 2 2 2 4 4 2 2 3" xfId="16668" xr:uid="{CCABEBDF-15A8-4C3D-9C7D-C743BE5D7032}"/>
    <cellStyle name="Normal 5 2 2 2 4 4 2 3" xfId="20076" xr:uid="{8CF1997C-E244-4347-ABFF-C086EDE88616}"/>
    <cellStyle name="Normal 5 2 2 2 4 4 2 4" xfId="12455" xr:uid="{31A7671B-1ABC-4144-B510-5FB55E4D85CB}"/>
    <cellStyle name="Normal 5 2 2 2 4 4 3" xfId="6028" xr:uid="{00000000-0005-0000-0000-00007C170000}"/>
    <cellStyle name="Normal 5 2 2 2 4 4 3 2" xfId="22144" xr:uid="{C6B467C7-14E5-4092-BFA7-1824C54E4DB5}"/>
    <cellStyle name="Normal 5 2 2 2 4 4 3 3" xfId="14523" xr:uid="{30B0FBFA-B362-4F05-B03C-2021723D6794}"/>
    <cellStyle name="Normal 5 2 2 2 4 4 4" xfId="17931" xr:uid="{C75D1673-45FF-47D2-8C9F-8D0FA3BCADD3}"/>
    <cellStyle name="Normal 5 2 2 2 4 4 5" xfId="10310" xr:uid="{C4D69B0C-E79F-4B10-BCC9-77B6A09688DF}"/>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24702" xr:uid="{165BD955-C35D-4D5E-A886-A6D8CA37FD0E}"/>
    <cellStyle name="Normal 5 2 2 2 4 5 2 2 3" xfId="17081" xr:uid="{C76B85E8-BBF5-4D26-A2F5-64D8D8E3A959}"/>
    <cellStyle name="Normal 5 2 2 2 4 5 2 3" xfId="20489" xr:uid="{1803EDF9-DA32-4E8C-99EC-3F4D8243BE9F}"/>
    <cellStyle name="Normal 5 2 2 2 4 5 2 4" xfId="12868" xr:uid="{A4358456-4836-4D0A-BE45-FFDCB647154B}"/>
    <cellStyle name="Normal 5 2 2 2 4 5 3" xfId="6441" xr:uid="{00000000-0005-0000-0000-000080170000}"/>
    <cellStyle name="Normal 5 2 2 2 4 5 3 2" xfId="22557" xr:uid="{FA82C97D-135F-47C9-906B-83495D0B355F}"/>
    <cellStyle name="Normal 5 2 2 2 4 5 3 3" xfId="14936" xr:uid="{7977BEEA-8B60-4467-A288-ECD2DBFBB661}"/>
    <cellStyle name="Normal 5 2 2 2 4 5 4" xfId="18344" xr:uid="{AE30C301-E459-41E7-9995-B5DF26F9198C}"/>
    <cellStyle name="Normal 5 2 2 2 4 5 5" xfId="10723" xr:uid="{6DEDFB94-BAAF-4677-94AC-3D058B899F78}"/>
    <cellStyle name="Normal 5 2 2 2 4 6" xfId="2571" xr:uid="{00000000-0005-0000-0000-000081170000}"/>
    <cellStyle name="Normal 5 2 2 2 4 6 2" xfId="6854" xr:uid="{00000000-0005-0000-0000-000082170000}"/>
    <cellStyle name="Normal 5 2 2 2 4 6 2 2" xfId="22970" xr:uid="{06EF1D22-03CC-40FD-810E-8D583FA6F2EF}"/>
    <cellStyle name="Normal 5 2 2 2 4 6 2 3" xfId="15349" xr:uid="{C78694BC-49CB-473E-8F12-CCDE64EA2543}"/>
    <cellStyle name="Normal 5 2 2 2 4 6 3" xfId="18757" xr:uid="{B832138F-6CB5-45D6-98B9-CBBF9DA76B97}"/>
    <cellStyle name="Normal 5 2 2 2 4 6 4" xfId="11136" xr:uid="{7BBD1247-797A-4F56-9FFC-ED3D53F362BC}"/>
    <cellStyle name="Normal 5 2 2 2 4 7" xfId="4789" xr:uid="{00000000-0005-0000-0000-000083170000}"/>
    <cellStyle name="Normal 5 2 2 2 4 7 2" xfId="20905" xr:uid="{28923E48-9075-4868-BBA0-E1650D8E2D79}"/>
    <cellStyle name="Normal 5 2 2 2 4 7 3" xfId="13284" xr:uid="{DEB0B6EC-A4E6-4EFC-AAB3-1273CDAFFF2E}"/>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23456" xr:uid="{83EF6DE1-AFB7-4F29-BEB2-AECA71470CA6}"/>
    <cellStyle name="Normal 5 2 2 2 5 2 2 3" xfId="15835" xr:uid="{29D4393F-2144-4A76-AA6F-0FC83111221C}"/>
    <cellStyle name="Normal 5 2 2 2 5 2 3" xfId="19243" xr:uid="{28C45076-2417-4121-B320-C57EE61D9D01}"/>
    <cellStyle name="Normal 5 2 2 2 5 2 4" xfId="11622" xr:uid="{29437207-E890-45A4-915F-B9B59279821B}"/>
    <cellStyle name="Normal 5 2 2 2 5 3" xfId="5195" xr:uid="{00000000-0005-0000-0000-000087170000}"/>
    <cellStyle name="Normal 5 2 2 2 5 3 2" xfId="21311" xr:uid="{356932F6-7899-4214-B3EF-23D79F580E0A}"/>
    <cellStyle name="Normal 5 2 2 2 5 3 3" xfId="13690" xr:uid="{0513DBBF-A3F0-402E-9FF1-14B522B1E556}"/>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23869" xr:uid="{08B55F2D-6488-48BE-9EAB-07D085F44694}"/>
    <cellStyle name="Normal 5 2 2 2 6 2 2 3" xfId="16248" xr:uid="{F9BFC3EB-8F45-457E-A15D-42FBF534755C}"/>
    <cellStyle name="Normal 5 2 2 2 6 2 3" xfId="19656" xr:uid="{25DCA146-F679-44AB-A815-2998F58C03E4}"/>
    <cellStyle name="Normal 5 2 2 2 6 2 4" xfId="12035" xr:uid="{40FE9E5C-A03E-4919-97FD-BB42CC7FD4AB}"/>
    <cellStyle name="Normal 5 2 2 2 6 3" xfId="5608" xr:uid="{00000000-0005-0000-0000-00008B170000}"/>
    <cellStyle name="Normal 5 2 2 2 6 3 2" xfId="21724" xr:uid="{A4CBFFED-CC43-4F62-B284-FBB109C37274}"/>
    <cellStyle name="Normal 5 2 2 2 6 3 3" xfId="14103" xr:uid="{7A2E5AE2-B264-492A-BA5E-E08063D7D91D}"/>
    <cellStyle name="Normal 5 2 2 2 6 4" xfId="17511" xr:uid="{3A1B88D6-37E7-4B6C-857D-51E94CA5CFA9}"/>
    <cellStyle name="Normal 5 2 2 2 6 5" xfId="9890" xr:uid="{3B4813FC-29AD-4EF3-8CDD-9132602D9412}"/>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24282" xr:uid="{D578A975-8738-49AF-9282-037553E9B90D}"/>
    <cellStyle name="Normal 5 2 2 2 7 2 2 3" xfId="16661" xr:uid="{A4A62DF0-4C4B-4842-B6F1-6768CB7690AC}"/>
    <cellStyle name="Normal 5 2 2 2 7 2 3" xfId="20069" xr:uid="{B59E1D6E-90CB-43BB-837C-C4C245CD84E3}"/>
    <cellStyle name="Normal 5 2 2 2 7 2 4" xfId="12448" xr:uid="{0D2F8069-0B06-4360-AFBB-38588E073D52}"/>
    <cellStyle name="Normal 5 2 2 2 7 3" xfId="6021" xr:uid="{00000000-0005-0000-0000-00008F170000}"/>
    <cellStyle name="Normal 5 2 2 2 7 3 2" xfId="22137" xr:uid="{802D6C5D-3242-4F85-8001-1450BCF287A6}"/>
    <cellStyle name="Normal 5 2 2 2 7 3 3" xfId="14516" xr:uid="{F9360E79-D9B1-46FA-BEB7-BE765F9BEA17}"/>
    <cellStyle name="Normal 5 2 2 2 7 4" xfId="17924" xr:uid="{34B8A2ED-C122-4B40-AD7C-E3045440D9B7}"/>
    <cellStyle name="Normal 5 2 2 2 7 5" xfId="10303" xr:uid="{7A3A9CBB-D030-4675-9C36-4601D725C95A}"/>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24695" xr:uid="{263B28A1-A882-4F96-8525-54687A224EE6}"/>
    <cellStyle name="Normal 5 2 2 2 8 2 2 3" xfId="17074" xr:uid="{92537061-4A62-437F-B5E5-4915F69FB4CF}"/>
    <cellStyle name="Normal 5 2 2 2 8 2 3" xfId="20482" xr:uid="{F7F28DBF-0A98-42D5-BEFD-17735B9229E4}"/>
    <cellStyle name="Normal 5 2 2 2 8 2 4" xfId="12861" xr:uid="{E6A5AF31-31ED-4F9B-A52F-11128004B3BB}"/>
    <cellStyle name="Normal 5 2 2 2 8 3" xfId="6434" xr:uid="{00000000-0005-0000-0000-000093170000}"/>
    <cellStyle name="Normal 5 2 2 2 8 3 2" xfId="22550" xr:uid="{B09334AA-9151-4524-828B-DBE94AD7A160}"/>
    <cellStyle name="Normal 5 2 2 2 8 3 3" xfId="14929" xr:uid="{76F3E0CD-0247-4AC0-8C69-BEA21A8C1007}"/>
    <cellStyle name="Normal 5 2 2 2 8 4" xfId="18337" xr:uid="{7AAC8063-6F78-4E22-ACCD-C0E5802B442A}"/>
    <cellStyle name="Normal 5 2 2 2 8 5" xfId="10716" xr:uid="{1F789F11-7F66-4A22-9B39-17A46330A93B}"/>
    <cellStyle name="Normal 5 2 2 2 9" xfId="2564" xr:uid="{00000000-0005-0000-0000-000094170000}"/>
    <cellStyle name="Normal 5 2 2 2 9 2" xfId="6847" xr:uid="{00000000-0005-0000-0000-000095170000}"/>
    <cellStyle name="Normal 5 2 2 2 9 2 2" xfId="22963" xr:uid="{3F2AA603-E0E5-4CDE-A841-6A994E9A24A7}"/>
    <cellStyle name="Normal 5 2 2 2 9 2 3" xfId="15342" xr:uid="{6C3514C0-3EF4-4454-92B6-BE4B8A0B6AE7}"/>
    <cellStyle name="Normal 5 2 2 2 9 3" xfId="18750" xr:uid="{755F93FA-E430-449A-AFE8-76A94CB08C22}"/>
    <cellStyle name="Normal 5 2 2 2 9 4" xfId="11129" xr:uid="{6A0B5EF8-25C9-4A54-8B36-88111974413F}"/>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23466" xr:uid="{E9F8FEE5-1976-47FB-A76E-6880E9744392}"/>
    <cellStyle name="Normal 5 2 2 3 2 2 2 2 2 3" xfId="15845" xr:uid="{FC4D7B85-EC8C-4C46-9C23-46CA48AF0335}"/>
    <cellStyle name="Normal 5 2 2 3 2 2 2 2 3" xfId="19253" xr:uid="{9E3EB233-7918-4B6E-9013-B64C55857BB2}"/>
    <cellStyle name="Normal 5 2 2 3 2 2 2 2 4" xfId="11632" xr:uid="{4D446488-52E5-4AAE-9063-675C47CB9A3A}"/>
    <cellStyle name="Normal 5 2 2 3 2 2 2 3" xfId="5205" xr:uid="{00000000-0005-0000-0000-00009C170000}"/>
    <cellStyle name="Normal 5 2 2 3 2 2 2 3 2" xfId="21321" xr:uid="{7B69F211-9E5C-44EF-BA5A-70FD0C34BE28}"/>
    <cellStyle name="Normal 5 2 2 3 2 2 2 3 3" xfId="13700" xr:uid="{FE516EB0-2964-42DD-9384-11661409F989}"/>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23879" xr:uid="{1A6B1E7B-28D8-45AF-8A8A-032B4FD43E46}"/>
    <cellStyle name="Normal 5 2 2 3 2 2 3 2 2 3" xfId="16258" xr:uid="{F9527FCD-3BF3-4C7A-AB8D-BD27AAEF290B}"/>
    <cellStyle name="Normal 5 2 2 3 2 2 3 2 3" xfId="19666" xr:uid="{730F8DAA-24B7-4CB8-AF8A-13EE82B28002}"/>
    <cellStyle name="Normal 5 2 2 3 2 2 3 2 4" xfId="12045" xr:uid="{31F12428-1968-40D8-A4B2-D93A91EE0573}"/>
    <cellStyle name="Normal 5 2 2 3 2 2 3 3" xfId="5618" xr:uid="{00000000-0005-0000-0000-0000A0170000}"/>
    <cellStyle name="Normal 5 2 2 3 2 2 3 3 2" xfId="21734" xr:uid="{A95FA497-C019-4000-A8EE-DDF6964CC898}"/>
    <cellStyle name="Normal 5 2 2 3 2 2 3 3 3" xfId="14113" xr:uid="{5D381A12-1DBA-4C2C-844A-9AA5CE64446C}"/>
    <cellStyle name="Normal 5 2 2 3 2 2 3 4" xfId="17521" xr:uid="{8C5B7C41-D237-4139-98DF-C7935D70D0BA}"/>
    <cellStyle name="Normal 5 2 2 3 2 2 3 5" xfId="9900" xr:uid="{90390422-8494-4017-9578-0D5A8D0862E6}"/>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24292" xr:uid="{5C12499B-308E-486A-91EE-3246C2E5A296}"/>
    <cellStyle name="Normal 5 2 2 3 2 2 4 2 2 3" xfId="16671" xr:uid="{4A4EF2AB-24C4-490E-BB6C-8E800C9FB196}"/>
    <cellStyle name="Normal 5 2 2 3 2 2 4 2 3" xfId="20079" xr:uid="{FE653345-D5FF-488B-BC28-BF6347DE430C}"/>
    <cellStyle name="Normal 5 2 2 3 2 2 4 2 4" xfId="12458" xr:uid="{F3EDFEED-BA3A-43D1-A14D-85FF8EE060EE}"/>
    <cellStyle name="Normal 5 2 2 3 2 2 4 3" xfId="6031" xr:uid="{00000000-0005-0000-0000-0000A4170000}"/>
    <cellStyle name="Normal 5 2 2 3 2 2 4 3 2" xfId="22147" xr:uid="{ABFB5193-C638-41E4-B213-CEA37A924583}"/>
    <cellStyle name="Normal 5 2 2 3 2 2 4 3 3" xfId="14526" xr:uid="{3CF2B5B0-AE07-4DAF-8D01-DE60EFBF64B3}"/>
    <cellStyle name="Normal 5 2 2 3 2 2 4 4" xfId="17934" xr:uid="{DC307120-B4B4-4815-9E0A-3CAE371A0633}"/>
    <cellStyle name="Normal 5 2 2 3 2 2 4 5" xfId="10313" xr:uid="{83556E95-205F-4416-92C8-DC3B217BE6B6}"/>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24705" xr:uid="{FF8AE745-D652-4B9A-A4CB-DE0E7FEB3DE3}"/>
    <cellStyle name="Normal 5 2 2 3 2 2 5 2 2 3" xfId="17084" xr:uid="{86B0E121-E7C8-43EA-A683-E6FAF84B30E4}"/>
    <cellStyle name="Normal 5 2 2 3 2 2 5 2 3" xfId="20492" xr:uid="{33BF1AE0-79E7-4E70-BBC7-47E3EE289E78}"/>
    <cellStyle name="Normal 5 2 2 3 2 2 5 2 4" xfId="12871" xr:uid="{D4532D98-0885-4ACA-BD1B-B08C8EFB082D}"/>
    <cellStyle name="Normal 5 2 2 3 2 2 5 3" xfId="6444" xr:uid="{00000000-0005-0000-0000-0000A8170000}"/>
    <cellStyle name="Normal 5 2 2 3 2 2 5 3 2" xfId="22560" xr:uid="{8CC1708E-2BD1-4720-B672-CC8DAE8D7F80}"/>
    <cellStyle name="Normal 5 2 2 3 2 2 5 3 3" xfId="14939" xr:uid="{B8FD8C38-F3A9-4C7C-9323-FB25367F9575}"/>
    <cellStyle name="Normal 5 2 2 3 2 2 5 4" xfId="18347" xr:uid="{815802AD-B20D-46A3-AC0D-C124AE8560B7}"/>
    <cellStyle name="Normal 5 2 2 3 2 2 5 5" xfId="10726" xr:uid="{257A01E6-2C1A-4A41-930D-C5B1F893F675}"/>
    <cellStyle name="Normal 5 2 2 3 2 2 6" xfId="2574" xr:uid="{00000000-0005-0000-0000-0000A9170000}"/>
    <cellStyle name="Normal 5 2 2 3 2 2 6 2" xfId="6857" xr:uid="{00000000-0005-0000-0000-0000AA170000}"/>
    <cellStyle name="Normal 5 2 2 3 2 2 6 2 2" xfId="22973" xr:uid="{1B8B0AE7-E47E-4263-BC2D-2D59E84BCCEC}"/>
    <cellStyle name="Normal 5 2 2 3 2 2 6 2 3" xfId="15352" xr:uid="{E1BD67C8-6F93-41DA-8E59-AA5D7B36AE17}"/>
    <cellStyle name="Normal 5 2 2 3 2 2 6 3" xfId="18760" xr:uid="{4E026E0F-5CCA-4863-9898-0B504DB5F194}"/>
    <cellStyle name="Normal 5 2 2 3 2 2 6 4" xfId="11139" xr:uid="{8CBA1B39-E6D2-4B76-94FE-93D8A849DE21}"/>
    <cellStyle name="Normal 5 2 2 3 2 2 7" xfId="4792" xr:uid="{00000000-0005-0000-0000-0000AB170000}"/>
    <cellStyle name="Normal 5 2 2 3 2 2 7 2" xfId="20908" xr:uid="{1FA5587B-6F1D-490A-9878-8B48BF4FFCDE}"/>
    <cellStyle name="Normal 5 2 2 3 2 2 7 3" xfId="13287" xr:uid="{2C741AF3-D114-48B5-BCAB-66DF34DE7608}"/>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23465" xr:uid="{2D1E7B02-66D5-4227-9998-3D4C4682E8DC}"/>
    <cellStyle name="Normal 5 2 2 3 2 3 2 2 3" xfId="15844" xr:uid="{C30C412B-F93A-407C-9430-B5E1387EF652}"/>
    <cellStyle name="Normal 5 2 2 3 2 3 2 3" xfId="19252" xr:uid="{AAC6BB62-8EA7-4577-B70C-E0A08BFC4F55}"/>
    <cellStyle name="Normal 5 2 2 3 2 3 2 4" xfId="11631" xr:uid="{5F90FEE8-ABC4-4EA9-99A4-7DE75D2ADE02}"/>
    <cellStyle name="Normal 5 2 2 3 2 3 3" xfId="5204" xr:uid="{00000000-0005-0000-0000-0000AF170000}"/>
    <cellStyle name="Normal 5 2 2 3 2 3 3 2" xfId="21320" xr:uid="{FA8949DB-F7DA-4399-9292-00F47B8CC692}"/>
    <cellStyle name="Normal 5 2 2 3 2 3 3 3" xfId="13699" xr:uid="{FB110A61-F41A-4FEF-BD78-E2A58D208806}"/>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23878" xr:uid="{D9C3CBF4-3CF3-4219-AE83-03599A726141}"/>
    <cellStyle name="Normal 5 2 2 3 2 4 2 2 3" xfId="16257" xr:uid="{EAD1F42C-AD7A-4BDA-89C3-B359B47EAB9A}"/>
    <cellStyle name="Normal 5 2 2 3 2 4 2 3" xfId="19665" xr:uid="{2AABED0D-66DA-4832-A32C-92BCCE69B805}"/>
    <cellStyle name="Normal 5 2 2 3 2 4 2 4" xfId="12044" xr:uid="{7F940BD1-1348-4029-9323-644272A809FC}"/>
    <cellStyle name="Normal 5 2 2 3 2 4 3" xfId="5617" xr:uid="{00000000-0005-0000-0000-0000B3170000}"/>
    <cellStyle name="Normal 5 2 2 3 2 4 3 2" xfId="21733" xr:uid="{DCDBB428-480E-42AF-9DA0-1F4879E943DF}"/>
    <cellStyle name="Normal 5 2 2 3 2 4 3 3" xfId="14112" xr:uid="{4A870761-F268-46F2-9583-142245784364}"/>
    <cellStyle name="Normal 5 2 2 3 2 4 4" xfId="17520" xr:uid="{3D8BFB89-8AB6-459E-8AD1-C8766AB88339}"/>
    <cellStyle name="Normal 5 2 2 3 2 4 5" xfId="9899" xr:uid="{70D694B6-931B-4C10-B717-60F51161E69E}"/>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24291" xr:uid="{A5FC4958-5638-45A5-92E4-DEE9205E3B79}"/>
    <cellStyle name="Normal 5 2 2 3 2 5 2 2 3" xfId="16670" xr:uid="{79B77F7B-2D38-4CAE-95F0-39B8EC161659}"/>
    <cellStyle name="Normal 5 2 2 3 2 5 2 3" xfId="20078" xr:uid="{B7763CC2-F3F2-46CF-81B0-563A2C98322F}"/>
    <cellStyle name="Normal 5 2 2 3 2 5 2 4" xfId="12457" xr:uid="{D48CAAE9-6C10-46E7-880A-78E3339E8820}"/>
    <cellStyle name="Normal 5 2 2 3 2 5 3" xfId="6030" xr:uid="{00000000-0005-0000-0000-0000B7170000}"/>
    <cellStyle name="Normal 5 2 2 3 2 5 3 2" xfId="22146" xr:uid="{765E2CC9-3314-4255-A20D-A154AD1E9E08}"/>
    <cellStyle name="Normal 5 2 2 3 2 5 3 3" xfId="14525" xr:uid="{361631AF-E5D7-409B-921D-3A5A31C631B7}"/>
    <cellStyle name="Normal 5 2 2 3 2 5 4" xfId="17933" xr:uid="{D32BA063-4ABF-4A47-B61D-B5F7DD91522D}"/>
    <cellStyle name="Normal 5 2 2 3 2 5 5" xfId="10312" xr:uid="{7DCA0741-A865-4C16-BA40-CE1AFB6C02E5}"/>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24704" xr:uid="{DB28CED3-75C7-4516-81D7-900B898C7929}"/>
    <cellStyle name="Normal 5 2 2 3 2 6 2 2 3" xfId="17083" xr:uid="{508DE73F-FC58-423A-A652-EFEE3D36734B}"/>
    <cellStyle name="Normal 5 2 2 3 2 6 2 3" xfId="20491" xr:uid="{B301D176-BDAE-4001-A33E-D374C2CDC6C6}"/>
    <cellStyle name="Normal 5 2 2 3 2 6 2 4" xfId="12870" xr:uid="{A81B2CB8-6E85-42FE-851B-59F00C53D789}"/>
    <cellStyle name="Normal 5 2 2 3 2 6 3" xfId="6443" xr:uid="{00000000-0005-0000-0000-0000BB170000}"/>
    <cellStyle name="Normal 5 2 2 3 2 6 3 2" xfId="22559" xr:uid="{15440E47-52BC-47A3-B3A7-05CC8ABCAEC2}"/>
    <cellStyle name="Normal 5 2 2 3 2 6 3 3" xfId="14938" xr:uid="{3BC16123-0B43-47AF-9C7A-41A442D0B4C0}"/>
    <cellStyle name="Normal 5 2 2 3 2 6 4" xfId="18346" xr:uid="{3BBA00D4-0D88-478A-B5ED-A018D9728571}"/>
    <cellStyle name="Normal 5 2 2 3 2 6 5" xfId="10725" xr:uid="{8A873641-F04C-4303-9F05-018831C79FBB}"/>
    <cellStyle name="Normal 5 2 2 3 2 7" xfId="2573" xr:uid="{00000000-0005-0000-0000-0000BC170000}"/>
    <cellStyle name="Normal 5 2 2 3 2 7 2" xfId="6856" xr:uid="{00000000-0005-0000-0000-0000BD170000}"/>
    <cellStyle name="Normal 5 2 2 3 2 7 2 2" xfId="22972" xr:uid="{98E96F65-D159-4C2B-8812-6FFA8D577D3F}"/>
    <cellStyle name="Normal 5 2 2 3 2 7 2 3" xfId="15351" xr:uid="{BBE82A95-0EE9-41AB-A252-FF3ED20FE364}"/>
    <cellStyle name="Normal 5 2 2 3 2 7 3" xfId="18759" xr:uid="{76C26DD6-BAB2-4B8C-81E0-41BE03EE6BF1}"/>
    <cellStyle name="Normal 5 2 2 3 2 7 4" xfId="11138" xr:uid="{C2F50729-83B0-422A-A580-576EA7C4CAB1}"/>
    <cellStyle name="Normal 5 2 2 3 2 8" xfId="4791" xr:uid="{00000000-0005-0000-0000-0000BE170000}"/>
    <cellStyle name="Normal 5 2 2 3 2 8 2" xfId="20907" xr:uid="{4DE5E8B8-60FA-4A2F-8CA7-D5690C974633}"/>
    <cellStyle name="Normal 5 2 2 3 2 8 3" xfId="13286" xr:uid="{72DDC1B7-8BF6-4842-B960-31B6147A97F8}"/>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23467" xr:uid="{FF5F5ADA-44FF-466F-8141-62AC0FC90074}"/>
    <cellStyle name="Normal 5 2 2 3 3 2 2 2 3" xfId="15846" xr:uid="{8EC25AE4-FA03-4A57-A74A-1AE166B1D69B}"/>
    <cellStyle name="Normal 5 2 2 3 3 2 2 3" xfId="19254" xr:uid="{BE27EE96-8BBA-4075-9884-DEF698C55129}"/>
    <cellStyle name="Normal 5 2 2 3 3 2 2 4" xfId="11633" xr:uid="{DD4E8A3C-1693-4022-B96E-8EB8EC51FE12}"/>
    <cellStyle name="Normal 5 2 2 3 3 2 3" xfId="5206" xr:uid="{00000000-0005-0000-0000-0000C3170000}"/>
    <cellStyle name="Normal 5 2 2 3 3 2 3 2" xfId="21322" xr:uid="{B07A962D-AED4-41CD-A5F7-07101C29B782}"/>
    <cellStyle name="Normal 5 2 2 3 3 2 3 3" xfId="13701" xr:uid="{88B977CD-9ED2-46D5-8338-23284CDDA2C6}"/>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23880" xr:uid="{1416693D-67C2-4B1B-9D91-B48988B99C1B}"/>
    <cellStyle name="Normal 5 2 2 3 3 3 2 2 3" xfId="16259" xr:uid="{1E08026C-E07B-40A2-8B13-CEB0C1BD249C}"/>
    <cellStyle name="Normal 5 2 2 3 3 3 2 3" xfId="19667" xr:uid="{2616902B-4DA5-4221-802A-179FE3CB38C8}"/>
    <cellStyle name="Normal 5 2 2 3 3 3 2 4" xfId="12046" xr:uid="{504C80B0-7852-4384-9288-D3EB33768615}"/>
    <cellStyle name="Normal 5 2 2 3 3 3 3" xfId="5619" xr:uid="{00000000-0005-0000-0000-0000C7170000}"/>
    <cellStyle name="Normal 5 2 2 3 3 3 3 2" xfId="21735" xr:uid="{969232D0-F115-4E31-A9E1-6D716CA38E64}"/>
    <cellStyle name="Normal 5 2 2 3 3 3 3 3" xfId="14114" xr:uid="{D51361C5-0A61-43D7-934B-C80F60CF4274}"/>
    <cellStyle name="Normal 5 2 2 3 3 3 4" xfId="17522" xr:uid="{84A5485D-DF39-45F7-9FF7-7E797B24A67B}"/>
    <cellStyle name="Normal 5 2 2 3 3 3 5" xfId="9901" xr:uid="{0120949A-1C54-4828-BC41-535A8239D023}"/>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24293" xr:uid="{1A1EDF72-6E4D-404F-AB62-DAA0CBF50696}"/>
    <cellStyle name="Normal 5 2 2 3 3 4 2 2 3" xfId="16672" xr:uid="{1B64B2F0-F876-4A5D-A990-5F330CDF07A4}"/>
    <cellStyle name="Normal 5 2 2 3 3 4 2 3" xfId="20080" xr:uid="{1CEA9BCB-C771-4D06-81AD-CA3A81FBDBD1}"/>
    <cellStyle name="Normal 5 2 2 3 3 4 2 4" xfId="12459" xr:uid="{E20808DE-3295-4D50-85D5-CD787E84CE20}"/>
    <cellStyle name="Normal 5 2 2 3 3 4 3" xfId="6032" xr:uid="{00000000-0005-0000-0000-0000CB170000}"/>
    <cellStyle name="Normal 5 2 2 3 3 4 3 2" xfId="22148" xr:uid="{5F9E869B-F3D2-4B1F-9182-83FBB551B5CF}"/>
    <cellStyle name="Normal 5 2 2 3 3 4 3 3" xfId="14527" xr:uid="{CC87343A-1350-4C8A-8C77-7241B7A4D71E}"/>
    <cellStyle name="Normal 5 2 2 3 3 4 4" xfId="17935" xr:uid="{ECF2C364-DF77-4DE3-A5FF-084B91B3C756}"/>
    <cellStyle name="Normal 5 2 2 3 3 4 5" xfId="10314" xr:uid="{48C080E3-FCF2-49B7-B185-CCFDA78ED167}"/>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24706" xr:uid="{B8D26755-7F10-4ECE-A74B-70C4991B54A5}"/>
    <cellStyle name="Normal 5 2 2 3 3 5 2 2 3" xfId="17085" xr:uid="{7BD26850-F77F-433B-A97D-3C3E3A1BB968}"/>
    <cellStyle name="Normal 5 2 2 3 3 5 2 3" xfId="20493" xr:uid="{4899CD46-C3B7-44EE-982F-D3F58CC1FCCB}"/>
    <cellStyle name="Normal 5 2 2 3 3 5 2 4" xfId="12872" xr:uid="{F09738E3-01EE-44F6-812F-A1A53C60A0C4}"/>
    <cellStyle name="Normal 5 2 2 3 3 5 3" xfId="6445" xr:uid="{00000000-0005-0000-0000-0000CF170000}"/>
    <cellStyle name="Normal 5 2 2 3 3 5 3 2" xfId="22561" xr:uid="{75DEC490-FBFF-49F8-833C-CBD2B9A63A63}"/>
    <cellStyle name="Normal 5 2 2 3 3 5 3 3" xfId="14940" xr:uid="{BB0E22F5-EEC6-413D-BDA4-C07DB7C127E5}"/>
    <cellStyle name="Normal 5 2 2 3 3 5 4" xfId="18348" xr:uid="{88ADF33C-310E-4086-A894-6C89118414EE}"/>
    <cellStyle name="Normal 5 2 2 3 3 5 5" xfId="10727" xr:uid="{2FEE8066-C358-4593-B2ED-7C5F39A0A29F}"/>
    <cellStyle name="Normal 5 2 2 3 3 6" xfId="2575" xr:uid="{00000000-0005-0000-0000-0000D0170000}"/>
    <cellStyle name="Normal 5 2 2 3 3 6 2" xfId="6858" xr:uid="{00000000-0005-0000-0000-0000D1170000}"/>
    <cellStyle name="Normal 5 2 2 3 3 6 2 2" xfId="22974" xr:uid="{64455E98-2FB4-40AF-B3CE-680EAC3C56DF}"/>
    <cellStyle name="Normal 5 2 2 3 3 6 2 3" xfId="15353" xr:uid="{7CACEEC8-FE78-4046-BD60-737D83D453F8}"/>
    <cellStyle name="Normal 5 2 2 3 3 6 3" xfId="18761" xr:uid="{DE006F47-C21B-4E9F-B8C9-2EE0C177BD04}"/>
    <cellStyle name="Normal 5 2 2 3 3 6 4" xfId="11140" xr:uid="{6F5CFA49-762F-4209-85AA-A93EA764226D}"/>
    <cellStyle name="Normal 5 2 2 3 3 7" xfId="4793" xr:uid="{00000000-0005-0000-0000-0000D2170000}"/>
    <cellStyle name="Normal 5 2 2 3 3 7 2" xfId="20909" xr:uid="{765B9D35-7DDB-40CF-BA9F-645AFF07C9AC}"/>
    <cellStyle name="Normal 5 2 2 3 3 7 3" xfId="13288" xr:uid="{56D133A9-6FFB-48F4-AB82-CEAD7AFDD7E7}"/>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23464" xr:uid="{66496C0F-0442-4F51-B790-2ECD42FA3CD8}"/>
    <cellStyle name="Normal 5 2 2 3 4 2 2 3" xfId="15843" xr:uid="{919F7D6B-646F-4537-BB43-5857BA9AB8E2}"/>
    <cellStyle name="Normal 5 2 2 3 4 2 3" xfId="19251" xr:uid="{78689A5D-EFF2-4F56-B8F6-623D4DA0C5C1}"/>
    <cellStyle name="Normal 5 2 2 3 4 2 4" xfId="11630" xr:uid="{CA0A64C0-1650-4AB9-AD1C-5ADB6553C72B}"/>
    <cellStyle name="Normal 5 2 2 3 4 3" xfId="5203" xr:uid="{00000000-0005-0000-0000-0000D6170000}"/>
    <cellStyle name="Normal 5 2 2 3 4 3 2" xfId="21319" xr:uid="{0B6A64AE-AEE4-453A-9652-7A51C3A46F44}"/>
    <cellStyle name="Normal 5 2 2 3 4 3 3" xfId="13698" xr:uid="{D0DFB3F8-69CB-4263-9D89-7F093B7E1384}"/>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23877" xr:uid="{A5CFE802-E2BD-49DC-AE4B-5A70AA515EEB}"/>
    <cellStyle name="Normal 5 2 2 3 5 2 2 3" xfId="16256" xr:uid="{6A9AA06C-150D-4615-89AE-FF56DD2B05A6}"/>
    <cellStyle name="Normal 5 2 2 3 5 2 3" xfId="19664" xr:uid="{5120B4F6-6301-49E4-A0F1-2BF3BD2EEDB4}"/>
    <cellStyle name="Normal 5 2 2 3 5 2 4" xfId="12043" xr:uid="{7BD8500E-600B-4FFE-AA3D-018942803539}"/>
    <cellStyle name="Normal 5 2 2 3 5 3" xfId="5616" xr:uid="{00000000-0005-0000-0000-0000DA170000}"/>
    <cellStyle name="Normal 5 2 2 3 5 3 2" xfId="21732" xr:uid="{C4FD21D8-F224-4BA2-B256-36B64512C1A9}"/>
    <cellStyle name="Normal 5 2 2 3 5 3 3" xfId="14111" xr:uid="{DD328791-EC95-4032-B702-01745BA81502}"/>
    <cellStyle name="Normal 5 2 2 3 5 4" xfId="17519" xr:uid="{A11B3D8E-316D-413B-A29C-FA75520D6ACE}"/>
    <cellStyle name="Normal 5 2 2 3 5 5" xfId="9898" xr:uid="{28944863-D2C4-46D4-8EEE-8B819AEEADA4}"/>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24290" xr:uid="{F81DB4B8-F5B7-4E10-9210-53B13964F52C}"/>
    <cellStyle name="Normal 5 2 2 3 6 2 2 3" xfId="16669" xr:uid="{B89E67E0-1A14-4210-B4D2-24C225647EFA}"/>
    <cellStyle name="Normal 5 2 2 3 6 2 3" xfId="20077" xr:uid="{E4AFD8FE-B440-4846-85DC-BD0DC2CBF08E}"/>
    <cellStyle name="Normal 5 2 2 3 6 2 4" xfId="12456" xr:uid="{135CBBBD-5A7D-474F-834A-B0EF640F13C9}"/>
    <cellStyle name="Normal 5 2 2 3 6 3" xfId="6029" xr:uid="{00000000-0005-0000-0000-0000DE170000}"/>
    <cellStyle name="Normal 5 2 2 3 6 3 2" xfId="22145" xr:uid="{CEF4D2C7-1C56-43E1-AE32-C597A55C61BB}"/>
    <cellStyle name="Normal 5 2 2 3 6 3 3" xfId="14524" xr:uid="{61A4E24F-F2AD-4D52-AF5B-342A26D0BCED}"/>
    <cellStyle name="Normal 5 2 2 3 6 4" xfId="17932" xr:uid="{F14BB21A-7A0F-4207-B1D0-C6ABC0B8CD28}"/>
    <cellStyle name="Normal 5 2 2 3 6 5" xfId="10311" xr:uid="{355EE020-C127-4635-A4CB-8997797C906D}"/>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24703" xr:uid="{AA29EC11-3040-4D2A-B775-D570B5DF0BE5}"/>
    <cellStyle name="Normal 5 2 2 3 7 2 2 3" xfId="17082" xr:uid="{DA72C60B-D3ED-4A70-877A-EF1CC5D8A91E}"/>
    <cellStyle name="Normal 5 2 2 3 7 2 3" xfId="20490" xr:uid="{0C70FB61-BBCF-4BCA-901B-D0837946593D}"/>
    <cellStyle name="Normal 5 2 2 3 7 2 4" xfId="12869" xr:uid="{FD730656-8032-405C-9351-21CCF0F5D7C4}"/>
    <cellStyle name="Normal 5 2 2 3 7 3" xfId="6442" xr:uid="{00000000-0005-0000-0000-0000E2170000}"/>
    <cellStyle name="Normal 5 2 2 3 7 3 2" xfId="22558" xr:uid="{4B41E3FA-4D83-48C2-810B-E8DEB9E41CD7}"/>
    <cellStyle name="Normal 5 2 2 3 7 3 3" xfId="14937" xr:uid="{F97DFA94-1AFB-4FDD-9B6D-3E027EF34D70}"/>
    <cellStyle name="Normal 5 2 2 3 7 4" xfId="18345" xr:uid="{DBE8F027-6C46-4FC6-A7FA-48961DB5AFC0}"/>
    <cellStyle name="Normal 5 2 2 3 7 5" xfId="10724" xr:uid="{ACB6168C-0E41-41DF-9FB1-847D96C6C22F}"/>
    <cellStyle name="Normal 5 2 2 3 8" xfId="2572" xr:uid="{00000000-0005-0000-0000-0000E3170000}"/>
    <cellStyle name="Normal 5 2 2 3 8 2" xfId="6855" xr:uid="{00000000-0005-0000-0000-0000E4170000}"/>
    <cellStyle name="Normal 5 2 2 3 8 2 2" xfId="22971" xr:uid="{DE3EAC3B-86F3-4403-8DFB-80462E352A8F}"/>
    <cellStyle name="Normal 5 2 2 3 8 2 3" xfId="15350" xr:uid="{B17F31AB-3BB8-46BA-86E1-76DF140DC819}"/>
    <cellStyle name="Normal 5 2 2 3 8 3" xfId="18758" xr:uid="{A5EF6616-5858-4F80-B5AC-529B70CBA838}"/>
    <cellStyle name="Normal 5 2 2 3 8 4" xfId="11137" xr:uid="{AAF5EC76-956D-4FA0-929B-2ABB7E38C028}"/>
    <cellStyle name="Normal 5 2 2 3 9" xfId="4790" xr:uid="{00000000-0005-0000-0000-0000E5170000}"/>
    <cellStyle name="Normal 5 2 2 3 9 2" xfId="20906" xr:uid="{D288749F-10CA-4493-B2CA-AE57074A48C2}"/>
    <cellStyle name="Normal 5 2 2 3 9 3" xfId="13285" xr:uid="{C43CDA28-4E4D-4448-BD6B-3031C7E54BCD}"/>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23469" xr:uid="{51F86B3D-676C-4413-BE96-C46AB2EE0C79}"/>
    <cellStyle name="Normal 5 2 2 4 2 2 2 2 3" xfId="15848" xr:uid="{71F3A6D3-78D4-43EF-BA39-47FC5AC728DB}"/>
    <cellStyle name="Normal 5 2 2 4 2 2 2 3" xfId="19256" xr:uid="{6CEC1940-50B3-4097-92A4-2CC4848883E2}"/>
    <cellStyle name="Normal 5 2 2 4 2 2 2 4" xfId="11635" xr:uid="{26CE2EF7-CCCD-4AA7-8042-FC1DF5ECF354}"/>
    <cellStyle name="Normal 5 2 2 4 2 2 3" xfId="5208" xr:uid="{00000000-0005-0000-0000-0000EB170000}"/>
    <cellStyle name="Normal 5 2 2 4 2 2 3 2" xfId="21324" xr:uid="{93064AD9-4C3D-484A-9A8A-E61728B0CEC2}"/>
    <cellStyle name="Normal 5 2 2 4 2 2 3 3" xfId="13703" xr:uid="{9306B621-A347-4388-BA18-518D27F1E8D1}"/>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23882" xr:uid="{9E9CE173-31E5-46E6-8103-FE1322232AEB}"/>
    <cellStyle name="Normal 5 2 2 4 2 3 2 2 3" xfId="16261" xr:uid="{72BA5292-B72E-4029-BADF-10BC79BF4B60}"/>
    <cellStyle name="Normal 5 2 2 4 2 3 2 3" xfId="19669" xr:uid="{2BBE3E74-0566-4927-BBB2-258E12246B1F}"/>
    <cellStyle name="Normal 5 2 2 4 2 3 2 4" xfId="12048" xr:uid="{841005B8-0AD7-4D11-8B34-D74A0D58B722}"/>
    <cellStyle name="Normal 5 2 2 4 2 3 3" xfId="5621" xr:uid="{00000000-0005-0000-0000-0000EF170000}"/>
    <cellStyle name="Normal 5 2 2 4 2 3 3 2" xfId="21737" xr:uid="{7356C401-2393-443A-AB71-0F1C869F6603}"/>
    <cellStyle name="Normal 5 2 2 4 2 3 3 3" xfId="14116" xr:uid="{CCCCB87F-8C55-4C56-9FEF-7185E0ACC5A5}"/>
    <cellStyle name="Normal 5 2 2 4 2 3 4" xfId="17524" xr:uid="{81D5AAA7-A9C2-4377-9B62-294B6F9BF41B}"/>
    <cellStyle name="Normal 5 2 2 4 2 3 5" xfId="9903" xr:uid="{F856F258-22AE-43C5-A1E1-0C1BAA931B39}"/>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24295" xr:uid="{4FEF725C-5E03-4AEC-AD08-85A13F7DC3B1}"/>
    <cellStyle name="Normal 5 2 2 4 2 4 2 2 3" xfId="16674" xr:uid="{EFC92A09-55D8-4BC4-8805-4247A95A9F21}"/>
    <cellStyle name="Normal 5 2 2 4 2 4 2 3" xfId="20082" xr:uid="{79CA8B49-8F93-4B1B-B4A8-4952778F4EBE}"/>
    <cellStyle name="Normal 5 2 2 4 2 4 2 4" xfId="12461" xr:uid="{249190F5-D96B-43B0-9F0A-E4A3C4EEA82D}"/>
    <cellStyle name="Normal 5 2 2 4 2 4 3" xfId="6034" xr:uid="{00000000-0005-0000-0000-0000F3170000}"/>
    <cellStyle name="Normal 5 2 2 4 2 4 3 2" xfId="22150" xr:uid="{10147F08-7461-448A-AC9C-41E6FE341866}"/>
    <cellStyle name="Normal 5 2 2 4 2 4 3 3" xfId="14529" xr:uid="{458F5CE6-D3B3-4087-9B5C-74DAB0645622}"/>
    <cellStyle name="Normal 5 2 2 4 2 4 4" xfId="17937" xr:uid="{6723E928-06D7-4C76-BB18-3204A94AF262}"/>
    <cellStyle name="Normal 5 2 2 4 2 4 5" xfId="10316" xr:uid="{567A7804-E6A8-4852-859B-1B044DDED187}"/>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24708" xr:uid="{2B768145-AA9D-4958-891A-D584EDABE432}"/>
    <cellStyle name="Normal 5 2 2 4 2 5 2 2 3" xfId="17087" xr:uid="{EA3C2793-E109-4FDF-9915-DED2DB433BEE}"/>
    <cellStyle name="Normal 5 2 2 4 2 5 2 3" xfId="20495" xr:uid="{C0E7571A-7E17-4E8F-AA35-52E761BBBF43}"/>
    <cellStyle name="Normal 5 2 2 4 2 5 2 4" xfId="12874" xr:uid="{27C52BF0-3DB7-4F43-891C-961C061F96F1}"/>
    <cellStyle name="Normal 5 2 2 4 2 5 3" xfId="6447" xr:uid="{00000000-0005-0000-0000-0000F7170000}"/>
    <cellStyle name="Normal 5 2 2 4 2 5 3 2" xfId="22563" xr:uid="{A7EB2D47-B951-4C6A-8977-AAE6AD68B968}"/>
    <cellStyle name="Normal 5 2 2 4 2 5 3 3" xfId="14942" xr:uid="{A142AD81-BD26-4A26-A779-D6758A5B7148}"/>
    <cellStyle name="Normal 5 2 2 4 2 5 4" xfId="18350" xr:uid="{264F5A7D-E776-4952-B08E-D87524187C5E}"/>
    <cellStyle name="Normal 5 2 2 4 2 5 5" xfId="10729" xr:uid="{3BA7D09E-D291-4F63-88EB-D3B1F3518C57}"/>
    <cellStyle name="Normal 5 2 2 4 2 6" xfId="2577" xr:uid="{00000000-0005-0000-0000-0000F8170000}"/>
    <cellStyle name="Normal 5 2 2 4 2 6 2" xfId="6860" xr:uid="{00000000-0005-0000-0000-0000F9170000}"/>
    <cellStyle name="Normal 5 2 2 4 2 6 2 2" xfId="22976" xr:uid="{A4C2D49C-C2E4-4881-A69E-12169E0E6958}"/>
    <cellStyle name="Normal 5 2 2 4 2 6 2 3" xfId="15355" xr:uid="{C8E05872-DFC0-4A47-BA80-926C5A79243B}"/>
    <cellStyle name="Normal 5 2 2 4 2 6 3" xfId="18763" xr:uid="{F4EB0963-B791-4B62-B125-B13927339E5E}"/>
    <cellStyle name="Normal 5 2 2 4 2 6 4" xfId="11142" xr:uid="{B4577AFC-CD82-49AE-AC9D-6985ABCAB1C6}"/>
    <cellStyle name="Normal 5 2 2 4 2 7" xfId="4795" xr:uid="{00000000-0005-0000-0000-0000FA170000}"/>
    <cellStyle name="Normal 5 2 2 4 2 7 2" xfId="20911" xr:uid="{E93D627C-11EA-4AE3-87E4-970CBC93B8D1}"/>
    <cellStyle name="Normal 5 2 2 4 2 7 3" xfId="13290" xr:uid="{E4C42FD6-3A64-4D78-9CEF-CE545475C11E}"/>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23468" xr:uid="{F86549D6-435D-4285-BE07-B214AE5DCD99}"/>
    <cellStyle name="Normal 5 2 2 4 3 2 2 3" xfId="15847" xr:uid="{209D01D6-03EC-4B11-8C1D-25895BCAF425}"/>
    <cellStyle name="Normal 5 2 2 4 3 2 3" xfId="19255" xr:uid="{157392FD-E340-46B4-B849-167395D232B7}"/>
    <cellStyle name="Normal 5 2 2 4 3 2 4" xfId="11634" xr:uid="{D962F107-13B4-4F92-A176-698B7E00C990}"/>
    <cellStyle name="Normal 5 2 2 4 3 3" xfId="5207" xr:uid="{00000000-0005-0000-0000-0000FE170000}"/>
    <cellStyle name="Normal 5 2 2 4 3 3 2" xfId="21323" xr:uid="{797C9FC7-C875-416A-963F-06E85044CA1C}"/>
    <cellStyle name="Normal 5 2 2 4 3 3 3" xfId="13702" xr:uid="{7E30A475-0F7A-446E-8578-08478E4C167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23881" xr:uid="{737D736C-14BB-4445-BAB8-B90126054245}"/>
    <cellStyle name="Normal 5 2 2 4 4 2 2 3" xfId="16260" xr:uid="{A28C36FC-5FA0-4921-BB9D-68BBA2802DF6}"/>
    <cellStyle name="Normal 5 2 2 4 4 2 3" xfId="19668" xr:uid="{0C3B1D00-4D64-43D8-8590-4FAC9C9D1730}"/>
    <cellStyle name="Normal 5 2 2 4 4 2 4" xfId="12047" xr:uid="{66CCE31E-0B97-4E70-97C6-31C29F70A8D2}"/>
    <cellStyle name="Normal 5 2 2 4 4 3" xfId="5620" xr:uid="{00000000-0005-0000-0000-000002180000}"/>
    <cellStyle name="Normal 5 2 2 4 4 3 2" xfId="21736" xr:uid="{1ABB4BA8-5112-4E2F-885A-A14CF0090418}"/>
    <cellStyle name="Normal 5 2 2 4 4 3 3" xfId="14115" xr:uid="{D0D7894B-3297-42F3-B188-5D4593F6AAFC}"/>
    <cellStyle name="Normal 5 2 2 4 4 4" xfId="17523" xr:uid="{E7F6C4D0-560C-4B4B-8F59-D56F5A5FF6E0}"/>
    <cellStyle name="Normal 5 2 2 4 4 5" xfId="9902" xr:uid="{B0947D6D-8B6F-4028-8A47-CC272A1FE4C5}"/>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24294" xr:uid="{C9E63814-7A15-4BA6-9C75-2EFBDF07F5CA}"/>
    <cellStyle name="Normal 5 2 2 4 5 2 2 3" xfId="16673" xr:uid="{56E5DD6F-73DC-47C6-9107-789A23694729}"/>
    <cellStyle name="Normal 5 2 2 4 5 2 3" xfId="20081" xr:uid="{559A6661-822E-4EBA-8E09-00DCBADFA11C}"/>
    <cellStyle name="Normal 5 2 2 4 5 2 4" xfId="12460" xr:uid="{BE30E416-01AB-49A1-8B9E-390D5B3CA6B0}"/>
    <cellStyle name="Normal 5 2 2 4 5 3" xfId="6033" xr:uid="{00000000-0005-0000-0000-000006180000}"/>
    <cellStyle name="Normal 5 2 2 4 5 3 2" xfId="22149" xr:uid="{8D672AB0-0A32-4C7B-B3D4-71507FA4F979}"/>
    <cellStyle name="Normal 5 2 2 4 5 3 3" xfId="14528" xr:uid="{14B8E785-E782-4B95-B03F-751051F0E683}"/>
    <cellStyle name="Normal 5 2 2 4 5 4" xfId="17936" xr:uid="{AE5F3A62-C66A-4D0A-B786-8D4BBA80591F}"/>
    <cellStyle name="Normal 5 2 2 4 5 5" xfId="10315" xr:uid="{D2FBE027-EB04-460B-9CEB-9FD1F2AFEEED}"/>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24707" xr:uid="{42F253EF-D9B0-4D0B-B13B-B76F8AA46570}"/>
    <cellStyle name="Normal 5 2 2 4 6 2 2 3" xfId="17086" xr:uid="{F01DA23F-2CC1-453F-9472-82B40BAA1FA6}"/>
    <cellStyle name="Normal 5 2 2 4 6 2 3" xfId="20494" xr:uid="{70959923-DFC7-4F03-B320-662F4FEFD9BD}"/>
    <cellStyle name="Normal 5 2 2 4 6 2 4" xfId="12873" xr:uid="{DA8190E8-0069-47B5-8CD2-6509B5A66975}"/>
    <cellStyle name="Normal 5 2 2 4 6 3" xfId="6446" xr:uid="{00000000-0005-0000-0000-00000A180000}"/>
    <cellStyle name="Normal 5 2 2 4 6 3 2" xfId="22562" xr:uid="{3E727C11-90A6-40EB-A97A-96DAD069F08A}"/>
    <cellStyle name="Normal 5 2 2 4 6 3 3" xfId="14941" xr:uid="{6DABB6ED-8DA6-464B-8C17-13299CB3FAB9}"/>
    <cellStyle name="Normal 5 2 2 4 6 4" xfId="18349" xr:uid="{B9D6493F-BC2F-47F4-A34A-9F6CD1F713E9}"/>
    <cellStyle name="Normal 5 2 2 4 6 5" xfId="10728" xr:uid="{EBF1DDAD-0B2A-4568-81CD-D4B86D4A5C8B}"/>
    <cellStyle name="Normal 5 2 2 4 7" xfId="2576" xr:uid="{00000000-0005-0000-0000-00000B180000}"/>
    <cellStyle name="Normal 5 2 2 4 7 2" xfId="6859" xr:uid="{00000000-0005-0000-0000-00000C180000}"/>
    <cellStyle name="Normal 5 2 2 4 7 2 2" xfId="22975" xr:uid="{506E3364-9136-4031-B7C0-0C1CFA828035}"/>
    <cellStyle name="Normal 5 2 2 4 7 2 3" xfId="15354" xr:uid="{F0A07E7C-AFC6-4117-B569-5C5BD3957A2D}"/>
    <cellStyle name="Normal 5 2 2 4 7 3" xfId="18762" xr:uid="{0FFE54C6-F0BB-4ABB-9E09-B2676DE097EE}"/>
    <cellStyle name="Normal 5 2 2 4 7 4" xfId="11141" xr:uid="{487822B3-E089-4F6B-94F5-540160B741E4}"/>
    <cellStyle name="Normal 5 2 2 4 8" xfId="4794" xr:uid="{00000000-0005-0000-0000-00000D180000}"/>
    <cellStyle name="Normal 5 2 2 4 8 2" xfId="20910" xr:uid="{46FD4252-E46B-4198-85F5-314C703B93C4}"/>
    <cellStyle name="Normal 5 2 2 4 8 3" xfId="13289" xr:uid="{7709171C-7D3E-4E80-A8B0-6206434DBEAF}"/>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23470" xr:uid="{ABF4A90F-E655-4714-ABDC-BF64212CD393}"/>
    <cellStyle name="Normal 5 2 2 5 2 2 2 3" xfId="15849" xr:uid="{C5C88281-F390-4857-A9E2-64052F21B491}"/>
    <cellStyle name="Normal 5 2 2 5 2 2 3" xfId="19257" xr:uid="{D6A36ED4-0C3D-4E76-919F-65A52D81A98D}"/>
    <cellStyle name="Normal 5 2 2 5 2 2 4" xfId="11636" xr:uid="{72258F37-1CC9-43A0-B12A-038AC1D03B68}"/>
    <cellStyle name="Normal 5 2 2 5 2 3" xfId="5209" xr:uid="{00000000-0005-0000-0000-000012180000}"/>
    <cellStyle name="Normal 5 2 2 5 2 3 2" xfId="21325" xr:uid="{13B74B8F-EF6C-4C3B-8763-5A14E420BFEA}"/>
    <cellStyle name="Normal 5 2 2 5 2 3 3" xfId="13704" xr:uid="{3AB28080-03D9-4C1C-8986-2BC203A1EF5F}"/>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23883" xr:uid="{9F1F6319-F1C4-4694-A4D1-D746AA236DA6}"/>
    <cellStyle name="Normal 5 2 2 5 3 2 2 3" xfId="16262" xr:uid="{E72D459E-4547-40CC-89F3-06F075CB5E11}"/>
    <cellStyle name="Normal 5 2 2 5 3 2 3" xfId="19670" xr:uid="{3E4500AF-4E8C-4CE9-AB29-9B7DE209B4B2}"/>
    <cellStyle name="Normal 5 2 2 5 3 2 4" xfId="12049" xr:uid="{3B9CA23B-EA82-4A2F-8CFE-2C514F729F7C}"/>
    <cellStyle name="Normal 5 2 2 5 3 3" xfId="5622" xr:uid="{00000000-0005-0000-0000-000016180000}"/>
    <cellStyle name="Normal 5 2 2 5 3 3 2" xfId="21738" xr:uid="{302F09B0-C1B5-4B90-90DB-DCB1640085E3}"/>
    <cellStyle name="Normal 5 2 2 5 3 3 3" xfId="14117" xr:uid="{D5B2EB12-0BAC-4026-B6C8-0CFD30FB49F5}"/>
    <cellStyle name="Normal 5 2 2 5 3 4" xfId="17525" xr:uid="{FC97281B-4FE3-4338-ABAE-9A88070AC026}"/>
    <cellStyle name="Normal 5 2 2 5 3 5" xfId="9904" xr:uid="{870C25BD-E044-4DF3-8115-02E18039AC54}"/>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24296" xr:uid="{9B01DCA2-DDF5-441F-AF70-7DAC3A357519}"/>
    <cellStyle name="Normal 5 2 2 5 4 2 2 3" xfId="16675" xr:uid="{6ED4FF43-2A94-4065-B022-F5EEFD4E70C5}"/>
    <cellStyle name="Normal 5 2 2 5 4 2 3" xfId="20083" xr:uid="{558C1CFE-B5CD-4781-9012-FCFD2BE205F4}"/>
    <cellStyle name="Normal 5 2 2 5 4 2 4" xfId="12462" xr:uid="{0930E6D8-8AB0-456E-92AA-6E8E52271ABF}"/>
    <cellStyle name="Normal 5 2 2 5 4 3" xfId="6035" xr:uid="{00000000-0005-0000-0000-00001A180000}"/>
    <cellStyle name="Normal 5 2 2 5 4 3 2" xfId="22151" xr:uid="{003FA0DB-64F5-4F40-9E74-B294BF2C7323}"/>
    <cellStyle name="Normal 5 2 2 5 4 3 3" xfId="14530" xr:uid="{ECFF4442-544E-4CC2-B153-B26C354AACED}"/>
    <cellStyle name="Normal 5 2 2 5 4 4" xfId="17938" xr:uid="{06C9D973-2990-4595-82C4-87F56241AD74}"/>
    <cellStyle name="Normal 5 2 2 5 4 5" xfId="10317" xr:uid="{57013A37-0DD5-4E05-B42B-A0CF6C3CDD6C}"/>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24709" xr:uid="{1B12E01F-F25B-452B-8F00-6B6B2E27504A}"/>
    <cellStyle name="Normal 5 2 2 5 5 2 2 3" xfId="17088" xr:uid="{122187AB-454C-4AD7-BE1F-F033AF305D37}"/>
    <cellStyle name="Normal 5 2 2 5 5 2 3" xfId="20496" xr:uid="{13F1E9A9-0732-43E6-B6F7-9EDF480B8E70}"/>
    <cellStyle name="Normal 5 2 2 5 5 2 4" xfId="12875" xr:uid="{B0A0E85A-01B3-4701-885B-061CEE509BC9}"/>
    <cellStyle name="Normal 5 2 2 5 5 3" xfId="6448" xr:uid="{00000000-0005-0000-0000-00001E180000}"/>
    <cellStyle name="Normal 5 2 2 5 5 3 2" xfId="22564" xr:uid="{D177135E-AF5F-4A90-8A5C-A2C36217A16C}"/>
    <cellStyle name="Normal 5 2 2 5 5 3 3" xfId="14943" xr:uid="{5CFA1D62-E4B5-42E3-B476-5F8A72DC706E}"/>
    <cellStyle name="Normal 5 2 2 5 5 4" xfId="18351" xr:uid="{E85C0BB1-914A-4288-A426-ADFEE17D6318}"/>
    <cellStyle name="Normal 5 2 2 5 5 5" xfId="10730" xr:uid="{B475DF49-C650-499A-A096-8F89B29B1046}"/>
    <cellStyle name="Normal 5 2 2 5 6" xfId="2578" xr:uid="{00000000-0005-0000-0000-00001F180000}"/>
    <cellStyle name="Normal 5 2 2 5 6 2" xfId="6861" xr:uid="{00000000-0005-0000-0000-000020180000}"/>
    <cellStyle name="Normal 5 2 2 5 6 2 2" xfId="22977" xr:uid="{23DE6987-0FA5-4F5A-A699-531AE1DCEA2E}"/>
    <cellStyle name="Normal 5 2 2 5 6 2 3" xfId="15356" xr:uid="{A12A30FF-8624-4DBB-A58A-138A64AA2199}"/>
    <cellStyle name="Normal 5 2 2 5 6 3" xfId="18764" xr:uid="{3246EEC9-96E6-46FF-A110-4E779E04AF0C}"/>
    <cellStyle name="Normal 5 2 2 5 6 4" xfId="11143" xr:uid="{A12FC3E9-A627-4D83-BCA8-76E475EAC735}"/>
    <cellStyle name="Normal 5 2 2 5 7" xfId="4796" xr:uid="{00000000-0005-0000-0000-000021180000}"/>
    <cellStyle name="Normal 5 2 2 5 7 2" xfId="20912" xr:uid="{9FB228A9-FC2E-4A6E-A413-4F2196326113}"/>
    <cellStyle name="Normal 5 2 2 5 7 3" xfId="13291" xr:uid="{11E9039E-E144-497F-A0AA-774CB329EC76}"/>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2 2 2" xfId="23455" xr:uid="{988250BE-75D2-4F99-82F0-D9C5B793EF0C}"/>
    <cellStyle name="Normal 5 2 2 6 2 2 3" xfId="15834" xr:uid="{51F7E6E1-DCF7-4C23-B24E-1BEBE58BFBD8}"/>
    <cellStyle name="Normal 5 2 2 6 2 3" xfId="19242" xr:uid="{9A67957A-C364-48C1-B488-A7231FF21518}"/>
    <cellStyle name="Normal 5 2 2 6 2 4" xfId="11621" xr:uid="{4259E5F6-ACFE-487F-8EAF-40D8157A1146}"/>
    <cellStyle name="Normal 5 2 2 6 3" xfId="5194" xr:uid="{00000000-0005-0000-0000-000025180000}"/>
    <cellStyle name="Normal 5 2 2 6 3 2" xfId="21310" xr:uid="{129B122B-D261-4C7C-B3DC-B07DEB40487D}"/>
    <cellStyle name="Normal 5 2 2 6 3 3" xfId="13689" xr:uid="{8D08A569-BBD4-4D49-9CC1-283310324C66}"/>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2 2 2" xfId="23868" xr:uid="{2F43D366-C7C0-476D-B7A0-CA2FFEC60121}"/>
    <cellStyle name="Normal 5 2 2 7 2 2 3" xfId="16247" xr:uid="{8AE278F6-8126-495A-A26B-984C7F13AD32}"/>
    <cellStyle name="Normal 5 2 2 7 2 3" xfId="19655" xr:uid="{58358238-FFB8-4A0C-9D3A-6B5E42C4ADCC}"/>
    <cellStyle name="Normal 5 2 2 7 2 4" xfId="12034" xr:uid="{F0FFB71B-BF0D-4C42-A542-D9431EAEDFF0}"/>
    <cellStyle name="Normal 5 2 2 7 3" xfId="5607" xr:uid="{00000000-0005-0000-0000-000029180000}"/>
    <cellStyle name="Normal 5 2 2 7 3 2" xfId="21723" xr:uid="{DCD38BEA-2854-461E-83EC-CC2FE2738115}"/>
    <cellStyle name="Normal 5 2 2 7 3 3" xfId="14102" xr:uid="{18FF290D-DFE0-485B-B01A-75C85B2D1012}"/>
    <cellStyle name="Normal 5 2 2 7 4" xfId="17510" xr:uid="{7329BC99-CBC1-48B1-BA1D-6E301AE13B1B}"/>
    <cellStyle name="Normal 5 2 2 7 5" xfId="9889" xr:uid="{34B4442C-9997-4198-9507-A4F82DB086BC}"/>
    <cellStyle name="Normal 5 2 2 8" xfId="1713" xr:uid="{00000000-0005-0000-0000-00002A180000}"/>
    <cellStyle name="Normal 5 2 2 8 2" xfId="3943" xr:uid="{00000000-0005-0000-0000-00002B180000}"/>
    <cellStyle name="Normal 5 2 2 8 2 2" xfId="8165" xr:uid="{00000000-0005-0000-0000-00002C180000}"/>
    <cellStyle name="Normal 5 2 2 8 2 2 2" xfId="24281" xr:uid="{950453D3-7DD1-475A-A113-A99293EEBAF1}"/>
    <cellStyle name="Normal 5 2 2 8 2 2 3" xfId="16660" xr:uid="{4C6C917E-BB56-4056-AB90-4E3843A532FE}"/>
    <cellStyle name="Normal 5 2 2 8 2 3" xfId="20068" xr:uid="{62B632FB-F91E-453A-A9D4-F64C76D23B89}"/>
    <cellStyle name="Normal 5 2 2 8 2 4" xfId="12447" xr:uid="{5846037C-CE2D-4D1E-965E-5F7D7CBDF5C1}"/>
    <cellStyle name="Normal 5 2 2 8 3" xfId="6020" xr:uid="{00000000-0005-0000-0000-00002D180000}"/>
    <cellStyle name="Normal 5 2 2 8 3 2" xfId="22136" xr:uid="{8B9866FE-FF09-4772-8807-57A3F6A758C1}"/>
    <cellStyle name="Normal 5 2 2 8 3 3" xfId="14515" xr:uid="{6E5F4865-DE8E-420C-AABC-2B0E4F06936B}"/>
    <cellStyle name="Normal 5 2 2 8 4" xfId="17923" xr:uid="{B931EB4F-A1F5-418E-B58E-ABB4A50BE7DB}"/>
    <cellStyle name="Normal 5 2 2 8 5" xfId="10302" xr:uid="{E3261F3B-0C8B-4B1E-9819-8544DB9150AB}"/>
    <cellStyle name="Normal 5 2 2 9" xfId="2127" xr:uid="{00000000-0005-0000-0000-00002E180000}"/>
    <cellStyle name="Normal 5 2 2 9 2" xfId="4356" xr:uid="{00000000-0005-0000-0000-00002F180000}"/>
    <cellStyle name="Normal 5 2 2 9 2 2" xfId="8578" xr:uid="{00000000-0005-0000-0000-000030180000}"/>
    <cellStyle name="Normal 5 2 2 9 2 2 2" xfId="24694" xr:uid="{81AA0AB4-7AC3-455F-B837-02ACF98AD907}"/>
    <cellStyle name="Normal 5 2 2 9 2 2 3" xfId="17073" xr:uid="{31601FA7-A8C1-4C27-8025-A912F183D665}"/>
    <cellStyle name="Normal 5 2 2 9 2 3" xfId="20481" xr:uid="{E653277A-B413-4487-B4F5-A5A9CB25D64C}"/>
    <cellStyle name="Normal 5 2 2 9 2 4" xfId="12860" xr:uid="{9260E838-5F59-453E-9A04-3B1D8AAF52E7}"/>
    <cellStyle name="Normal 5 2 2 9 3" xfId="6433" xr:uid="{00000000-0005-0000-0000-000031180000}"/>
    <cellStyle name="Normal 5 2 2 9 3 2" xfId="22549" xr:uid="{61B9EC2F-E7A4-497A-8187-A4B29B810B3E}"/>
    <cellStyle name="Normal 5 2 2 9 3 3" xfId="14928" xr:uid="{9EF4A920-A9AA-47D3-8073-0DB9C4BDD845}"/>
    <cellStyle name="Normal 5 2 2 9 4" xfId="18336" xr:uid="{1CD6C318-92FE-4387-ACE5-537D1EEA523A}"/>
    <cellStyle name="Normal 5 2 2 9 5" xfId="10715" xr:uid="{D24FF99B-2D11-43BD-8782-C9B15476ABC3}"/>
    <cellStyle name="Normal 5 2 3" xfId="424" xr:uid="{00000000-0005-0000-0000-000032180000}"/>
    <cellStyle name="Normal 5 2 3 10" xfId="4797" xr:uid="{00000000-0005-0000-0000-000033180000}"/>
    <cellStyle name="Normal 5 2 3 10 2" xfId="20913" xr:uid="{B0C46A07-C12E-4A2E-9493-CDEA953D60A5}"/>
    <cellStyle name="Normal 5 2 3 10 3" xfId="13292" xr:uid="{E48F9C3B-AD0B-4388-A2E1-F45E8FCE830A}"/>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23474" xr:uid="{A964DE98-19F1-40B5-9CAE-BEADC2DA084D}"/>
    <cellStyle name="Normal 5 2 3 2 2 2 2 2 2 3" xfId="15853" xr:uid="{8A70ABEB-081E-4BD2-8BA7-ED839320A046}"/>
    <cellStyle name="Normal 5 2 3 2 2 2 2 2 3" xfId="19261" xr:uid="{F0E32E6E-0EA9-4301-9AFB-B9EA8E6BCCF6}"/>
    <cellStyle name="Normal 5 2 3 2 2 2 2 2 4" xfId="11640" xr:uid="{6A7D3AA9-864E-4751-A3E2-03DD4D3D3B42}"/>
    <cellStyle name="Normal 5 2 3 2 2 2 2 3" xfId="5213" xr:uid="{00000000-0005-0000-0000-00003A180000}"/>
    <cellStyle name="Normal 5 2 3 2 2 2 2 3 2" xfId="21329" xr:uid="{7E50C8F4-DC95-4169-84C2-B959272A5FE7}"/>
    <cellStyle name="Normal 5 2 3 2 2 2 2 3 3" xfId="13708" xr:uid="{549044E6-716A-4AB1-A099-0199EFD0770D}"/>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23887" xr:uid="{F457FDBA-4D6D-4CFA-A3A1-F2B5516FC402}"/>
    <cellStyle name="Normal 5 2 3 2 2 2 3 2 2 3" xfId="16266" xr:uid="{10DE64F5-EBA4-47CB-80AB-B5595540F4C0}"/>
    <cellStyle name="Normal 5 2 3 2 2 2 3 2 3" xfId="19674" xr:uid="{541CE30F-AEB1-42C5-A51E-E8E4E85C5A19}"/>
    <cellStyle name="Normal 5 2 3 2 2 2 3 2 4" xfId="12053" xr:uid="{B0677260-003B-47B2-9CF5-4D3D45BE92E9}"/>
    <cellStyle name="Normal 5 2 3 2 2 2 3 3" xfId="5626" xr:uid="{00000000-0005-0000-0000-00003E180000}"/>
    <cellStyle name="Normal 5 2 3 2 2 2 3 3 2" xfId="21742" xr:uid="{4199AE45-739A-4CF1-89E2-A49D33B12ABA}"/>
    <cellStyle name="Normal 5 2 3 2 2 2 3 3 3" xfId="14121" xr:uid="{C7345815-4BE3-479D-95D7-D6AE333AAEF7}"/>
    <cellStyle name="Normal 5 2 3 2 2 2 3 4" xfId="17529" xr:uid="{CC645AC1-400C-4664-82D3-AB777870C8E2}"/>
    <cellStyle name="Normal 5 2 3 2 2 2 3 5" xfId="9908" xr:uid="{AD8E6AF2-8E95-44EC-9E6B-5782333A938C}"/>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24300" xr:uid="{5364A4C1-0D52-4322-8E1B-AD029824BD9F}"/>
    <cellStyle name="Normal 5 2 3 2 2 2 4 2 2 3" xfId="16679" xr:uid="{2F31673F-56C2-4242-9BD9-38815BCE71AB}"/>
    <cellStyle name="Normal 5 2 3 2 2 2 4 2 3" xfId="20087" xr:uid="{835C8844-5916-489D-AF38-68DCADA71A6F}"/>
    <cellStyle name="Normal 5 2 3 2 2 2 4 2 4" xfId="12466" xr:uid="{CB31E6DA-AB5C-43B8-BFBD-741A509DB907}"/>
    <cellStyle name="Normal 5 2 3 2 2 2 4 3" xfId="6039" xr:uid="{00000000-0005-0000-0000-000042180000}"/>
    <cellStyle name="Normal 5 2 3 2 2 2 4 3 2" xfId="22155" xr:uid="{DBD03571-9577-4138-8991-BF8B7332B1F1}"/>
    <cellStyle name="Normal 5 2 3 2 2 2 4 3 3" xfId="14534" xr:uid="{DA21FF4E-AC42-42F2-8FD1-43AA5D97A544}"/>
    <cellStyle name="Normal 5 2 3 2 2 2 4 4" xfId="17942" xr:uid="{045CBAC9-2898-4ED1-817D-C920E210FCF9}"/>
    <cellStyle name="Normal 5 2 3 2 2 2 4 5" xfId="10321" xr:uid="{12233BAF-7AFD-40CD-97A6-03AB47E8FF1F}"/>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24713" xr:uid="{4A2EEC29-AC2A-4822-8CF5-F64C850EB306}"/>
    <cellStyle name="Normal 5 2 3 2 2 2 5 2 2 3" xfId="17092" xr:uid="{02B81186-A6CD-4991-AB97-CD73FBD87C68}"/>
    <cellStyle name="Normal 5 2 3 2 2 2 5 2 3" xfId="20500" xr:uid="{4B41A923-2F99-4355-B53E-87F21CFFE4B7}"/>
    <cellStyle name="Normal 5 2 3 2 2 2 5 2 4" xfId="12879" xr:uid="{5778535D-D9EC-4595-BCAC-F8EF732111EE}"/>
    <cellStyle name="Normal 5 2 3 2 2 2 5 3" xfId="6452" xr:uid="{00000000-0005-0000-0000-000046180000}"/>
    <cellStyle name="Normal 5 2 3 2 2 2 5 3 2" xfId="22568" xr:uid="{65AF56DF-AEBA-4D2F-85FF-A51D3083DAE2}"/>
    <cellStyle name="Normal 5 2 3 2 2 2 5 3 3" xfId="14947" xr:uid="{91AAF6B9-D0BF-4FC2-AB83-BA7A758CF7AE}"/>
    <cellStyle name="Normal 5 2 3 2 2 2 5 4" xfId="18355" xr:uid="{31F01184-516D-4D9A-BDDD-AAB6050AB8B8}"/>
    <cellStyle name="Normal 5 2 3 2 2 2 5 5" xfId="10734" xr:uid="{65798D5F-9A77-4314-8354-85CAD6C0C2A5}"/>
    <cellStyle name="Normal 5 2 3 2 2 2 6" xfId="2582" xr:uid="{00000000-0005-0000-0000-000047180000}"/>
    <cellStyle name="Normal 5 2 3 2 2 2 6 2" xfId="6865" xr:uid="{00000000-0005-0000-0000-000048180000}"/>
    <cellStyle name="Normal 5 2 3 2 2 2 6 2 2" xfId="22981" xr:uid="{86A719DF-D358-442F-8389-12EA0F1507E4}"/>
    <cellStyle name="Normal 5 2 3 2 2 2 6 2 3" xfId="15360" xr:uid="{476671A9-33A5-42BF-A6AE-86AACB3E7C9C}"/>
    <cellStyle name="Normal 5 2 3 2 2 2 6 3" xfId="18768" xr:uid="{400EC9F3-6F52-4121-A713-0778087E08B7}"/>
    <cellStyle name="Normal 5 2 3 2 2 2 6 4" xfId="11147" xr:uid="{2E0D6F69-0691-44E1-B83C-B89C82FDCB4F}"/>
    <cellStyle name="Normal 5 2 3 2 2 2 7" xfId="4800" xr:uid="{00000000-0005-0000-0000-000049180000}"/>
    <cellStyle name="Normal 5 2 3 2 2 2 7 2" xfId="20916" xr:uid="{EFA174F8-E4D7-4401-8972-3AC95472B5EC}"/>
    <cellStyle name="Normal 5 2 3 2 2 2 7 3" xfId="13295" xr:uid="{8D9C4F3B-0599-4A21-B789-428FD69AAF92}"/>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23473" xr:uid="{E75EACE9-EA11-402C-BF06-4C07C250FABE}"/>
    <cellStyle name="Normal 5 2 3 2 2 3 2 2 3" xfId="15852" xr:uid="{2F949D93-C11C-43AB-AB73-F5FE0CD1E008}"/>
    <cellStyle name="Normal 5 2 3 2 2 3 2 3" xfId="19260" xr:uid="{99A0A095-17D0-488A-9355-A553F260012A}"/>
    <cellStyle name="Normal 5 2 3 2 2 3 2 4" xfId="11639" xr:uid="{7E95DA1D-C192-49F7-9878-356D19C46BC9}"/>
    <cellStyle name="Normal 5 2 3 2 2 3 3" xfId="5212" xr:uid="{00000000-0005-0000-0000-00004D180000}"/>
    <cellStyle name="Normal 5 2 3 2 2 3 3 2" xfId="21328" xr:uid="{26178C42-8BFE-4059-A62C-763D77B2ACC9}"/>
    <cellStyle name="Normal 5 2 3 2 2 3 3 3" xfId="13707" xr:uid="{895D0C3E-B0C2-4CBA-B0E6-E71C35FD0938}"/>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23886" xr:uid="{B6F0E79D-CF54-4230-A10C-3CD9757B6DD4}"/>
    <cellStyle name="Normal 5 2 3 2 2 4 2 2 3" xfId="16265" xr:uid="{FD9FD3D9-0010-41E1-BAAB-62B522C06A2F}"/>
    <cellStyle name="Normal 5 2 3 2 2 4 2 3" xfId="19673" xr:uid="{B7543D7E-CCBF-4FCE-BAA9-7038F03265A1}"/>
    <cellStyle name="Normal 5 2 3 2 2 4 2 4" xfId="12052" xr:uid="{3A7289C0-6C5F-4B67-BEF9-E602AEFA7E64}"/>
    <cellStyle name="Normal 5 2 3 2 2 4 3" xfId="5625" xr:uid="{00000000-0005-0000-0000-000051180000}"/>
    <cellStyle name="Normal 5 2 3 2 2 4 3 2" xfId="21741" xr:uid="{73AF149B-9336-4E66-97BC-6B5527FE62DB}"/>
    <cellStyle name="Normal 5 2 3 2 2 4 3 3" xfId="14120" xr:uid="{905D64B1-014D-427F-9F80-4971FEC3696F}"/>
    <cellStyle name="Normal 5 2 3 2 2 4 4" xfId="17528" xr:uid="{83FE9757-D3B6-4C65-9A2C-58147CD8BA1B}"/>
    <cellStyle name="Normal 5 2 3 2 2 4 5" xfId="9907" xr:uid="{BA7FC226-386D-4E41-BD1C-E24FD1DD2EC5}"/>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24299" xr:uid="{1A5A723D-6B60-41BA-A9D3-1CCE0F397F1A}"/>
    <cellStyle name="Normal 5 2 3 2 2 5 2 2 3" xfId="16678" xr:uid="{7471B6D4-E5F8-4A59-87E5-7641CF37861A}"/>
    <cellStyle name="Normal 5 2 3 2 2 5 2 3" xfId="20086" xr:uid="{119FE1E6-9B97-492F-BCEA-1A5AAF77C92C}"/>
    <cellStyle name="Normal 5 2 3 2 2 5 2 4" xfId="12465" xr:uid="{9D85C545-A292-4173-91B7-D9F62CCF60A1}"/>
    <cellStyle name="Normal 5 2 3 2 2 5 3" xfId="6038" xr:uid="{00000000-0005-0000-0000-000055180000}"/>
    <cellStyle name="Normal 5 2 3 2 2 5 3 2" xfId="22154" xr:uid="{5483FF19-5844-480C-80DE-868113163A51}"/>
    <cellStyle name="Normal 5 2 3 2 2 5 3 3" xfId="14533" xr:uid="{2314881E-E82C-44FA-B523-6A5766BEA086}"/>
    <cellStyle name="Normal 5 2 3 2 2 5 4" xfId="17941" xr:uid="{B579B784-B017-4F3A-9A68-6376FAE93A2F}"/>
    <cellStyle name="Normal 5 2 3 2 2 5 5" xfId="10320" xr:uid="{86A0C7EE-3ED7-47EA-95A3-DD2D0247471A}"/>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24712" xr:uid="{8EAD0403-0863-48AC-9391-709253C0E2E1}"/>
    <cellStyle name="Normal 5 2 3 2 2 6 2 2 3" xfId="17091" xr:uid="{7922674C-EA36-49B6-903C-2ED32999D855}"/>
    <cellStyle name="Normal 5 2 3 2 2 6 2 3" xfId="20499" xr:uid="{EBD60A45-6ED5-4B39-8A02-1B8AF79F88F4}"/>
    <cellStyle name="Normal 5 2 3 2 2 6 2 4" xfId="12878" xr:uid="{4D47023E-791C-4F0E-AFDA-44E3EBD9A1F0}"/>
    <cellStyle name="Normal 5 2 3 2 2 6 3" xfId="6451" xr:uid="{00000000-0005-0000-0000-000059180000}"/>
    <cellStyle name="Normal 5 2 3 2 2 6 3 2" xfId="22567" xr:uid="{56EE809A-EE26-40BE-B370-8B798D2E3B7A}"/>
    <cellStyle name="Normal 5 2 3 2 2 6 3 3" xfId="14946" xr:uid="{402CE863-87C7-4261-813A-46708E3FF83E}"/>
    <cellStyle name="Normal 5 2 3 2 2 6 4" xfId="18354" xr:uid="{EE14D322-45E1-4824-AFE8-C4BAE2AE9C06}"/>
    <cellStyle name="Normal 5 2 3 2 2 6 5" xfId="10733" xr:uid="{E2329F53-251B-49D5-98FA-09D09EC86D7A}"/>
    <cellStyle name="Normal 5 2 3 2 2 7" xfId="2581" xr:uid="{00000000-0005-0000-0000-00005A180000}"/>
    <cellStyle name="Normal 5 2 3 2 2 7 2" xfId="6864" xr:uid="{00000000-0005-0000-0000-00005B180000}"/>
    <cellStyle name="Normal 5 2 3 2 2 7 2 2" xfId="22980" xr:uid="{B6CC3CA1-4070-4FA6-AD51-FC09609083BF}"/>
    <cellStyle name="Normal 5 2 3 2 2 7 2 3" xfId="15359" xr:uid="{2E793C2E-DBCD-4B77-9187-3B885BD113DA}"/>
    <cellStyle name="Normal 5 2 3 2 2 7 3" xfId="18767" xr:uid="{F15336CB-A24E-4413-A3C3-A530D5540537}"/>
    <cellStyle name="Normal 5 2 3 2 2 7 4" xfId="11146" xr:uid="{ACE51D21-8D3C-40C2-BB47-BF2EADC227E9}"/>
    <cellStyle name="Normal 5 2 3 2 2 8" xfId="4799" xr:uid="{00000000-0005-0000-0000-00005C180000}"/>
    <cellStyle name="Normal 5 2 3 2 2 8 2" xfId="20915" xr:uid="{84862421-CDFE-4105-B8C7-58925AD4E337}"/>
    <cellStyle name="Normal 5 2 3 2 2 8 3" xfId="13294" xr:uid="{3E0F1E0C-C2FB-4039-A306-A7E32FF7FA78}"/>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23475" xr:uid="{1F625106-DE35-413C-8068-427E6100365D}"/>
    <cellStyle name="Normal 5 2 3 2 3 2 2 2 3" xfId="15854" xr:uid="{87CA3A5D-1BBC-4CEC-BA4B-4EEDEE9547C6}"/>
    <cellStyle name="Normal 5 2 3 2 3 2 2 3" xfId="19262" xr:uid="{83F58047-BB62-47E4-89E9-2FE015BEC78A}"/>
    <cellStyle name="Normal 5 2 3 2 3 2 2 4" xfId="11641" xr:uid="{54E55F06-1136-4BFF-8DDB-F2A0A86B4DE8}"/>
    <cellStyle name="Normal 5 2 3 2 3 2 3" xfId="5214" xr:uid="{00000000-0005-0000-0000-000061180000}"/>
    <cellStyle name="Normal 5 2 3 2 3 2 3 2" xfId="21330" xr:uid="{BCAF292C-B25B-4A4C-B8BF-04E9A016117F}"/>
    <cellStyle name="Normal 5 2 3 2 3 2 3 3" xfId="13709" xr:uid="{115D4A35-FD7F-443F-A576-648018AC21FD}"/>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23888" xr:uid="{000C5950-2BF7-4A9B-88AE-389C6C18C974}"/>
    <cellStyle name="Normal 5 2 3 2 3 3 2 2 3" xfId="16267" xr:uid="{68195162-175C-4379-9188-D7698035121B}"/>
    <cellStyle name="Normal 5 2 3 2 3 3 2 3" xfId="19675" xr:uid="{8C755921-8214-4ADE-888E-3D63D043B7F4}"/>
    <cellStyle name="Normal 5 2 3 2 3 3 2 4" xfId="12054" xr:uid="{AB3B8813-9A6B-4F21-B950-8FE2A24C7D2E}"/>
    <cellStyle name="Normal 5 2 3 2 3 3 3" xfId="5627" xr:uid="{00000000-0005-0000-0000-000065180000}"/>
    <cellStyle name="Normal 5 2 3 2 3 3 3 2" xfId="21743" xr:uid="{C1BB26DF-4094-4803-804B-89D2997FF257}"/>
    <cellStyle name="Normal 5 2 3 2 3 3 3 3" xfId="14122" xr:uid="{2D51452F-D5A1-4F2A-AC86-089804BF3CFE}"/>
    <cellStyle name="Normal 5 2 3 2 3 3 4" xfId="17530" xr:uid="{7AFE4795-0DEA-4F1E-9FE9-C554D11FB33E}"/>
    <cellStyle name="Normal 5 2 3 2 3 3 5" xfId="9909" xr:uid="{99A6144E-3242-4824-A4C8-66E7572AA31E}"/>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24301" xr:uid="{83527EDA-78CB-4016-9F0B-882BBCFA7C60}"/>
    <cellStyle name="Normal 5 2 3 2 3 4 2 2 3" xfId="16680" xr:uid="{F794A0AE-3AD3-497F-856B-5597B6B44C0B}"/>
    <cellStyle name="Normal 5 2 3 2 3 4 2 3" xfId="20088" xr:uid="{EF4CF7CB-96BA-4F6F-82BA-E09CAE6AF92A}"/>
    <cellStyle name="Normal 5 2 3 2 3 4 2 4" xfId="12467" xr:uid="{6AF9C84A-D7E4-48A2-B6E4-DDC118268881}"/>
    <cellStyle name="Normal 5 2 3 2 3 4 3" xfId="6040" xr:uid="{00000000-0005-0000-0000-000069180000}"/>
    <cellStyle name="Normal 5 2 3 2 3 4 3 2" xfId="22156" xr:uid="{EDDCE584-11F3-4B83-9392-F4E893EAF7EE}"/>
    <cellStyle name="Normal 5 2 3 2 3 4 3 3" xfId="14535" xr:uid="{F9D64580-E46A-49E7-BA57-A7F4E16037B8}"/>
    <cellStyle name="Normal 5 2 3 2 3 4 4" xfId="17943" xr:uid="{9B343CD7-CDD1-4BC3-BDA6-13AF6DF25433}"/>
    <cellStyle name="Normal 5 2 3 2 3 4 5" xfId="10322" xr:uid="{77E6219C-BF47-4174-B8BF-9100C28AAEEB}"/>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24714" xr:uid="{6E4DC947-68F7-496F-B908-D745F5110FED}"/>
    <cellStyle name="Normal 5 2 3 2 3 5 2 2 3" xfId="17093" xr:uid="{F6586B40-0A56-46FC-A68B-EEE2AA947594}"/>
    <cellStyle name="Normal 5 2 3 2 3 5 2 3" xfId="20501" xr:uid="{06D7E6BC-3115-4933-B077-A7245D4E0E8A}"/>
    <cellStyle name="Normal 5 2 3 2 3 5 2 4" xfId="12880" xr:uid="{8C9DB8FB-F9EE-4605-8466-1CC79914C868}"/>
    <cellStyle name="Normal 5 2 3 2 3 5 3" xfId="6453" xr:uid="{00000000-0005-0000-0000-00006D180000}"/>
    <cellStyle name="Normal 5 2 3 2 3 5 3 2" xfId="22569" xr:uid="{A9D04088-CC8B-4E27-B256-C22ACF2A8F1B}"/>
    <cellStyle name="Normal 5 2 3 2 3 5 3 3" xfId="14948" xr:uid="{4E3FD3F4-D1F3-4780-91CE-B4D0EED0835E}"/>
    <cellStyle name="Normal 5 2 3 2 3 5 4" xfId="18356" xr:uid="{D55FC17E-C4CE-4531-97C1-C8BFAA5DBB13}"/>
    <cellStyle name="Normal 5 2 3 2 3 5 5" xfId="10735" xr:uid="{8D80912A-D05A-4E34-9882-5B8DC1BEE8AC}"/>
    <cellStyle name="Normal 5 2 3 2 3 6" xfId="2583" xr:uid="{00000000-0005-0000-0000-00006E180000}"/>
    <cellStyle name="Normal 5 2 3 2 3 6 2" xfId="6866" xr:uid="{00000000-0005-0000-0000-00006F180000}"/>
    <cellStyle name="Normal 5 2 3 2 3 6 2 2" xfId="22982" xr:uid="{68ACB934-01C2-44DB-9289-06D4EF3011D7}"/>
    <cellStyle name="Normal 5 2 3 2 3 6 2 3" xfId="15361" xr:uid="{DFA25761-316C-46FF-8911-CDE7F744EB11}"/>
    <cellStyle name="Normal 5 2 3 2 3 6 3" xfId="18769" xr:uid="{C9C8CCC6-883D-4C10-8A23-7817F99EF1A5}"/>
    <cellStyle name="Normal 5 2 3 2 3 6 4" xfId="11148" xr:uid="{D4659E6A-BF66-4BBC-8B3B-346B85DDF086}"/>
    <cellStyle name="Normal 5 2 3 2 3 7" xfId="4801" xr:uid="{00000000-0005-0000-0000-000070180000}"/>
    <cellStyle name="Normal 5 2 3 2 3 7 2" xfId="20917" xr:uid="{DAEABFED-8D03-4373-9A36-ED8F7C312D69}"/>
    <cellStyle name="Normal 5 2 3 2 3 7 3" xfId="13296" xr:uid="{25CFB19E-FBD4-49ED-8334-9D9182A49441}"/>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23472" xr:uid="{75797FC2-9903-46CA-BF4F-5227861642C7}"/>
    <cellStyle name="Normal 5 2 3 2 4 2 2 3" xfId="15851" xr:uid="{53D5CC07-CB4B-4EA9-95C9-F59850E48BED}"/>
    <cellStyle name="Normal 5 2 3 2 4 2 3" xfId="19259" xr:uid="{F5363E3B-3C35-4F2E-8DEA-79977C102F9E}"/>
    <cellStyle name="Normal 5 2 3 2 4 2 4" xfId="11638" xr:uid="{7358AD2C-4313-4EEA-8439-92C95631A335}"/>
    <cellStyle name="Normal 5 2 3 2 4 3" xfId="5211" xr:uid="{00000000-0005-0000-0000-000074180000}"/>
    <cellStyle name="Normal 5 2 3 2 4 3 2" xfId="21327" xr:uid="{D7698C10-57FE-411C-ACF2-976DEEE074D4}"/>
    <cellStyle name="Normal 5 2 3 2 4 3 3" xfId="13706" xr:uid="{C8BB50B0-3E95-445F-9BC1-112CC204913E}"/>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23885" xr:uid="{639C19E8-AE03-4942-A2F6-6F1AC6F0D1A1}"/>
    <cellStyle name="Normal 5 2 3 2 5 2 2 3" xfId="16264" xr:uid="{313F8311-6CA3-485B-8194-E21C07F2C8CE}"/>
    <cellStyle name="Normal 5 2 3 2 5 2 3" xfId="19672" xr:uid="{41F4B45E-8462-4CD9-888D-9A64C8FD87A9}"/>
    <cellStyle name="Normal 5 2 3 2 5 2 4" xfId="12051" xr:uid="{2C8E7852-ADBA-495F-8A75-71B3B70B583E}"/>
    <cellStyle name="Normal 5 2 3 2 5 3" xfId="5624" xr:uid="{00000000-0005-0000-0000-000078180000}"/>
    <cellStyle name="Normal 5 2 3 2 5 3 2" xfId="21740" xr:uid="{60BA011B-6218-47F7-ABB1-624138DAB28C}"/>
    <cellStyle name="Normal 5 2 3 2 5 3 3" xfId="14119" xr:uid="{C087EB24-C4DC-47C9-85AE-18708893AABB}"/>
    <cellStyle name="Normal 5 2 3 2 5 4" xfId="17527" xr:uid="{DB2FDA37-C8EA-4354-BCD8-4033E884CCCD}"/>
    <cellStyle name="Normal 5 2 3 2 5 5" xfId="9906" xr:uid="{B8AE47E0-2DD9-49BF-ACB1-8497BBB385D6}"/>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24298" xr:uid="{195CA8D2-EDF8-4EB6-8261-8E014A44A3BD}"/>
    <cellStyle name="Normal 5 2 3 2 6 2 2 3" xfId="16677" xr:uid="{918B70C8-0C85-4611-93A5-98F351942E89}"/>
    <cellStyle name="Normal 5 2 3 2 6 2 3" xfId="20085" xr:uid="{97965C4E-9903-4B23-B7EA-5C31F5513FF3}"/>
    <cellStyle name="Normal 5 2 3 2 6 2 4" xfId="12464" xr:uid="{80432E76-DDA8-4100-BCCB-B7C39B3510D7}"/>
    <cellStyle name="Normal 5 2 3 2 6 3" xfId="6037" xr:uid="{00000000-0005-0000-0000-00007C180000}"/>
    <cellStyle name="Normal 5 2 3 2 6 3 2" xfId="22153" xr:uid="{14463100-9FEA-421C-8369-C8EB6A05538E}"/>
    <cellStyle name="Normal 5 2 3 2 6 3 3" xfId="14532" xr:uid="{5DDB01CF-B53A-4F34-8084-5C3C77397621}"/>
    <cellStyle name="Normal 5 2 3 2 6 4" xfId="17940" xr:uid="{43CD95A9-C274-4F6A-A269-9AF9D274D87B}"/>
    <cellStyle name="Normal 5 2 3 2 6 5" xfId="10319" xr:uid="{99802354-28AD-4B1F-8C13-C09A7E582DFD}"/>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24711" xr:uid="{3D2A3F8C-E1A6-42CC-9080-A6F9BA7D4581}"/>
    <cellStyle name="Normal 5 2 3 2 7 2 2 3" xfId="17090" xr:uid="{4A9319B4-FBC4-4B30-BE3F-00E79384B427}"/>
    <cellStyle name="Normal 5 2 3 2 7 2 3" xfId="20498" xr:uid="{2BB0755B-A3FA-49A6-850B-4648C98176FB}"/>
    <cellStyle name="Normal 5 2 3 2 7 2 4" xfId="12877" xr:uid="{FB6A94E5-861E-4FC0-8363-531BAFC03548}"/>
    <cellStyle name="Normal 5 2 3 2 7 3" xfId="6450" xr:uid="{00000000-0005-0000-0000-000080180000}"/>
    <cellStyle name="Normal 5 2 3 2 7 3 2" xfId="22566" xr:uid="{BC006802-1FEF-428D-946A-D4CF85211E89}"/>
    <cellStyle name="Normal 5 2 3 2 7 3 3" xfId="14945" xr:uid="{4ABC3292-55F0-4C58-B9AF-4DE633CC9D45}"/>
    <cellStyle name="Normal 5 2 3 2 7 4" xfId="18353" xr:uid="{A1994BD8-B6C4-413F-95A1-A84AE7123F85}"/>
    <cellStyle name="Normal 5 2 3 2 7 5" xfId="10732" xr:uid="{6FD2985D-193B-462E-8609-DFF05E461EA3}"/>
    <cellStyle name="Normal 5 2 3 2 8" xfId="2580" xr:uid="{00000000-0005-0000-0000-000081180000}"/>
    <cellStyle name="Normal 5 2 3 2 8 2" xfId="6863" xr:uid="{00000000-0005-0000-0000-000082180000}"/>
    <cellStyle name="Normal 5 2 3 2 8 2 2" xfId="22979" xr:uid="{34A52C61-8D48-45E4-80B6-2219B8AE8C0F}"/>
    <cellStyle name="Normal 5 2 3 2 8 2 3" xfId="15358" xr:uid="{36B6BAB5-8F31-424A-9F32-F91E55E20F54}"/>
    <cellStyle name="Normal 5 2 3 2 8 3" xfId="18766" xr:uid="{DF2BD2B3-A3C6-41CE-AEDA-C2B1E907842D}"/>
    <cellStyle name="Normal 5 2 3 2 8 4" xfId="11145" xr:uid="{98393173-3B80-4DCF-A702-ED797D7ABB22}"/>
    <cellStyle name="Normal 5 2 3 2 9" xfId="4798" xr:uid="{00000000-0005-0000-0000-000083180000}"/>
    <cellStyle name="Normal 5 2 3 2 9 2" xfId="20914" xr:uid="{5F9C037F-4BF8-4C54-BDA1-80609E294766}"/>
    <cellStyle name="Normal 5 2 3 2 9 3" xfId="13293" xr:uid="{590A3C2D-124E-4640-A20C-C75DE4722E6D}"/>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23477" xr:uid="{2702F5EE-4387-4C70-B9AF-FD5D01CA3908}"/>
    <cellStyle name="Normal 5 2 3 3 2 2 2 2 3" xfId="15856" xr:uid="{F4F57A11-5E2B-43DE-9271-65EBFA2EC9B6}"/>
    <cellStyle name="Normal 5 2 3 3 2 2 2 3" xfId="19264" xr:uid="{08CD59B1-9451-42DC-8AEF-2B118F0A1006}"/>
    <cellStyle name="Normal 5 2 3 3 2 2 2 4" xfId="11643" xr:uid="{3977B233-E0A5-417C-8D01-4F53D6A73DCE}"/>
    <cellStyle name="Normal 5 2 3 3 2 2 3" xfId="5216" xr:uid="{00000000-0005-0000-0000-000089180000}"/>
    <cellStyle name="Normal 5 2 3 3 2 2 3 2" xfId="21332" xr:uid="{0A10BC3C-B584-4036-BF29-2626B5BB2FC0}"/>
    <cellStyle name="Normal 5 2 3 3 2 2 3 3" xfId="13711" xr:uid="{BD4C1051-CDD8-4E0D-B4C8-B218889DA9F7}"/>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23890" xr:uid="{EF33234C-78CF-4B46-BD64-15FC4316E7E1}"/>
    <cellStyle name="Normal 5 2 3 3 2 3 2 2 3" xfId="16269" xr:uid="{0EE5BC60-6C22-4986-AC52-1382AC5F40A4}"/>
    <cellStyle name="Normal 5 2 3 3 2 3 2 3" xfId="19677" xr:uid="{3C6A4D2C-8AC8-4531-93AD-C9B50D363039}"/>
    <cellStyle name="Normal 5 2 3 3 2 3 2 4" xfId="12056" xr:uid="{0FCE841F-1213-4ABA-A7F8-FB780E67FEB3}"/>
    <cellStyle name="Normal 5 2 3 3 2 3 3" xfId="5629" xr:uid="{00000000-0005-0000-0000-00008D180000}"/>
    <cellStyle name="Normal 5 2 3 3 2 3 3 2" xfId="21745" xr:uid="{568107DB-3CF1-40B2-9A82-954C7561FA3F}"/>
    <cellStyle name="Normal 5 2 3 3 2 3 3 3" xfId="14124" xr:uid="{234A501E-238A-479F-835C-25F87398E7D4}"/>
    <cellStyle name="Normal 5 2 3 3 2 3 4" xfId="17532" xr:uid="{63F091A3-CA36-4355-8D6A-CEC35320BCB7}"/>
    <cellStyle name="Normal 5 2 3 3 2 3 5" xfId="9911" xr:uid="{5B2B38ED-60AA-457D-9F2A-E5338CF81398}"/>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24303" xr:uid="{79BFC47D-796C-4642-A518-E7AD74A5164A}"/>
    <cellStyle name="Normal 5 2 3 3 2 4 2 2 3" xfId="16682" xr:uid="{8FF9A068-4B50-41A6-BF93-EA7485709298}"/>
    <cellStyle name="Normal 5 2 3 3 2 4 2 3" xfId="20090" xr:uid="{107E0FC2-9D43-45DC-910A-5068CB31CDC5}"/>
    <cellStyle name="Normal 5 2 3 3 2 4 2 4" xfId="12469" xr:uid="{1F240AB6-0D41-4B26-B4D9-E80D957F39FD}"/>
    <cellStyle name="Normal 5 2 3 3 2 4 3" xfId="6042" xr:uid="{00000000-0005-0000-0000-000091180000}"/>
    <cellStyle name="Normal 5 2 3 3 2 4 3 2" xfId="22158" xr:uid="{5A6202E1-8371-4289-AC23-5482F07CB4D7}"/>
    <cellStyle name="Normal 5 2 3 3 2 4 3 3" xfId="14537" xr:uid="{05017CB7-0971-4B75-926E-CC5F3E9D390B}"/>
    <cellStyle name="Normal 5 2 3 3 2 4 4" xfId="17945" xr:uid="{12127F85-297B-4B49-8B51-A718ECB3B61E}"/>
    <cellStyle name="Normal 5 2 3 3 2 4 5" xfId="10324" xr:uid="{FAC744E6-04DE-4CCA-8405-1115820F4DB7}"/>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24716" xr:uid="{507916A6-1883-4845-9C1F-91014E18E1DF}"/>
    <cellStyle name="Normal 5 2 3 3 2 5 2 2 3" xfId="17095" xr:uid="{361B576D-AA55-4E72-8854-2E14C6B2B08E}"/>
    <cellStyle name="Normal 5 2 3 3 2 5 2 3" xfId="20503" xr:uid="{50CE49AE-CF78-4056-B1CE-F9D1474EC64F}"/>
    <cellStyle name="Normal 5 2 3 3 2 5 2 4" xfId="12882" xr:uid="{A717CCBF-B888-4017-83A4-55516151C5DC}"/>
    <cellStyle name="Normal 5 2 3 3 2 5 3" xfId="6455" xr:uid="{00000000-0005-0000-0000-000095180000}"/>
    <cellStyle name="Normal 5 2 3 3 2 5 3 2" xfId="22571" xr:uid="{8573C4D4-1B89-49FD-B03D-724E0EE90CAE}"/>
    <cellStyle name="Normal 5 2 3 3 2 5 3 3" xfId="14950" xr:uid="{14CD524B-2781-45E6-904B-07C091C891B6}"/>
    <cellStyle name="Normal 5 2 3 3 2 5 4" xfId="18358" xr:uid="{77DE8B08-8A27-4432-82C8-6ED9EC079DEF}"/>
    <cellStyle name="Normal 5 2 3 3 2 5 5" xfId="10737" xr:uid="{12FD3E47-5196-43F1-BD8D-F0F1D33DC810}"/>
    <cellStyle name="Normal 5 2 3 3 2 6" xfId="2585" xr:uid="{00000000-0005-0000-0000-000096180000}"/>
    <cellStyle name="Normal 5 2 3 3 2 6 2" xfId="6868" xr:uid="{00000000-0005-0000-0000-000097180000}"/>
    <cellStyle name="Normal 5 2 3 3 2 6 2 2" xfId="22984" xr:uid="{D2313D81-0BB4-41C3-BB1A-4A3A37AADAF1}"/>
    <cellStyle name="Normal 5 2 3 3 2 6 2 3" xfId="15363" xr:uid="{FB3BD7BD-86B7-4535-B591-B6871E1AF7A3}"/>
    <cellStyle name="Normal 5 2 3 3 2 6 3" xfId="18771" xr:uid="{96F5979E-702F-4C82-97DC-788EA021B048}"/>
    <cellStyle name="Normal 5 2 3 3 2 6 4" xfId="11150" xr:uid="{C6E633E7-9260-4BB8-B546-9895983B78D1}"/>
    <cellStyle name="Normal 5 2 3 3 2 7" xfId="4803" xr:uid="{00000000-0005-0000-0000-000098180000}"/>
    <cellStyle name="Normal 5 2 3 3 2 7 2" xfId="20919" xr:uid="{9A38522E-DEB9-4354-A733-69B5BA1BB36A}"/>
    <cellStyle name="Normal 5 2 3 3 2 7 3" xfId="13298" xr:uid="{458CA591-6899-43BC-AAED-7A4361766068}"/>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23476" xr:uid="{E48BA03B-6287-4265-9B80-79275C218D97}"/>
    <cellStyle name="Normal 5 2 3 3 3 2 2 3" xfId="15855" xr:uid="{562A48CE-4EE3-416E-9912-26926E3806EA}"/>
    <cellStyle name="Normal 5 2 3 3 3 2 3" xfId="19263" xr:uid="{2B724D49-1403-44BA-9186-8F3197E46B03}"/>
    <cellStyle name="Normal 5 2 3 3 3 2 4" xfId="11642" xr:uid="{E476F9BC-7836-49F6-B536-546B12E9E7BD}"/>
    <cellStyle name="Normal 5 2 3 3 3 3" xfId="5215" xr:uid="{00000000-0005-0000-0000-00009C180000}"/>
    <cellStyle name="Normal 5 2 3 3 3 3 2" xfId="21331" xr:uid="{6C64E932-6ECA-4C55-A6EA-A6ACFA888948}"/>
    <cellStyle name="Normal 5 2 3 3 3 3 3" xfId="13710" xr:uid="{1A90D8FE-F46F-4B91-AA0A-9A87F36225FB}"/>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23889" xr:uid="{61494313-90BC-4AAA-982F-70DAD63C746E}"/>
    <cellStyle name="Normal 5 2 3 3 4 2 2 3" xfId="16268" xr:uid="{C92B5D78-4300-43C7-91F0-845B30C985EC}"/>
    <cellStyle name="Normal 5 2 3 3 4 2 3" xfId="19676" xr:uid="{0DCF3DF0-0A16-4773-8C81-90A7EA7D3808}"/>
    <cellStyle name="Normal 5 2 3 3 4 2 4" xfId="12055" xr:uid="{31ABE970-B71E-41DA-A0E7-5D979DF13E71}"/>
    <cellStyle name="Normal 5 2 3 3 4 3" xfId="5628" xr:uid="{00000000-0005-0000-0000-0000A0180000}"/>
    <cellStyle name="Normal 5 2 3 3 4 3 2" xfId="21744" xr:uid="{07E8E954-AD45-4276-B824-87F871BCF313}"/>
    <cellStyle name="Normal 5 2 3 3 4 3 3" xfId="14123" xr:uid="{5CB635C6-1495-42CC-BA9A-C2E38CC68F37}"/>
    <cellStyle name="Normal 5 2 3 3 4 4" xfId="17531" xr:uid="{BFCA8776-1569-4ED3-8934-A761518D420D}"/>
    <cellStyle name="Normal 5 2 3 3 4 5" xfId="9910" xr:uid="{2E83F5AC-8CF3-4620-B9C5-3C6A2059614A}"/>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24302" xr:uid="{C05E79EE-EFDE-479B-BF7D-94FF79BC2BF4}"/>
    <cellStyle name="Normal 5 2 3 3 5 2 2 3" xfId="16681" xr:uid="{A0DA418E-0EFE-4FB7-B0A6-CF0438A8D467}"/>
    <cellStyle name="Normal 5 2 3 3 5 2 3" xfId="20089" xr:uid="{BCA5482B-EE3A-45A6-BE4A-4E18F383CBA5}"/>
    <cellStyle name="Normal 5 2 3 3 5 2 4" xfId="12468" xr:uid="{A13D9967-8E8F-49EB-A068-A8FAA13B3F64}"/>
    <cellStyle name="Normal 5 2 3 3 5 3" xfId="6041" xr:uid="{00000000-0005-0000-0000-0000A4180000}"/>
    <cellStyle name="Normal 5 2 3 3 5 3 2" xfId="22157" xr:uid="{BFAB9A0A-2522-4F1C-8980-021C0066D7A0}"/>
    <cellStyle name="Normal 5 2 3 3 5 3 3" xfId="14536" xr:uid="{11B8EC8C-357B-4EA1-8C7C-31C1F58B11DF}"/>
    <cellStyle name="Normal 5 2 3 3 5 4" xfId="17944" xr:uid="{EA8C4541-EADC-42C0-ACE4-0666EE6DC89F}"/>
    <cellStyle name="Normal 5 2 3 3 5 5" xfId="10323" xr:uid="{7A39C040-2C0F-4B35-8A78-0B5329644F5F}"/>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24715" xr:uid="{341A58B7-0FCF-4CDF-9752-EA142A0AE786}"/>
    <cellStyle name="Normal 5 2 3 3 6 2 2 3" xfId="17094" xr:uid="{6076309D-A803-4FB6-9ADC-4FA865949208}"/>
    <cellStyle name="Normal 5 2 3 3 6 2 3" xfId="20502" xr:uid="{FF71E075-17B8-4DB0-9ECE-C51BEB53BB7D}"/>
    <cellStyle name="Normal 5 2 3 3 6 2 4" xfId="12881" xr:uid="{A2310A74-9400-48D3-AB06-937E2D7A933C}"/>
    <cellStyle name="Normal 5 2 3 3 6 3" xfId="6454" xr:uid="{00000000-0005-0000-0000-0000A8180000}"/>
    <cellStyle name="Normal 5 2 3 3 6 3 2" xfId="22570" xr:uid="{FF354D1A-AD67-4F42-8E1E-7E74221312D6}"/>
    <cellStyle name="Normal 5 2 3 3 6 3 3" xfId="14949" xr:uid="{BB20088F-5474-41D9-B89E-5B8874B8086F}"/>
    <cellStyle name="Normal 5 2 3 3 6 4" xfId="18357" xr:uid="{5E17C474-A013-44F8-B95E-376CCAFAA15B}"/>
    <cellStyle name="Normal 5 2 3 3 6 5" xfId="10736" xr:uid="{12FC3F00-D21C-4EEB-87D2-8B07F5CC0C7A}"/>
    <cellStyle name="Normal 5 2 3 3 7" xfId="2584" xr:uid="{00000000-0005-0000-0000-0000A9180000}"/>
    <cellStyle name="Normal 5 2 3 3 7 2" xfId="6867" xr:uid="{00000000-0005-0000-0000-0000AA180000}"/>
    <cellStyle name="Normal 5 2 3 3 7 2 2" xfId="22983" xr:uid="{742F5304-F707-48B8-8CE4-14C203F9D3EF}"/>
    <cellStyle name="Normal 5 2 3 3 7 2 3" xfId="15362" xr:uid="{6448DA11-EC83-4F7E-8FA4-818735FFBBAF}"/>
    <cellStyle name="Normal 5 2 3 3 7 3" xfId="18770" xr:uid="{F3A98611-DEC3-4BD3-BBC7-25272572DDF4}"/>
    <cellStyle name="Normal 5 2 3 3 7 4" xfId="11149" xr:uid="{2926A583-0B4D-4356-A640-A67703EE284C}"/>
    <cellStyle name="Normal 5 2 3 3 8" xfId="4802" xr:uid="{00000000-0005-0000-0000-0000AB180000}"/>
    <cellStyle name="Normal 5 2 3 3 8 2" xfId="20918" xr:uid="{142CCA1F-1225-4392-9A0A-F04D4C46481F}"/>
    <cellStyle name="Normal 5 2 3 3 8 3" xfId="13297" xr:uid="{8B107F5D-4FFD-4F73-8A36-C43D2C9C1515}"/>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23478" xr:uid="{5131E9F7-14AE-40FB-833A-B83173B9AF16}"/>
    <cellStyle name="Normal 5 2 3 4 2 2 2 3" xfId="15857" xr:uid="{95DAAD9B-644B-478A-A585-3333011BCED6}"/>
    <cellStyle name="Normal 5 2 3 4 2 2 3" xfId="19265" xr:uid="{D735477F-6D34-48B2-8FD3-958E8A41360A}"/>
    <cellStyle name="Normal 5 2 3 4 2 2 4" xfId="11644" xr:uid="{EF15B1A2-965A-4FE7-8C17-FBE5FD7834EE}"/>
    <cellStyle name="Normal 5 2 3 4 2 3" xfId="5217" xr:uid="{00000000-0005-0000-0000-0000B0180000}"/>
    <cellStyle name="Normal 5 2 3 4 2 3 2" xfId="21333" xr:uid="{C7F8CB38-39A0-48B6-A235-A719975DF5E8}"/>
    <cellStyle name="Normal 5 2 3 4 2 3 3" xfId="13712" xr:uid="{77931BF2-7E82-408B-8110-C13C5265BE59}"/>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23891" xr:uid="{C9F3CF14-B21F-4A05-ABA2-97C6408AB968}"/>
    <cellStyle name="Normal 5 2 3 4 3 2 2 3" xfId="16270" xr:uid="{75E67FD9-7321-4208-A2B7-06EDE7849A99}"/>
    <cellStyle name="Normal 5 2 3 4 3 2 3" xfId="19678" xr:uid="{B5156919-F0A4-4954-9C84-946E8EF5707F}"/>
    <cellStyle name="Normal 5 2 3 4 3 2 4" xfId="12057" xr:uid="{A006D4DD-A260-41E5-8FD8-027E60F2A415}"/>
    <cellStyle name="Normal 5 2 3 4 3 3" xfId="5630" xr:uid="{00000000-0005-0000-0000-0000B4180000}"/>
    <cellStyle name="Normal 5 2 3 4 3 3 2" xfId="21746" xr:uid="{D061EF44-673C-4968-87D5-AD3FF0EE0A2E}"/>
    <cellStyle name="Normal 5 2 3 4 3 3 3" xfId="14125" xr:uid="{609D322E-FF88-4E97-9749-D4C1A3874997}"/>
    <cellStyle name="Normal 5 2 3 4 3 4" xfId="17533" xr:uid="{C67D5E91-679F-4C5B-9123-7F480B756890}"/>
    <cellStyle name="Normal 5 2 3 4 3 5" xfId="9912" xr:uid="{9AAE186D-C584-42D2-B6BD-4B513385E166}"/>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24304" xr:uid="{861E9B9D-E3AB-436C-9697-691AE945C728}"/>
    <cellStyle name="Normal 5 2 3 4 4 2 2 3" xfId="16683" xr:uid="{86B0FB1A-5EA1-4059-8629-8DA4FA4A5322}"/>
    <cellStyle name="Normal 5 2 3 4 4 2 3" xfId="20091" xr:uid="{F194762E-2715-4AD1-8681-F3EA48D019F4}"/>
    <cellStyle name="Normal 5 2 3 4 4 2 4" xfId="12470" xr:uid="{AF6AE308-3470-456A-B701-F16E145D9722}"/>
    <cellStyle name="Normal 5 2 3 4 4 3" xfId="6043" xr:uid="{00000000-0005-0000-0000-0000B8180000}"/>
    <cellStyle name="Normal 5 2 3 4 4 3 2" xfId="22159" xr:uid="{1E7EE578-7A27-4027-A967-F0B37547CB59}"/>
    <cellStyle name="Normal 5 2 3 4 4 3 3" xfId="14538" xr:uid="{3917282F-99E6-48DC-A989-104E215371B4}"/>
    <cellStyle name="Normal 5 2 3 4 4 4" xfId="17946" xr:uid="{112ABF6E-1828-4C07-8F44-F16DF898DCC2}"/>
    <cellStyle name="Normal 5 2 3 4 4 5" xfId="10325" xr:uid="{6E2B9350-115F-4E16-9C0A-4E18346536B4}"/>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24717" xr:uid="{49E7F113-C437-4707-95F3-C2B34550D730}"/>
    <cellStyle name="Normal 5 2 3 4 5 2 2 3" xfId="17096" xr:uid="{85DC7447-971A-4404-8C44-2FD1A4DE927A}"/>
    <cellStyle name="Normal 5 2 3 4 5 2 3" xfId="20504" xr:uid="{6A7F52F1-68B3-4752-9D11-0EBCB3C05CD9}"/>
    <cellStyle name="Normal 5 2 3 4 5 2 4" xfId="12883" xr:uid="{48B534D9-7510-4540-84E0-7C357023BF62}"/>
    <cellStyle name="Normal 5 2 3 4 5 3" xfId="6456" xr:uid="{00000000-0005-0000-0000-0000BC180000}"/>
    <cellStyle name="Normal 5 2 3 4 5 3 2" xfId="22572" xr:uid="{83DB8565-B39D-43DC-BFFF-353904D83DF4}"/>
    <cellStyle name="Normal 5 2 3 4 5 3 3" xfId="14951" xr:uid="{928440EE-F2A4-407D-B82D-066F77C792BF}"/>
    <cellStyle name="Normal 5 2 3 4 5 4" xfId="18359" xr:uid="{B67D3AC5-00C1-415A-9BF4-0E6CA92AF643}"/>
    <cellStyle name="Normal 5 2 3 4 5 5" xfId="10738" xr:uid="{8FB8ABE8-8277-4A3B-86BA-FAEA488DF987}"/>
    <cellStyle name="Normal 5 2 3 4 6" xfId="2586" xr:uid="{00000000-0005-0000-0000-0000BD180000}"/>
    <cellStyle name="Normal 5 2 3 4 6 2" xfId="6869" xr:uid="{00000000-0005-0000-0000-0000BE180000}"/>
    <cellStyle name="Normal 5 2 3 4 6 2 2" xfId="22985" xr:uid="{C88775EB-1B5E-4E52-9CB5-CB6E07969328}"/>
    <cellStyle name="Normal 5 2 3 4 6 2 3" xfId="15364" xr:uid="{E7C9AD0D-BD33-477E-9F98-8B59EEBDDA13}"/>
    <cellStyle name="Normal 5 2 3 4 6 3" xfId="18772" xr:uid="{A7C40491-7294-4B6E-8CB8-2C89399424A3}"/>
    <cellStyle name="Normal 5 2 3 4 6 4" xfId="11151" xr:uid="{F6609884-E431-43EE-9CEA-2884FB2A4DD4}"/>
    <cellStyle name="Normal 5 2 3 4 7" xfId="4804" xr:uid="{00000000-0005-0000-0000-0000BF180000}"/>
    <cellStyle name="Normal 5 2 3 4 7 2" xfId="20920" xr:uid="{39F3817C-2FF4-4FFB-A2A5-82850F366A9E}"/>
    <cellStyle name="Normal 5 2 3 4 7 3" xfId="13299" xr:uid="{4F12860E-6231-44B1-A201-9DA11AF94111}"/>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2 2 2" xfId="23471" xr:uid="{07276B9B-4610-434F-A5B0-91764D2B2F92}"/>
    <cellStyle name="Normal 5 2 3 5 2 2 3" xfId="15850" xr:uid="{BB05B107-11AC-4E86-B284-78D0E4323A50}"/>
    <cellStyle name="Normal 5 2 3 5 2 3" xfId="19258" xr:uid="{6A241574-B2F0-4292-9ABB-98613A13118F}"/>
    <cellStyle name="Normal 5 2 3 5 2 4" xfId="11637" xr:uid="{5BB43933-CBA5-463A-91E5-B1B79AAC90C4}"/>
    <cellStyle name="Normal 5 2 3 5 3" xfId="5210" xr:uid="{00000000-0005-0000-0000-0000C3180000}"/>
    <cellStyle name="Normal 5 2 3 5 3 2" xfId="21326" xr:uid="{247CF799-DA03-4ADD-9157-200460C29D88}"/>
    <cellStyle name="Normal 5 2 3 5 3 3" xfId="13705" xr:uid="{C951162F-DE72-449C-9606-DAC6775B5CC3}"/>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2 2 2" xfId="23884" xr:uid="{F808544F-4E3B-48C1-826E-03C54103F542}"/>
    <cellStyle name="Normal 5 2 3 6 2 2 3" xfId="16263" xr:uid="{F892B328-80D2-444A-96DD-7E7136C56D3B}"/>
    <cellStyle name="Normal 5 2 3 6 2 3" xfId="19671" xr:uid="{38D23E3D-BC5D-4023-B940-C4E0B1EAD22F}"/>
    <cellStyle name="Normal 5 2 3 6 2 4" xfId="12050" xr:uid="{291B426E-6111-4357-BF02-09A1AF8E4DE2}"/>
    <cellStyle name="Normal 5 2 3 6 3" xfId="5623" xr:uid="{00000000-0005-0000-0000-0000C7180000}"/>
    <cellStyle name="Normal 5 2 3 6 3 2" xfId="21739" xr:uid="{41D5EA3B-0E04-479D-B21F-2182A54AD186}"/>
    <cellStyle name="Normal 5 2 3 6 3 3" xfId="14118" xr:uid="{CB95C864-64CA-412D-AF95-660CF2EBE3C8}"/>
    <cellStyle name="Normal 5 2 3 6 4" xfId="17526" xr:uid="{89DBA7F8-6897-4AA1-962D-9E0DD87BCB0E}"/>
    <cellStyle name="Normal 5 2 3 6 5" xfId="9905" xr:uid="{15E14547-1614-465D-AD81-ADC781919813}"/>
    <cellStyle name="Normal 5 2 3 7" xfId="1729" xr:uid="{00000000-0005-0000-0000-0000C8180000}"/>
    <cellStyle name="Normal 5 2 3 7 2" xfId="3959" xr:uid="{00000000-0005-0000-0000-0000C9180000}"/>
    <cellStyle name="Normal 5 2 3 7 2 2" xfId="8181" xr:uid="{00000000-0005-0000-0000-0000CA180000}"/>
    <cellStyle name="Normal 5 2 3 7 2 2 2" xfId="24297" xr:uid="{70CC95CD-1A8E-4EC3-B9D8-F2DA2DB99CD1}"/>
    <cellStyle name="Normal 5 2 3 7 2 2 3" xfId="16676" xr:uid="{6848E888-E59E-458C-85B0-BD89E9300F1E}"/>
    <cellStyle name="Normal 5 2 3 7 2 3" xfId="20084" xr:uid="{F305F0E8-0AFD-4057-A542-5AF35979A399}"/>
    <cellStyle name="Normal 5 2 3 7 2 4" xfId="12463" xr:uid="{A954D7C2-9201-4986-B74A-F9609519CF7B}"/>
    <cellStyle name="Normal 5 2 3 7 3" xfId="6036" xr:uid="{00000000-0005-0000-0000-0000CB180000}"/>
    <cellStyle name="Normal 5 2 3 7 3 2" xfId="22152" xr:uid="{1A2D856E-4307-4E45-BF71-497EA657986D}"/>
    <cellStyle name="Normal 5 2 3 7 3 3" xfId="14531" xr:uid="{9248A576-AC4E-4029-99BE-2FC2FC793043}"/>
    <cellStyle name="Normal 5 2 3 7 4" xfId="17939" xr:uid="{CF2BCEF4-116C-43BD-A85B-53018B450B0E}"/>
    <cellStyle name="Normal 5 2 3 7 5" xfId="10318" xr:uid="{67ECEA9F-6883-40C3-99E9-FE00964B43DB}"/>
    <cellStyle name="Normal 5 2 3 8" xfId="2143" xr:uid="{00000000-0005-0000-0000-0000CC180000}"/>
    <cellStyle name="Normal 5 2 3 8 2" xfId="4372" xr:uid="{00000000-0005-0000-0000-0000CD180000}"/>
    <cellStyle name="Normal 5 2 3 8 2 2" xfId="8594" xr:uid="{00000000-0005-0000-0000-0000CE180000}"/>
    <cellStyle name="Normal 5 2 3 8 2 2 2" xfId="24710" xr:uid="{EB826D7D-57C4-4903-A3F8-195AEAAA4C9D}"/>
    <cellStyle name="Normal 5 2 3 8 2 2 3" xfId="17089" xr:uid="{4D07E838-B086-47C5-807C-F9F0384E3CE2}"/>
    <cellStyle name="Normal 5 2 3 8 2 3" xfId="20497" xr:uid="{FFE2E55B-EC52-4065-92CA-033CC13801FB}"/>
    <cellStyle name="Normal 5 2 3 8 2 4" xfId="12876" xr:uid="{EB94036D-237F-4258-85E6-A9E3B2F910E7}"/>
    <cellStyle name="Normal 5 2 3 8 3" xfId="6449" xr:uid="{00000000-0005-0000-0000-0000CF180000}"/>
    <cellStyle name="Normal 5 2 3 8 3 2" xfId="22565" xr:uid="{15420E29-4686-4180-9D0E-70D330CBB4A1}"/>
    <cellStyle name="Normal 5 2 3 8 3 3" xfId="14944" xr:uid="{6679BF6A-B90D-4ED7-BE9D-3F3085DCC899}"/>
    <cellStyle name="Normal 5 2 3 8 4" xfId="18352" xr:uid="{5991B595-460D-4720-B8D6-D46FEC6F9C84}"/>
    <cellStyle name="Normal 5 2 3 8 5" xfId="10731" xr:uid="{304E8C25-09B9-40FA-8619-7714DEFC1679}"/>
    <cellStyle name="Normal 5 2 3 9" xfId="2579" xr:uid="{00000000-0005-0000-0000-0000D0180000}"/>
    <cellStyle name="Normal 5 2 3 9 2" xfId="6862" xr:uid="{00000000-0005-0000-0000-0000D1180000}"/>
    <cellStyle name="Normal 5 2 3 9 2 2" xfId="22978" xr:uid="{F91BBB19-95B6-4B67-A760-AB7F76CBFFDF}"/>
    <cellStyle name="Normal 5 2 3 9 2 3" xfId="15357" xr:uid="{FF0792A9-25C0-4510-8F6F-A967DF0DB40B}"/>
    <cellStyle name="Normal 5 2 3 9 3" xfId="18765" xr:uid="{A0D20A61-1B1C-4E84-9CC3-394756307C8E}"/>
    <cellStyle name="Normal 5 2 3 9 4" xfId="11144" xr:uid="{3F47F733-34A7-4B28-A1C7-F6F98ECF3845}"/>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23481" xr:uid="{28581D8F-022E-40B5-AFE9-9C81BE0880FC}"/>
    <cellStyle name="Normal 5 2 4 2 2 2 2 2 3" xfId="15860" xr:uid="{F4CEC7B3-EF4F-44B7-A870-ED52191E6DB5}"/>
    <cellStyle name="Normal 5 2 4 2 2 2 2 3" xfId="19268" xr:uid="{798C92EA-87EF-4F0C-8475-E9DB02CFF87D}"/>
    <cellStyle name="Normal 5 2 4 2 2 2 2 4" xfId="11647" xr:uid="{19A7405C-F2BE-4806-BAAC-E9759B4EF56A}"/>
    <cellStyle name="Normal 5 2 4 2 2 2 3" xfId="5220" xr:uid="{00000000-0005-0000-0000-0000D8180000}"/>
    <cellStyle name="Normal 5 2 4 2 2 2 3 2" xfId="21336" xr:uid="{52FBCAB1-3530-4675-B37E-A82E7F0C93A8}"/>
    <cellStyle name="Normal 5 2 4 2 2 2 3 3" xfId="13715" xr:uid="{19E8F52D-4B50-433A-8AE6-25273A215217}"/>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23894" xr:uid="{3658FCEF-9CCE-4084-B750-EB822FAC9E25}"/>
    <cellStyle name="Normal 5 2 4 2 2 3 2 2 3" xfId="16273" xr:uid="{2045459D-A3D1-4DD9-AC7A-54296815355E}"/>
    <cellStyle name="Normal 5 2 4 2 2 3 2 3" xfId="19681" xr:uid="{4DF963B8-DD1E-470A-87AE-9C981C93A3E4}"/>
    <cellStyle name="Normal 5 2 4 2 2 3 2 4" xfId="12060" xr:uid="{87DE7386-3512-4FF9-9958-659F7C99A2AC}"/>
    <cellStyle name="Normal 5 2 4 2 2 3 3" xfId="5633" xr:uid="{00000000-0005-0000-0000-0000DC180000}"/>
    <cellStyle name="Normal 5 2 4 2 2 3 3 2" xfId="21749" xr:uid="{921078DB-04B5-4868-8837-29F506B13986}"/>
    <cellStyle name="Normal 5 2 4 2 2 3 3 3" xfId="14128" xr:uid="{AD77D8BB-F1A3-4A31-BC35-322A9B6DED8E}"/>
    <cellStyle name="Normal 5 2 4 2 2 3 4" xfId="17536" xr:uid="{90A5D8F9-5CCC-4D40-B6FB-E8BCDEE3BCB6}"/>
    <cellStyle name="Normal 5 2 4 2 2 3 5" xfId="9915" xr:uid="{CECF3D9C-9CE5-4ACD-9A8F-D0FC0565D2D4}"/>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24307" xr:uid="{B182DAF6-4589-4316-ABE8-0EEC14FFCCD7}"/>
    <cellStyle name="Normal 5 2 4 2 2 4 2 2 3" xfId="16686" xr:uid="{5F4EAC13-B6CD-434B-8636-80402EE53C07}"/>
    <cellStyle name="Normal 5 2 4 2 2 4 2 3" xfId="20094" xr:uid="{7BA9DD83-6756-44AD-BC5E-3269FC8676E3}"/>
    <cellStyle name="Normal 5 2 4 2 2 4 2 4" xfId="12473" xr:uid="{86171A9A-BEB1-441A-9923-F8DD16613886}"/>
    <cellStyle name="Normal 5 2 4 2 2 4 3" xfId="6046" xr:uid="{00000000-0005-0000-0000-0000E0180000}"/>
    <cellStyle name="Normal 5 2 4 2 2 4 3 2" xfId="22162" xr:uid="{B00E5D4F-B4B4-4181-9589-B8A43B3229F1}"/>
    <cellStyle name="Normal 5 2 4 2 2 4 3 3" xfId="14541" xr:uid="{F850BD14-8B85-4EF9-81A9-D7EA8FE12006}"/>
    <cellStyle name="Normal 5 2 4 2 2 4 4" xfId="17949" xr:uid="{9760A8FB-A974-4089-B90F-60716A11FEF4}"/>
    <cellStyle name="Normal 5 2 4 2 2 4 5" xfId="10328" xr:uid="{B37446E3-E775-4F42-A6B8-D61B4A39E27F}"/>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24720" xr:uid="{632E0577-F52B-435A-BC3D-70BBCA891C57}"/>
    <cellStyle name="Normal 5 2 4 2 2 5 2 2 3" xfId="17099" xr:uid="{FF7FE555-0EA5-44B3-8292-C722388C3376}"/>
    <cellStyle name="Normal 5 2 4 2 2 5 2 3" xfId="20507" xr:uid="{62E20FB0-B38F-42F3-9C85-1508A3909C2A}"/>
    <cellStyle name="Normal 5 2 4 2 2 5 2 4" xfId="12886" xr:uid="{B3172D93-EB67-4941-8E7E-D09EF4E1CB57}"/>
    <cellStyle name="Normal 5 2 4 2 2 5 3" xfId="6459" xr:uid="{00000000-0005-0000-0000-0000E4180000}"/>
    <cellStyle name="Normal 5 2 4 2 2 5 3 2" xfId="22575" xr:uid="{5E27244A-FAA9-437F-9901-B82EA581C1F1}"/>
    <cellStyle name="Normal 5 2 4 2 2 5 3 3" xfId="14954" xr:uid="{D6B38AD0-1420-42BE-976C-62E42907DEA8}"/>
    <cellStyle name="Normal 5 2 4 2 2 5 4" xfId="18362" xr:uid="{C0BB5ACA-E29A-4110-91C3-2BF986A5F06D}"/>
    <cellStyle name="Normal 5 2 4 2 2 5 5" xfId="10741" xr:uid="{7085ED88-7111-4502-BB49-0A397385EC78}"/>
    <cellStyle name="Normal 5 2 4 2 2 6" xfId="2589" xr:uid="{00000000-0005-0000-0000-0000E5180000}"/>
    <cellStyle name="Normal 5 2 4 2 2 6 2" xfId="6872" xr:uid="{00000000-0005-0000-0000-0000E6180000}"/>
    <cellStyle name="Normal 5 2 4 2 2 6 2 2" xfId="22988" xr:uid="{B4D21F49-68F3-430A-AD19-52869EFF43AE}"/>
    <cellStyle name="Normal 5 2 4 2 2 6 2 3" xfId="15367" xr:uid="{567C91A8-83AB-4573-B068-38600A2AD583}"/>
    <cellStyle name="Normal 5 2 4 2 2 6 3" xfId="18775" xr:uid="{3D0404EE-2213-4BE0-8461-9A37228AC574}"/>
    <cellStyle name="Normal 5 2 4 2 2 6 4" xfId="11154" xr:uid="{7BCD0D10-DDAD-4B63-A237-384BD8EE37E5}"/>
    <cellStyle name="Normal 5 2 4 2 2 7" xfId="4807" xr:uid="{00000000-0005-0000-0000-0000E7180000}"/>
    <cellStyle name="Normal 5 2 4 2 2 7 2" xfId="20923" xr:uid="{13B9F8E5-5CA6-4A0D-AC4D-AFD50A2CDB57}"/>
    <cellStyle name="Normal 5 2 4 2 2 7 3" xfId="13302" xr:uid="{FD74F908-5D3A-481D-84FA-0F017E49DD06}"/>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23480" xr:uid="{BB4F3180-6820-4BC2-B650-851BF22A9830}"/>
    <cellStyle name="Normal 5 2 4 2 3 2 2 3" xfId="15859" xr:uid="{2C7E8AF0-C207-48A5-A024-E35F5D6E4E4E}"/>
    <cellStyle name="Normal 5 2 4 2 3 2 3" xfId="19267" xr:uid="{95C91118-CFE7-4756-8E6F-B1B9B2791B0F}"/>
    <cellStyle name="Normal 5 2 4 2 3 2 4" xfId="11646" xr:uid="{AF8DB15F-E943-4DD4-B313-2ADC01329D2B}"/>
    <cellStyle name="Normal 5 2 4 2 3 3" xfId="5219" xr:uid="{00000000-0005-0000-0000-0000EB180000}"/>
    <cellStyle name="Normal 5 2 4 2 3 3 2" xfId="21335" xr:uid="{DB7FF2BF-3C13-4279-BA17-E702FBE7C43C}"/>
    <cellStyle name="Normal 5 2 4 2 3 3 3" xfId="13714" xr:uid="{9BBCC0BB-1A0F-48AA-8826-A64D7F03CF3B}"/>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23893" xr:uid="{F41CE781-2BDE-4887-B873-E95CA35AA42B}"/>
    <cellStyle name="Normal 5 2 4 2 4 2 2 3" xfId="16272" xr:uid="{5E21C2EA-D9DA-43ED-BC5F-F94F6CB9785D}"/>
    <cellStyle name="Normal 5 2 4 2 4 2 3" xfId="19680" xr:uid="{B196317E-AD2B-4EF9-AFBB-842A7DAEC628}"/>
    <cellStyle name="Normal 5 2 4 2 4 2 4" xfId="12059" xr:uid="{D0373D68-7EDF-4519-8BFC-71E53E004A67}"/>
    <cellStyle name="Normal 5 2 4 2 4 3" xfId="5632" xr:uid="{00000000-0005-0000-0000-0000EF180000}"/>
    <cellStyle name="Normal 5 2 4 2 4 3 2" xfId="21748" xr:uid="{B3AE9E58-3C02-4014-9D66-6D32E936C9E5}"/>
    <cellStyle name="Normal 5 2 4 2 4 3 3" xfId="14127" xr:uid="{AB71CEDA-753F-43CB-B401-42C1D388FCD9}"/>
    <cellStyle name="Normal 5 2 4 2 4 4" xfId="17535" xr:uid="{B1F89C9B-FBAA-46B4-A9BB-846B333F348E}"/>
    <cellStyle name="Normal 5 2 4 2 4 5" xfId="9914" xr:uid="{7459A13E-6720-45DF-9E06-A67EDA97A9F7}"/>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24306" xr:uid="{CFA7C17B-93D4-489C-903E-7E77B6E8BCF9}"/>
    <cellStyle name="Normal 5 2 4 2 5 2 2 3" xfId="16685" xr:uid="{BFA1E262-45F6-4982-B679-2454E69E77AD}"/>
    <cellStyle name="Normal 5 2 4 2 5 2 3" xfId="20093" xr:uid="{E2C1D203-052C-46DF-9FE7-30AE8853FF99}"/>
    <cellStyle name="Normal 5 2 4 2 5 2 4" xfId="12472" xr:uid="{1C8E3FF8-5114-4196-8DBD-721FD9EF906C}"/>
    <cellStyle name="Normal 5 2 4 2 5 3" xfId="6045" xr:uid="{00000000-0005-0000-0000-0000F3180000}"/>
    <cellStyle name="Normal 5 2 4 2 5 3 2" xfId="22161" xr:uid="{B7D69207-8033-4EAC-9650-28235B79868D}"/>
    <cellStyle name="Normal 5 2 4 2 5 3 3" xfId="14540" xr:uid="{D94543D2-C186-4A87-B0C6-814C4E9A5628}"/>
    <cellStyle name="Normal 5 2 4 2 5 4" xfId="17948" xr:uid="{75DA6EAB-7646-47AA-9FEB-9643E9862CD8}"/>
    <cellStyle name="Normal 5 2 4 2 5 5" xfId="10327" xr:uid="{B10DDF10-F8C1-4252-A31D-5219EFA26454}"/>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24719" xr:uid="{18094176-CF6A-4057-BA9E-1148390C13FB}"/>
    <cellStyle name="Normal 5 2 4 2 6 2 2 3" xfId="17098" xr:uid="{C80B0B75-4122-4C6E-974E-3C2099A69472}"/>
    <cellStyle name="Normal 5 2 4 2 6 2 3" xfId="20506" xr:uid="{5572F235-23B3-4B8B-9376-7080C0E92456}"/>
    <cellStyle name="Normal 5 2 4 2 6 2 4" xfId="12885" xr:uid="{F4A98343-DA7A-410A-8F05-B7FE5A6B3A40}"/>
    <cellStyle name="Normal 5 2 4 2 6 3" xfId="6458" xr:uid="{00000000-0005-0000-0000-0000F7180000}"/>
    <cellStyle name="Normal 5 2 4 2 6 3 2" xfId="22574" xr:uid="{7FEC6245-FF59-447E-B152-ED25A9C16CC0}"/>
    <cellStyle name="Normal 5 2 4 2 6 3 3" xfId="14953" xr:uid="{72BAD3DF-AD93-40CF-939D-5F2C32B18AA1}"/>
    <cellStyle name="Normal 5 2 4 2 6 4" xfId="18361" xr:uid="{8DD69697-1A8F-4986-85B2-BBE7475754D9}"/>
    <cellStyle name="Normal 5 2 4 2 6 5" xfId="10740" xr:uid="{E1D053C0-80FE-4E3E-99E2-ABD118E8BB33}"/>
    <cellStyle name="Normal 5 2 4 2 7" xfId="2588" xr:uid="{00000000-0005-0000-0000-0000F8180000}"/>
    <cellStyle name="Normal 5 2 4 2 7 2" xfId="6871" xr:uid="{00000000-0005-0000-0000-0000F9180000}"/>
    <cellStyle name="Normal 5 2 4 2 7 2 2" xfId="22987" xr:uid="{53C11AC2-E2A5-462A-88D7-6B56961A3AF9}"/>
    <cellStyle name="Normal 5 2 4 2 7 2 3" xfId="15366" xr:uid="{9341437E-20EF-4252-990D-622FEAF680B8}"/>
    <cellStyle name="Normal 5 2 4 2 7 3" xfId="18774" xr:uid="{214F9E93-CD5D-4C7B-80A9-D1234694AE07}"/>
    <cellStyle name="Normal 5 2 4 2 7 4" xfId="11153" xr:uid="{B7ED59C9-B6F1-47AE-8A90-7ADFDF90D21B}"/>
    <cellStyle name="Normal 5 2 4 2 8" xfId="4806" xr:uid="{00000000-0005-0000-0000-0000FA180000}"/>
    <cellStyle name="Normal 5 2 4 2 8 2" xfId="20922" xr:uid="{79D563FF-CAA9-49BD-98BC-AFF91E9E2D3F}"/>
    <cellStyle name="Normal 5 2 4 2 8 3" xfId="13301" xr:uid="{C874E3BA-0A63-46A9-8490-5358CB0E0019}"/>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23482" xr:uid="{88876403-5560-4392-901B-44BF7353481D}"/>
    <cellStyle name="Normal 5 2 4 3 2 2 2 3" xfId="15861" xr:uid="{4D394CFA-25D0-46C4-B35C-5016FC224FEA}"/>
    <cellStyle name="Normal 5 2 4 3 2 2 3" xfId="19269" xr:uid="{00EB6398-65F0-4368-850F-0C65D64CCC21}"/>
    <cellStyle name="Normal 5 2 4 3 2 2 4" xfId="11648" xr:uid="{5A91A90F-A89F-4987-B9B1-1857BC3DAF83}"/>
    <cellStyle name="Normal 5 2 4 3 2 3" xfId="5221" xr:uid="{00000000-0005-0000-0000-0000FF180000}"/>
    <cellStyle name="Normal 5 2 4 3 2 3 2" xfId="21337" xr:uid="{9F492F37-9C2F-45B8-A92A-F887DB952736}"/>
    <cellStyle name="Normal 5 2 4 3 2 3 3" xfId="13716" xr:uid="{E1406588-5150-49AC-B3CF-B5BD62FDEF67}"/>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23895" xr:uid="{688F380E-75D7-48DC-93EE-DAC8344A7008}"/>
    <cellStyle name="Normal 5 2 4 3 3 2 2 3" xfId="16274" xr:uid="{5D254709-F953-4627-8227-1E52DDCB652D}"/>
    <cellStyle name="Normal 5 2 4 3 3 2 3" xfId="19682" xr:uid="{771CF11B-6290-4CA3-8479-E5BAB8BC1601}"/>
    <cellStyle name="Normal 5 2 4 3 3 2 4" xfId="12061" xr:uid="{CD263819-F24C-4DB6-8D91-58480DBF3F64}"/>
    <cellStyle name="Normal 5 2 4 3 3 3" xfId="5634" xr:uid="{00000000-0005-0000-0000-000003190000}"/>
    <cellStyle name="Normal 5 2 4 3 3 3 2" xfId="21750" xr:uid="{9AD9E706-7A92-42DA-A835-5D6432944E29}"/>
    <cellStyle name="Normal 5 2 4 3 3 3 3" xfId="14129" xr:uid="{137D75EF-5C73-4ED2-9387-BE5F32663F19}"/>
    <cellStyle name="Normal 5 2 4 3 3 4" xfId="17537" xr:uid="{390F4BED-68EE-41D9-B3DE-B51F973DD22C}"/>
    <cellStyle name="Normal 5 2 4 3 3 5" xfId="9916" xr:uid="{3B94A7AE-1333-4AFF-BF93-098893B511EF}"/>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24308" xr:uid="{01B2C14D-17C8-4531-9919-6D09408C99D1}"/>
    <cellStyle name="Normal 5 2 4 3 4 2 2 3" xfId="16687" xr:uid="{B847DDFE-83C1-495A-87F1-82F71EC41CDC}"/>
    <cellStyle name="Normal 5 2 4 3 4 2 3" xfId="20095" xr:uid="{49AD0658-D05A-4D61-9281-571F6355D97B}"/>
    <cellStyle name="Normal 5 2 4 3 4 2 4" xfId="12474" xr:uid="{4E67051A-8A52-487D-9720-CDCA422C2C7A}"/>
    <cellStyle name="Normal 5 2 4 3 4 3" xfId="6047" xr:uid="{00000000-0005-0000-0000-000007190000}"/>
    <cellStyle name="Normal 5 2 4 3 4 3 2" xfId="22163" xr:uid="{8B9C84F9-0277-4878-9C9C-4B1735574849}"/>
    <cellStyle name="Normal 5 2 4 3 4 3 3" xfId="14542" xr:uid="{035D16D5-1DCF-489D-9032-318F973F2327}"/>
    <cellStyle name="Normal 5 2 4 3 4 4" xfId="17950" xr:uid="{E696DE81-36CD-4B05-ACEA-C106D143E2AD}"/>
    <cellStyle name="Normal 5 2 4 3 4 5" xfId="10329" xr:uid="{6A7FA141-3149-4F2E-B563-2FF9BA5644B1}"/>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24721" xr:uid="{A4C8415A-415C-4B7E-8C6D-A7941E621F4C}"/>
    <cellStyle name="Normal 5 2 4 3 5 2 2 3" xfId="17100" xr:uid="{11D1FB1A-B4DE-45F9-9833-7BD72A9D8AE4}"/>
    <cellStyle name="Normal 5 2 4 3 5 2 3" xfId="20508" xr:uid="{D6DCC8D9-8720-4E6F-BA84-E16D4313D88A}"/>
    <cellStyle name="Normal 5 2 4 3 5 2 4" xfId="12887" xr:uid="{C755C2F6-167C-4110-8BA5-AB10E7BADA65}"/>
    <cellStyle name="Normal 5 2 4 3 5 3" xfId="6460" xr:uid="{00000000-0005-0000-0000-00000B190000}"/>
    <cellStyle name="Normal 5 2 4 3 5 3 2" xfId="22576" xr:uid="{32F67811-ADCE-4EDF-8C89-31DE38441AEB}"/>
    <cellStyle name="Normal 5 2 4 3 5 3 3" xfId="14955" xr:uid="{185B660C-0E6A-4312-862D-96872CE4783A}"/>
    <cellStyle name="Normal 5 2 4 3 5 4" xfId="18363" xr:uid="{7C5AE704-1E30-4C04-BECE-0532E8DE7273}"/>
    <cellStyle name="Normal 5 2 4 3 5 5" xfId="10742" xr:uid="{A96A52E0-80B1-4FC4-9249-DAF0A886DD9B}"/>
    <cellStyle name="Normal 5 2 4 3 6" xfId="2590" xr:uid="{00000000-0005-0000-0000-00000C190000}"/>
    <cellStyle name="Normal 5 2 4 3 6 2" xfId="6873" xr:uid="{00000000-0005-0000-0000-00000D190000}"/>
    <cellStyle name="Normal 5 2 4 3 6 2 2" xfId="22989" xr:uid="{157D6236-DDD5-45DB-AA6F-4529DC8E7176}"/>
    <cellStyle name="Normal 5 2 4 3 6 2 3" xfId="15368" xr:uid="{84D6A75C-6DE7-4C39-8B86-BBC288B91209}"/>
    <cellStyle name="Normal 5 2 4 3 6 3" xfId="18776" xr:uid="{0D50B80E-FC5F-4157-AB78-CBD205E4EE76}"/>
    <cellStyle name="Normal 5 2 4 3 6 4" xfId="11155" xr:uid="{E3057F80-1ADB-4671-9291-BF19E3A4E5E2}"/>
    <cellStyle name="Normal 5 2 4 3 7" xfId="4808" xr:uid="{00000000-0005-0000-0000-00000E190000}"/>
    <cellStyle name="Normal 5 2 4 3 7 2" xfId="20924" xr:uid="{B14E3019-D8E8-46CD-B1A7-E224E2E054E4}"/>
    <cellStyle name="Normal 5 2 4 3 7 3" xfId="13303" xr:uid="{96119982-7967-4860-9BD6-EB490A2F7ACD}"/>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2 2 2" xfId="23479" xr:uid="{8662A6EC-8741-4945-A1E0-CF4870098520}"/>
    <cellStyle name="Normal 5 2 4 4 2 2 3" xfId="15858" xr:uid="{723F9C05-C5A7-4388-AE83-BA62CC47245E}"/>
    <cellStyle name="Normal 5 2 4 4 2 3" xfId="19266" xr:uid="{2E71206B-1990-47FB-8ECE-3E03F7DE7695}"/>
    <cellStyle name="Normal 5 2 4 4 2 4" xfId="11645" xr:uid="{19F68959-D116-4D05-B107-4DFA9931E3D0}"/>
    <cellStyle name="Normal 5 2 4 4 3" xfId="5218" xr:uid="{00000000-0005-0000-0000-000012190000}"/>
    <cellStyle name="Normal 5 2 4 4 3 2" xfId="21334" xr:uid="{1E681BFE-1C9B-4294-A60D-7DD68BD3B228}"/>
    <cellStyle name="Normal 5 2 4 4 3 3" xfId="13713" xr:uid="{A3E0834B-D236-4653-94E7-179372C50341}"/>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2 2 2" xfId="23892" xr:uid="{9DEC25E0-9A4D-4825-AA8C-5730F60AFFC2}"/>
    <cellStyle name="Normal 5 2 4 5 2 2 3" xfId="16271" xr:uid="{714A0B7F-1E31-4A79-B6A7-1A7369D0FDB3}"/>
    <cellStyle name="Normal 5 2 4 5 2 3" xfId="19679" xr:uid="{BE8FC0A8-2F4C-4BB0-9849-07F906599235}"/>
    <cellStyle name="Normal 5 2 4 5 2 4" xfId="12058" xr:uid="{A839DBE4-3068-4B55-87DF-59FF22FD2F5E}"/>
    <cellStyle name="Normal 5 2 4 5 3" xfId="5631" xr:uid="{00000000-0005-0000-0000-000016190000}"/>
    <cellStyle name="Normal 5 2 4 5 3 2" xfId="21747" xr:uid="{B4D5D90A-6638-46B9-8AE4-84E1B8A49A2A}"/>
    <cellStyle name="Normal 5 2 4 5 3 3" xfId="14126" xr:uid="{C131D1EE-28D7-43DB-90C0-C6AB01203856}"/>
    <cellStyle name="Normal 5 2 4 5 4" xfId="17534" xr:uid="{D4BCDF04-1FB4-47EA-B024-BF9BAB56B4F3}"/>
    <cellStyle name="Normal 5 2 4 5 5" xfId="9913" xr:uid="{0E71D759-A79A-4BE8-87FF-77830D20061B}"/>
    <cellStyle name="Normal 5 2 4 6" xfId="1737" xr:uid="{00000000-0005-0000-0000-000017190000}"/>
    <cellStyle name="Normal 5 2 4 6 2" xfId="3967" xr:uid="{00000000-0005-0000-0000-000018190000}"/>
    <cellStyle name="Normal 5 2 4 6 2 2" xfId="8189" xr:uid="{00000000-0005-0000-0000-000019190000}"/>
    <cellStyle name="Normal 5 2 4 6 2 2 2" xfId="24305" xr:uid="{F79FDEB2-32B1-4030-BF05-11B4B4C5A0F1}"/>
    <cellStyle name="Normal 5 2 4 6 2 2 3" xfId="16684" xr:uid="{B171C931-31FA-43BF-ABD0-3CE981C6FCE9}"/>
    <cellStyle name="Normal 5 2 4 6 2 3" xfId="20092" xr:uid="{38382175-30CA-4452-A7D1-2298DF121B89}"/>
    <cellStyle name="Normal 5 2 4 6 2 4" xfId="12471" xr:uid="{4B2170BA-48AE-423F-8561-59D120A830EF}"/>
    <cellStyle name="Normal 5 2 4 6 3" xfId="6044" xr:uid="{00000000-0005-0000-0000-00001A190000}"/>
    <cellStyle name="Normal 5 2 4 6 3 2" xfId="22160" xr:uid="{C2186F46-C355-4E1F-A9CD-4114BBAB8944}"/>
    <cellStyle name="Normal 5 2 4 6 3 3" xfId="14539" xr:uid="{ABA298E5-F34C-4C30-99FD-BDABB64B45F2}"/>
    <cellStyle name="Normal 5 2 4 6 4" xfId="17947" xr:uid="{5CD0E01A-8737-437A-852B-FCCC6801D658}"/>
    <cellStyle name="Normal 5 2 4 6 5" xfId="10326" xr:uid="{53329E0B-B162-4878-923B-26E4C07CC6E3}"/>
    <cellStyle name="Normal 5 2 4 7" xfId="2151" xr:uid="{00000000-0005-0000-0000-00001B190000}"/>
    <cellStyle name="Normal 5 2 4 7 2" xfId="4380" xr:uid="{00000000-0005-0000-0000-00001C190000}"/>
    <cellStyle name="Normal 5 2 4 7 2 2" xfId="8602" xr:uid="{00000000-0005-0000-0000-00001D190000}"/>
    <cellStyle name="Normal 5 2 4 7 2 2 2" xfId="24718" xr:uid="{B1C7C445-6953-4955-97D8-155CE4F70E87}"/>
    <cellStyle name="Normal 5 2 4 7 2 2 3" xfId="17097" xr:uid="{1B4FE989-8BD3-432A-9F5E-484F6E170447}"/>
    <cellStyle name="Normal 5 2 4 7 2 3" xfId="20505" xr:uid="{8C927FE8-105A-4E31-9467-56B5CD479604}"/>
    <cellStyle name="Normal 5 2 4 7 2 4" xfId="12884" xr:uid="{BEA360CD-0D3B-451F-AB9B-C2029D56359D}"/>
    <cellStyle name="Normal 5 2 4 7 3" xfId="6457" xr:uid="{00000000-0005-0000-0000-00001E190000}"/>
    <cellStyle name="Normal 5 2 4 7 3 2" xfId="22573" xr:uid="{FD6B113C-FC31-40C5-AC76-54F821339FE8}"/>
    <cellStyle name="Normal 5 2 4 7 3 3" xfId="14952" xr:uid="{C1FC9C20-C78D-48F1-B2A0-AA74AE0504F3}"/>
    <cellStyle name="Normal 5 2 4 7 4" xfId="18360" xr:uid="{9CD47F11-131C-4F67-B9AC-CA609AB503EF}"/>
    <cellStyle name="Normal 5 2 4 7 5" xfId="10739" xr:uid="{8A684101-BAEE-47F1-92B7-6B1E9899CF1C}"/>
    <cellStyle name="Normal 5 2 4 8" xfId="2587" xr:uid="{00000000-0005-0000-0000-00001F190000}"/>
    <cellStyle name="Normal 5 2 4 8 2" xfId="6870" xr:uid="{00000000-0005-0000-0000-000020190000}"/>
    <cellStyle name="Normal 5 2 4 8 2 2" xfId="22986" xr:uid="{EA7AB1B6-7902-481F-8C89-B27D081E1FAC}"/>
    <cellStyle name="Normal 5 2 4 8 2 3" xfId="15365" xr:uid="{589599BC-DAD8-4F89-A5CA-22F29BF1522D}"/>
    <cellStyle name="Normal 5 2 4 8 3" xfId="18773" xr:uid="{557C6897-758A-4818-B1F3-B2F0960EEB29}"/>
    <cellStyle name="Normal 5 2 4 8 4" xfId="11152" xr:uid="{49D94888-E99E-46AE-BC6E-2DE847B4181D}"/>
    <cellStyle name="Normal 5 2 4 9" xfId="4805" xr:uid="{00000000-0005-0000-0000-000021190000}"/>
    <cellStyle name="Normal 5 2 4 9 2" xfId="20921" xr:uid="{3F64A7F2-A789-400A-8265-D1500CB77592}"/>
    <cellStyle name="Normal 5 2 4 9 3" xfId="13300" xr:uid="{741867B5-9F06-4F40-99DD-53F753C3AC42}"/>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23484" xr:uid="{9D4BA7BB-C926-48EF-B095-FF6442AC3F20}"/>
    <cellStyle name="Normal 5 2 5 2 2 2 2 3" xfId="15863" xr:uid="{48B533C9-446C-49BC-B109-0E8D61AC6951}"/>
    <cellStyle name="Normal 5 2 5 2 2 2 3" xfId="19271" xr:uid="{3F59F184-301D-4BE2-A5F9-BE3A891C9C56}"/>
    <cellStyle name="Normal 5 2 5 2 2 2 4" xfId="11650" xr:uid="{92A3283D-8E2F-4874-BF67-C51DBB3F5478}"/>
    <cellStyle name="Normal 5 2 5 2 2 3" xfId="5223" xr:uid="{00000000-0005-0000-0000-000027190000}"/>
    <cellStyle name="Normal 5 2 5 2 2 3 2" xfId="21339" xr:uid="{20DFF094-ADD1-4754-BE00-B907CD6CACB7}"/>
    <cellStyle name="Normal 5 2 5 2 2 3 3" xfId="13718" xr:uid="{FCDA6051-5A80-4E1F-A277-E53574A98CF1}"/>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23897" xr:uid="{4848D075-BBE4-4892-A0A2-31C11807930A}"/>
    <cellStyle name="Normal 5 2 5 2 3 2 2 3" xfId="16276" xr:uid="{997C5623-9350-4646-A793-AA93B151EEAA}"/>
    <cellStyle name="Normal 5 2 5 2 3 2 3" xfId="19684" xr:uid="{E04ED26E-C4C3-4492-A7CF-FD792D17FA02}"/>
    <cellStyle name="Normal 5 2 5 2 3 2 4" xfId="12063" xr:uid="{04E2ABD5-1D0B-410F-AC5F-DF542CC72607}"/>
    <cellStyle name="Normal 5 2 5 2 3 3" xfId="5636" xr:uid="{00000000-0005-0000-0000-00002B190000}"/>
    <cellStyle name="Normal 5 2 5 2 3 3 2" xfId="21752" xr:uid="{1BC388B6-72EA-4A40-9517-579CF475F792}"/>
    <cellStyle name="Normal 5 2 5 2 3 3 3" xfId="14131" xr:uid="{423124FE-0052-4607-B50C-CCFC7C995242}"/>
    <cellStyle name="Normal 5 2 5 2 3 4" xfId="17539" xr:uid="{EFFF0D19-47D1-4389-B7FA-68F06181082B}"/>
    <cellStyle name="Normal 5 2 5 2 3 5" xfId="9918" xr:uid="{C76870CB-BE4F-4829-B4E3-DEFA0B1E8FB7}"/>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24310" xr:uid="{1B3E8B54-359F-40A0-944E-E4517666C325}"/>
    <cellStyle name="Normal 5 2 5 2 4 2 2 3" xfId="16689" xr:uid="{F05FC2A0-A1F1-42C9-807C-DDE8FE7E6091}"/>
    <cellStyle name="Normal 5 2 5 2 4 2 3" xfId="20097" xr:uid="{24180C93-B19F-4DA8-BC52-FCBAC5BA0902}"/>
    <cellStyle name="Normal 5 2 5 2 4 2 4" xfId="12476" xr:uid="{97A44B1C-C7DA-4D66-ABFE-6C554F204DE4}"/>
    <cellStyle name="Normal 5 2 5 2 4 3" xfId="6049" xr:uid="{00000000-0005-0000-0000-00002F190000}"/>
    <cellStyle name="Normal 5 2 5 2 4 3 2" xfId="22165" xr:uid="{D0B9EE1F-8F72-49C1-87DC-05D9D3F301F6}"/>
    <cellStyle name="Normal 5 2 5 2 4 3 3" xfId="14544" xr:uid="{DADF5537-AE94-4C8A-912A-2FFF2864EF94}"/>
    <cellStyle name="Normal 5 2 5 2 4 4" xfId="17952" xr:uid="{3E01A5EE-AF6A-4EE3-832E-28548FD52538}"/>
    <cellStyle name="Normal 5 2 5 2 4 5" xfId="10331" xr:uid="{160FC70C-E23F-49F2-A62C-AA8F2291D932}"/>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24723" xr:uid="{E80DE80D-0E69-4F7E-A671-094AB19CB5D4}"/>
    <cellStyle name="Normal 5 2 5 2 5 2 2 3" xfId="17102" xr:uid="{3CD7E021-1CA3-4B5E-A4FA-E96AC7D5E949}"/>
    <cellStyle name="Normal 5 2 5 2 5 2 3" xfId="20510" xr:uid="{89154757-7FCE-4599-B456-3A5D98839CAC}"/>
    <cellStyle name="Normal 5 2 5 2 5 2 4" xfId="12889" xr:uid="{5B52BA9C-4AFB-4F8C-8E8E-A4B12E7E0373}"/>
    <cellStyle name="Normal 5 2 5 2 5 3" xfId="6462" xr:uid="{00000000-0005-0000-0000-000033190000}"/>
    <cellStyle name="Normal 5 2 5 2 5 3 2" xfId="22578" xr:uid="{C926D49C-ACA9-4AAF-8908-BB9974D2C8BA}"/>
    <cellStyle name="Normal 5 2 5 2 5 3 3" xfId="14957" xr:uid="{50A0CA15-6E24-446F-95AC-229137D3D953}"/>
    <cellStyle name="Normal 5 2 5 2 5 4" xfId="18365" xr:uid="{B620977B-B574-4F9A-B935-B51DF84D0708}"/>
    <cellStyle name="Normal 5 2 5 2 5 5" xfId="10744" xr:uid="{8A93B801-126A-494A-A2E2-6644FC927EF9}"/>
    <cellStyle name="Normal 5 2 5 2 6" xfId="2592" xr:uid="{00000000-0005-0000-0000-000034190000}"/>
    <cellStyle name="Normal 5 2 5 2 6 2" xfId="6875" xr:uid="{00000000-0005-0000-0000-000035190000}"/>
    <cellStyle name="Normal 5 2 5 2 6 2 2" xfId="22991" xr:uid="{26A9D21E-DCAF-4FEE-99FA-B62B0111ED4D}"/>
    <cellStyle name="Normal 5 2 5 2 6 2 3" xfId="15370" xr:uid="{CDF966DA-F9DC-4A71-ADD6-BDCEB41A7A66}"/>
    <cellStyle name="Normal 5 2 5 2 6 3" xfId="18778" xr:uid="{EB958EC1-584B-492C-9145-E73B16A0C922}"/>
    <cellStyle name="Normal 5 2 5 2 6 4" xfId="11157" xr:uid="{B523D01F-61E4-4968-9337-52B1099D13F6}"/>
    <cellStyle name="Normal 5 2 5 2 7" xfId="4810" xr:uid="{00000000-0005-0000-0000-000036190000}"/>
    <cellStyle name="Normal 5 2 5 2 7 2" xfId="20926" xr:uid="{F415D936-BD3C-499B-B3C1-44AE9E2CA158}"/>
    <cellStyle name="Normal 5 2 5 2 7 3" xfId="13305" xr:uid="{8B106972-4443-4130-8302-FFDA05652CEA}"/>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2 2 2" xfId="23483" xr:uid="{13A3D5C7-C235-4A5D-AF55-76E7D4187EAB}"/>
    <cellStyle name="Normal 5 2 5 3 2 2 3" xfId="15862" xr:uid="{B0E6627A-4FE4-47DE-9C89-92EA64855D3B}"/>
    <cellStyle name="Normal 5 2 5 3 2 3" xfId="19270" xr:uid="{BD25FAD5-2E18-4723-8E38-DF6A629591E3}"/>
    <cellStyle name="Normal 5 2 5 3 2 4" xfId="11649" xr:uid="{8B70ADB6-5A70-4869-9273-8E8B3E7CD221}"/>
    <cellStyle name="Normal 5 2 5 3 3" xfId="5222" xr:uid="{00000000-0005-0000-0000-00003A190000}"/>
    <cellStyle name="Normal 5 2 5 3 3 2" xfId="21338" xr:uid="{E4905846-592B-4F11-B7F9-0134304834AA}"/>
    <cellStyle name="Normal 5 2 5 3 3 3" xfId="13717" xr:uid="{2FF44C16-5D99-41F1-997F-2AAA7311FFB1}"/>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2 2 2" xfId="23896" xr:uid="{AB601AB9-6672-4D14-965D-CF040F9525EF}"/>
    <cellStyle name="Normal 5 2 5 4 2 2 3" xfId="16275" xr:uid="{CBF3C71A-129C-4A01-B633-7E0774AA1CA9}"/>
    <cellStyle name="Normal 5 2 5 4 2 3" xfId="19683" xr:uid="{684EBDD1-37E9-4C0E-9B7C-C759FD100B70}"/>
    <cellStyle name="Normal 5 2 5 4 2 4" xfId="12062" xr:uid="{F9990759-D26D-45B6-A280-7196F6C16560}"/>
    <cellStyle name="Normal 5 2 5 4 3" xfId="5635" xr:uid="{00000000-0005-0000-0000-00003E190000}"/>
    <cellStyle name="Normal 5 2 5 4 3 2" xfId="21751" xr:uid="{B73B4613-F5EA-46C6-9696-CA6C3EBA492F}"/>
    <cellStyle name="Normal 5 2 5 4 3 3" xfId="14130" xr:uid="{8F8BFE99-5C80-4428-A357-6A28EF625460}"/>
    <cellStyle name="Normal 5 2 5 4 4" xfId="17538" xr:uid="{BBD9BE7A-F293-4B54-9021-E8B37E41F397}"/>
    <cellStyle name="Normal 5 2 5 4 5" xfId="9917" xr:uid="{B325E794-2026-4B06-BDE1-76E3824E90DE}"/>
    <cellStyle name="Normal 5 2 5 5" xfId="1741" xr:uid="{00000000-0005-0000-0000-00003F190000}"/>
    <cellStyle name="Normal 5 2 5 5 2" xfId="3971" xr:uid="{00000000-0005-0000-0000-000040190000}"/>
    <cellStyle name="Normal 5 2 5 5 2 2" xfId="8193" xr:uid="{00000000-0005-0000-0000-000041190000}"/>
    <cellStyle name="Normal 5 2 5 5 2 2 2" xfId="24309" xr:uid="{D8CFD1E3-5ABC-4206-8B40-7BB1B7E4B788}"/>
    <cellStyle name="Normal 5 2 5 5 2 2 3" xfId="16688" xr:uid="{9AE7F2D0-3E54-498B-82E6-D4AC71D76123}"/>
    <cellStyle name="Normal 5 2 5 5 2 3" xfId="20096" xr:uid="{4F8A2456-4465-4871-BF3D-7F8C8AAC1A53}"/>
    <cellStyle name="Normal 5 2 5 5 2 4" xfId="12475" xr:uid="{939A9DB4-0A6A-4331-B9FB-9F7986184C10}"/>
    <cellStyle name="Normal 5 2 5 5 3" xfId="6048" xr:uid="{00000000-0005-0000-0000-000042190000}"/>
    <cellStyle name="Normal 5 2 5 5 3 2" xfId="22164" xr:uid="{A8DD5458-4F0B-4C09-9727-2CDCA797ABAA}"/>
    <cellStyle name="Normal 5 2 5 5 3 3" xfId="14543" xr:uid="{21403729-8D04-460A-BDF4-C20FD931AB55}"/>
    <cellStyle name="Normal 5 2 5 5 4" xfId="17951" xr:uid="{5E121995-956B-4793-90C8-B52A9D44CA91}"/>
    <cellStyle name="Normal 5 2 5 5 5" xfId="10330" xr:uid="{50522DA4-FFC9-4A6A-ACD7-59C8DC992882}"/>
    <cellStyle name="Normal 5 2 5 6" xfId="2155" xr:uid="{00000000-0005-0000-0000-000043190000}"/>
    <cellStyle name="Normal 5 2 5 6 2" xfId="4384" xr:uid="{00000000-0005-0000-0000-000044190000}"/>
    <cellStyle name="Normal 5 2 5 6 2 2" xfId="8606" xr:uid="{00000000-0005-0000-0000-000045190000}"/>
    <cellStyle name="Normal 5 2 5 6 2 2 2" xfId="24722" xr:uid="{832039A3-1F2E-48CA-B9B8-2DA055E88BF8}"/>
    <cellStyle name="Normal 5 2 5 6 2 2 3" xfId="17101" xr:uid="{B9333762-4063-4288-A620-419A67F59806}"/>
    <cellStyle name="Normal 5 2 5 6 2 3" xfId="20509" xr:uid="{F64D7BD3-B61B-4056-88A1-A0E03C2D4A8E}"/>
    <cellStyle name="Normal 5 2 5 6 2 4" xfId="12888" xr:uid="{10285D91-E973-408D-B580-0ABA099E97EA}"/>
    <cellStyle name="Normal 5 2 5 6 3" xfId="6461" xr:uid="{00000000-0005-0000-0000-000046190000}"/>
    <cellStyle name="Normal 5 2 5 6 3 2" xfId="22577" xr:uid="{CB2F5970-B809-4BB4-9EB0-D36B59D3CC3E}"/>
    <cellStyle name="Normal 5 2 5 6 3 3" xfId="14956" xr:uid="{D07095D3-FAEF-4BC6-9313-3F5F3F2C256D}"/>
    <cellStyle name="Normal 5 2 5 6 4" xfId="18364" xr:uid="{F453BBDA-B130-4AF1-944B-10158D8CF9C1}"/>
    <cellStyle name="Normal 5 2 5 6 5" xfId="10743" xr:uid="{E5EDC0E4-F070-4E2F-87E8-9DB9B5E81B68}"/>
    <cellStyle name="Normal 5 2 5 7" xfId="2591" xr:uid="{00000000-0005-0000-0000-000047190000}"/>
    <cellStyle name="Normal 5 2 5 7 2" xfId="6874" xr:uid="{00000000-0005-0000-0000-000048190000}"/>
    <cellStyle name="Normal 5 2 5 7 2 2" xfId="22990" xr:uid="{B5AC6195-743F-4147-8221-1B14C8D4260B}"/>
    <cellStyle name="Normal 5 2 5 7 2 3" xfId="15369" xr:uid="{DF9000F5-1CED-4725-BE14-73E7E69C12AC}"/>
    <cellStyle name="Normal 5 2 5 7 3" xfId="18777" xr:uid="{E1B9A634-1B05-4E89-A332-8C9560165742}"/>
    <cellStyle name="Normal 5 2 5 7 4" xfId="11156" xr:uid="{252B4635-EDFF-4E8A-82B7-D54551D1282F}"/>
    <cellStyle name="Normal 5 2 5 8" xfId="4809" xr:uid="{00000000-0005-0000-0000-000049190000}"/>
    <cellStyle name="Normal 5 2 5 8 2" xfId="20925" xr:uid="{4C7A4842-A962-4D2A-A7D2-E6B3D4F51BA8}"/>
    <cellStyle name="Normal 5 2 5 8 3" xfId="13304" xr:uid="{C374919B-BCDE-4E6C-84C9-68804033EFCF}"/>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23485" xr:uid="{910BD223-2628-4B64-A7A9-A6A6D86E63D0}"/>
    <cellStyle name="Normal 5 2 6 2 2 2 3" xfId="15864" xr:uid="{4B97211A-276F-4FB5-96BE-8402D4FF5AD2}"/>
    <cellStyle name="Normal 5 2 6 2 2 3" xfId="19272" xr:uid="{184E54CF-7D68-4B6D-BE60-1A6CC736ADA7}"/>
    <cellStyle name="Normal 5 2 6 2 2 4" xfId="11651" xr:uid="{145B192B-23AA-43C8-ACA5-C4AEC207A49A}"/>
    <cellStyle name="Normal 5 2 6 2 3" xfId="5224" xr:uid="{00000000-0005-0000-0000-00004E190000}"/>
    <cellStyle name="Normal 5 2 6 2 3 2" xfId="21340" xr:uid="{6CB96C9D-A569-4D5F-8FD8-EE559D53393E}"/>
    <cellStyle name="Normal 5 2 6 2 3 3" xfId="13719" xr:uid="{D7C8B9D8-6B32-4C41-97AD-8FB02A1DADAA}"/>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2 2 2" xfId="23898" xr:uid="{91438ADC-C127-4F7F-A7B1-18F5C1D00A6B}"/>
    <cellStyle name="Normal 5 2 6 3 2 2 3" xfId="16277" xr:uid="{72B3B30E-706C-4A85-A9CA-FD69A12E7137}"/>
    <cellStyle name="Normal 5 2 6 3 2 3" xfId="19685" xr:uid="{C0C2D546-1E04-4E60-B979-C82E340802CD}"/>
    <cellStyle name="Normal 5 2 6 3 2 4" xfId="12064" xr:uid="{F5023968-0CAF-4412-94AC-D90FE52E0225}"/>
    <cellStyle name="Normal 5 2 6 3 3" xfId="5637" xr:uid="{00000000-0005-0000-0000-000052190000}"/>
    <cellStyle name="Normal 5 2 6 3 3 2" xfId="21753" xr:uid="{78E2A07F-1DC1-4F52-A2F5-8FF94AF38A2C}"/>
    <cellStyle name="Normal 5 2 6 3 3 3" xfId="14132" xr:uid="{37039C69-4FBD-4937-871C-D3E4B1E36CC7}"/>
    <cellStyle name="Normal 5 2 6 3 4" xfId="17540" xr:uid="{2D2C6B80-96D8-4EDD-A120-A7BF46A67865}"/>
    <cellStyle name="Normal 5 2 6 3 5" xfId="9919" xr:uid="{80A6FF61-8B19-4268-8EE3-398B954F7FA3}"/>
    <cellStyle name="Normal 5 2 6 4" xfId="1743" xr:uid="{00000000-0005-0000-0000-000053190000}"/>
    <cellStyle name="Normal 5 2 6 4 2" xfId="3973" xr:uid="{00000000-0005-0000-0000-000054190000}"/>
    <cellStyle name="Normal 5 2 6 4 2 2" xfId="8195" xr:uid="{00000000-0005-0000-0000-000055190000}"/>
    <cellStyle name="Normal 5 2 6 4 2 2 2" xfId="24311" xr:uid="{36EB03B9-B60E-4184-8516-13DB1DA5FC1E}"/>
    <cellStyle name="Normal 5 2 6 4 2 2 3" xfId="16690" xr:uid="{F79A5155-BF8D-4A46-8429-641A9FFF8EA6}"/>
    <cellStyle name="Normal 5 2 6 4 2 3" xfId="20098" xr:uid="{9A126993-6EEC-40E5-AE46-DBF7F648D203}"/>
    <cellStyle name="Normal 5 2 6 4 2 4" xfId="12477" xr:uid="{B3361F5D-C77E-4A3C-BCA0-ADDA1AA95313}"/>
    <cellStyle name="Normal 5 2 6 4 3" xfId="6050" xr:uid="{00000000-0005-0000-0000-000056190000}"/>
    <cellStyle name="Normal 5 2 6 4 3 2" xfId="22166" xr:uid="{EE5520BD-BB4B-4E83-B10F-BBC5DEBDE09E}"/>
    <cellStyle name="Normal 5 2 6 4 3 3" xfId="14545" xr:uid="{C48CCF26-385B-42B8-A527-3C3197CF7C51}"/>
    <cellStyle name="Normal 5 2 6 4 4" xfId="17953" xr:uid="{AF47036D-677C-41C3-B15E-0D8F14C3311C}"/>
    <cellStyle name="Normal 5 2 6 4 5" xfId="10332" xr:uid="{A44783B5-5F77-4BF1-90B0-6239AA533530}"/>
    <cellStyle name="Normal 5 2 6 5" xfId="2157" xr:uid="{00000000-0005-0000-0000-000057190000}"/>
    <cellStyle name="Normal 5 2 6 5 2" xfId="4386" xr:uid="{00000000-0005-0000-0000-000058190000}"/>
    <cellStyle name="Normal 5 2 6 5 2 2" xfId="8608" xr:uid="{00000000-0005-0000-0000-000059190000}"/>
    <cellStyle name="Normal 5 2 6 5 2 2 2" xfId="24724" xr:uid="{6A794C2D-0E4D-41AB-B738-FDA9C1EAA011}"/>
    <cellStyle name="Normal 5 2 6 5 2 2 3" xfId="17103" xr:uid="{6489A507-2513-4704-A7DA-0DE62E432FD5}"/>
    <cellStyle name="Normal 5 2 6 5 2 3" xfId="20511" xr:uid="{77A7CE46-7B4E-443E-8FED-369692246F57}"/>
    <cellStyle name="Normal 5 2 6 5 2 4" xfId="12890" xr:uid="{5AE39371-5E3A-47BC-A867-A382A15D8FCB}"/>
    <cellStyle name="Normal 5 2 6 5 3" xfId="6463" xr:uid="{00000000-0005-0000-0000-00005A190000}"/>
    <cellStyle name="Normal 5 2 6 5 3 2" xfId="22579" xr:uid="{871BAACE-BB0F-4A4B-B176-ED90096A6276}"/>
    <cellStyle name="Normal 5 2 6 5 3 3" xfId="14958" xr:uid="{015F7F95-0556-4AAE-8008-455A9865A146}"/>
    <cellStyle name="Normal 5 2 6 5 4" xfId="18366" xr:uid="{48F53E8C-B444-486F-B0D2-D827598BF47A}"/>
    <cellStyle name="Normal 5 2 6 5 5" xfId="10745" xr:uid="{DB6F01E5-03C7-467A-962F-89F0D45088AD}"/>
    <cellStyle name="Normal 5 2 6 6" xfId="2593" xr:uid="{00000000-0005-0000-0000-00005B190000}"/>
    <cellStyle name="Normal 5 2 6 6 2" xfId="6876" xr:uid="{00000000-0005-0000-0000-00005C190000}"/>
    <cellStyle name="Normal 5 2 6 6 2 2" xfId="22992" xr:uid="{025F993B-D5BC-4D91-A2AF-EA44A2861106}"/>
    <cellStyle name="Normal 5 2 6 6 2 3" xfId="15371" xr:uid="{A9CD163C-F1A0-45F4-AEB1-8710D0D1BA89}"/>
    <cellStyle name="Normal 5 2 6 6 3" xfId="18779" xr:uid="{A39689AD-51A9-49AA-A279-A38BC84E5DE0}"/>
    <cellStyle name="Normal 5 2 6 6 4" xfId="11158" xr:uid="{24BA2A71-552A-41C8-9DD9-0B18AEF3EBE3}"/>
    <cellStyle name="Normal 5 2 6 7" xfId="4811" xr:uid="{00000000-0005-0000-0000-00005D190000}"/>
    <cellStyle name="Normal 5 2 6 7 2" xfId="20927" xr:uid="{707B0C6C-789E-48F7-8D7C-375FA4CFAC1F}"/>
    <cellStyle name="Normal 5 2 6 7 3" xfId="13306" xr:uid="{ED892620-40CA-4F54-97D5-9B0519BF978F}"/>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2 2 2" xfId="23454" xr:uid="{13C50176-A84C-4760-84AA-6DECE25403F9}"/>
    <cellStyle name="Normal 5 2 7 2 2 3" xfId="15833" xr:uid="{6B736971-C02F-4D8D-934B-09802BEFB532}"/>
    <cellStyle name="Normal 5 2 7 2 3" xfId="19241" xr:uid="{F2CCA5C5-3EFF-4DD8-B9DB-72FFCE05675E}"/>
    <cellStyle name="Normal 5 2 7 2 4" xfId="11620" xr:uid="{3DA3B571-DAD4-4EFF-A7DA-C716EB936181}"/>
    <cellStyle name="Normal 5 2 7 3" xfId="5193" xr:uid="{00000000-0005-0000-0000-000061190000}"/>
    <cellStyle name="Normal 5 2 7 3 2" xfId="21309" xr:uid="{16B6BAA5-3C65-4F1F-9B82-47D6E72D77B0}"/>
    <cellStyle name="Normal 5 2 7 3 3" xfId="13688" xr:uid="{C721E9A4-67D8-48AD-A91B-9E7AA10D957D}"/>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2 2 2" xfId="23867" xr:uid="{AC167D8C-6A1D-4A9C-82E8-37503E6156EB}"/>
    <cellStyle name="Normal 5 2 8 2 2 3" xfId="16246" xr:uid="{D042E00B-F178-4067-94F1-B296A3ECA057}"/>
    <cellStyle name="Normal 5 2 8 2 3" xfId="19654" xr:uid="{45746E39-A0F7-4718-9CE0-2F7EEA8C62A9}"/>
    <cellStyle name="Normal 5 2 8 2 4" xfId="12033" xr:uid="{16BE04BF-D7FA-4498-AF82-F0FE14DD2926}"/>
    <cellStyle name="Normal 5 2 8 3" xfId="5606" xr:uid="{00000000-0005-0000-0000-000065190000}"/>
    <cellStyle name="Normal 5 2 8 3 2" xfId="21722" xr:uid="{DA4121CC-9D23-425F-B1E0-DCF70D756EC9}"/>
    <cellStyle name="Normal 5 2 8 3 3" xfId="14101" xr:uid="{C96783CE-FB5D-4A92-9D12-846BABED358B}"/>
    <cellStyle name="Normal 5 2 8 4" xfId="17509" xr:uid="{7225F383-880B-48FE-B579-8D77576C0EE9}"/>
    <cellStyle name="Normal 5 2 8 5" xfId="9888" xr:uid="{2C60D419-7D39-4083-B680-16BABA286E9B}"/>
    <cellStyle name="Normal 5 2 9" xfId="1712" xr:uid="{00000000-0005-0000-0000-000066190000}"/>
    <cellStyle name="Normal 5 2 9 2" xfId="3942" xr:uid="{00000000-0005-0000-0000-000067190000}"/>
    <cellStyle name="Normal 5 2 9 2 2" xfId="8164" xr:uid="{00000000-0005-0000-0000-000068190000}"/>
    <cellStyle name="Normal 5 2 9 2 2 2" xfId="24280" xr:uid="{4A244A1B-024D-41CF-BA7C-1258E9B0CFA7}"/>
    <cellStyle name="Normal 5 2 9 2 2 3" xfId="16659" xr:uid="{591945E5-1520-4FAA-ACF0-5965FCB2B2E2}"/>
    <cellStyle name="Normal 5 2 9 2 3" xfId="20067" xr:uid="{95F00162-92FB-41AA-A5E9-4C0BE220CD6D}"/>
    <cellStyle name="Normal 5 2 9 2 4" xfId="12446" xr:uid="{A6E07824-0BEA-475D-B030-8E3536FFB955}"/>
    <cellStyle name="Normal 5 2 9 3" xfId="6019" xr:uid="{00000000-0005-0000-0000-000069190000}"/>
    <cellStyle name="Normal 5 2 9 3 2" xfId="22135" xr:uid="{3A21C9E0-7B1A-47CB-BD15-0434E4D85175}"/>
    <cellStyle name="Normal 5 2 9 3 3" xfId="14514" xr:uid="{77D81AFB-41A3-4FD3-8EC2-07D80E7038A8}"/>
    <cellStyle name="Normal 5 2 9 4" xfId="17922" xr:uid="{7535816C-2FAA-44E6-809F-B24E3B86AC93}"/>
    <cellStyle name="Normal 5 2 9 5" xfId="10301" xr:uid="{6BB3A749-FCEE-4B02-A2CA-1914FDE03F96}"/>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24725" xr:uid="{C42806C5-FC56-4CA4-8F89-8631223955BB}"/>
    <cellStyle name="Normal 5 3 10 2 2 3" xfId="17104" xr:uid="{F3981C3D-6462-4819-BC84-6438CA0BCD47}"/>
    <cellStyle name="Normal 5 3 10 2 3" xfId="20512" xr:uid="{8FBEFB74-A7F0-4963-B408-C9057C9DD9EC}"/>
    <cellStyle name="Normal 5 3 10 2 4" xfId="12891" xr:uid="{039CFBC5-33B4-4418-BE2E-A50AFB792C60}"/>
    <cellStyle name="Normal 5 3 10 3" xfId="6464" xr:uid="{00000000-0005-0000-0000-00006E190000}"/>
    <cellStyle name="Normal 5 3 10 3 2" xfId="22580" xr:uid="{31ADCAED-5CEB-4A04-8995-BADB3BEA62A3}"/>
    <cellStyle name="Normal 5 3 10 3 3" xfId="14959" xr:uid="{AE8E6F2A-6190-4FBD-81BF-CB147CB0596C}"/>
    <cellStyle name="Normal 5 3 10 4" xfId="18367" xr:uid="{F8CC809B-14B5-4BC3-A368-93540041A22C}"/>
    <cellStyle name="Normal 5 3 10 5" xfId="10746" xr:uid="{F03CE015-B2D4-47C1-BE3E-8C8E8355048A}"/>
    <cellStyle name="Normal 5 3 11" xfId="2594" xr:uid="{00000000-0005-0000-0000-00006F190000}"/>
    <cellStyle name="Normal 5 3 11 2" xfId="6877" xr:uid="{00000000-0005-0000-0000-000070190000}"/>
    <cellStyle name="Normal 5 3 11 2 2" xfId="22993" xr:uid="{4B23E728-313E-473E-9582-0D840B5E5BBB}"/>
    <cellStyle name="Normal 5 3 11 2 3" xfId="15372" xr:uid="{22F4E218-F177-4024-99FD-995B9A505DC3}"/>
    <cellStyle name="Normal 5 3 11 3" xfId="18780" xr:uid="{78C814D5-121E-4237-B703-4DBDC69AD8CE}"/>
    <cellStyle name="Normal 5 3 11 4" xfId="11159" xr:uid="{60E801F9-05DC-4C1F-9178-B308B8B44BEF}"/>
    <cellStyle name="Normal 5 3 12" xfId="4812" xr:uid="{00000000-0005-0000-0000-000071190000}"/>
    <cellStyle name="Normal 5 3 12 2" xfId="20928" xr:uid="{7994ED7A-4195-4EB3-8E7B-990E5B5DC500}"/>
    <cellStyle name="Normal 5 3 12 3" xfId="13307" xr:uid="{AE0AACFC-CD0A-4DC9-9B54-FBFD982DCE7F}"/>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20929" xr:uid="{4D961442-81C0-49CF-9B51-BFC439FA9BB7}"/>
    <cellStyle name="Normal 5 3 3 10 3" xfId="13308" xr:uid="{9AC51946-A711-47B8-BFA4-128ACB8E4B08}"/>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23490" xr:uid="{A178BF95-B82A-4741-B662-6035EA008B1F}"/>
    <cellStyle name="Normal 5 3 3 2 2 2 2 2 2 3" xfId="15869" xr:uid="{E2E691A0-F079-476C-ADFE-BD7367E4C006}"/>
    <cellStyle name="Normal 5 3 3 2 2 2 2 2 3" xfId="19277" xr:uid="{77923108-E46F-4355-988D-FE47C0469794}"/>
    <cellStyle name="Normal 5 3 3 2 2 2 2 2 4" xfId="11656" xr:uid="{DB8A028E-3E51-40B0-92E2-950F8159A4CF}"/>
    <cellStyle name="Normal 5 3 3 2 2 2 2 3" xfId="5229" xr:uid="{00000000-0005-0000-0000-00007C190000}"/>
    <cellStyle name="Normal 5 3 3 2 2 2 2 3 2" xfId="21345" xr:uid="{797C2D92-5B00-4FDB-BE0B-B259FA61463E}"/>
    <cellStyle name="Normal 5 3 3 2 2 2 2 3 3" xfId="13724" xr:uid="{2C68B16C-1F4D-4101-A5CB-83519DA406B9}"/>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23903" xr:uid="{4E7202C6-1C80-4B14-9801-B1DC723B4D8A}"/>
    <cellStyle name="Normal 5 3 3 2 2 2 3 2 2 3" xfId="16282" xr:uid="{C8A67D34-4AF8-4817-8E65-195C9C6CEE62}"/>
    <cellStyle name="Normal 5 3 3 2 2 2 3 2 3" xfId="19690" xr:uid="{83D768E3-E742-479C-9768-1EE1E86B7B82}"/>
    <cellStyle name="Normal 5 3 3 2 2 2 3 2 4" xfId="12069" xr:uid="{073BADE2-CBA5-4858-8DBF-04BB28404435}"/>
    <cellStyle name="Normal 5 3 3 2 2 2 3 3" xfId="5642" xr:uid="{00000000-0005-0000-0000-000080190000}"/>
    <cellStyle name="Normal 5 3 3 2 2 2 3 3 2" xfId="21758" xr:uid="{8C473DC5-2559-49C4-972F-EECAE184B1E0}"/>
    <cellStyle name="Normal 5 3 3 2 2 2 3 3 3" xfId="14137" xr:uid="{A6BC6F17-B67E-459E-B77F-87CF3AD44E26}"/>
    <cellStyle name="Normal 5 3 3 2 2 2 3 4" xfId="17545" xr:uid="{7EA0C834-56EE-4116-8903-FB93FC953F85}"/>
    <cellStyle name="Normal 5 3 3 2 2 2 3 5" xfId="9924" xr:uid="{0F1B770D-58CA-4A2C-AD4B-E0D707D7ED83}"/>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24316" xr:uid="{6DE122C0-701D-4FCB-B792-FD0B21430C36}"/>
    <cellStyle name="Normal 5 3 3 2 2 2 4 2 2 3" xfId="16695" xr:uid="{3692D52A-9794-4549-B921-631B875C5E95}"/>
    <cellStyle name="Normal 5 3 3 2 2 2 4 2 3" xfId="20103" xr:uid="{888526E4-64AA-4683-970F-006D8A4FA30E}"/>
    <cellStyle name="Normal 5 3 3 2 2 2 4 2 4" xfId="12482" xr:uid="{23B93F9A-A479-4186-A852-E8515F878ED4}"/>
    <cellStyle name="Normal 5 3 3 2 2 2 4 3" xfId="6055" xr:uid="{00000000-0005-0000-0000-000084190000}"/>
    <cellStyle name="Normal 5 3 3 2 2 2 4 3 2" xfId="22171" xr:uid="{81475D8F-3CE8-4A1E-8E6D-DCA8AD85393A}"/>
    <cellStyle name="Normal 5 3 3 2 2 2 4 3 3" xfId="14550" xr:uid="{F26C140C-0F53-46D2-BB14-8BD856E0F3C6}"/>
    <cellStyle name="Normal 5 3 3 2 2 2 4 4" xfId="17958" xr:uid="{01749947-065F-43C8-B66F-242BCFFA42DE}"/>
    <cellStyle name="Normal 5 3 3 2 2 2 4 5" xfId="10337" xr:uid="{EEF9939D-894D-4B2B-8105-61852E109447}"/>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24729" xr:uid="{983F0F67-2222-4DFA-B9DB-BDBA3037EE3B}"/>
    <cellStyle name="Normal 5 3 3 2 2 2 5 2 2 3" xfId="17108" xr:uid="{F5AFFD93-0323-4714-AFF8-63C29E50D8EF}"/>
    <cellStyle name="Normal 5 3 3 2 2 2 5 2 3" xfId="20516" xr:uid="{93478573-F21C-48B9-B4A7-4637B1AA9E09}"/>
    <cellStyle name="Normal 5 3 3 2 2 2 5 2 4" xfId="12895" xr:uid="{B0ACEF83-E07E-458D-8BF0-47DBC310025E}"/>
    <cellStyle name="Normal 5 3 3 2 2 2 5 3" xfId="6468" xr:uid="{00000000-0005-0000-0000-000088190000}"/>
    <cellStyle name="Normal 5 3 3 2 2 2 5 3 2" xfId="22584" xr:uid="{DB2EDFD6-1F3B-43EF-A476-C2F889A04864}"/>
    <cellStyle name="Normal 5 3 3 2 2 2 5 3 3" xfId="14963" xr:uid="{26893520-50A8-4167-91FB-9B210A31FB32}"/>
    <cellStyle name="Normal 5 3 3 2 2 2 5 4" xfId="18371" xr:uid="{02ED06C0-A663-45D2-9D50-FA15B3866413}"/>
    <cellStyle name="Normal 5 3 3 2 2 2 5 5" xfId="10750" xr:uid="{166DF846-E574-4787-8D77-C0489490A8EF}"/>
    <cellStyle name="Normal 5 3 3 2 2 2 6" xfId="2598" xr:uid="{00000000-0005-0000-0000-000089190000}"/>
    <cellStyle name="Normal 5 3 3 2 2 2 6 2" xfId="6881" xr:uid="{00000000-0005-0000-0000-00008A190000}"/>
    <cellStyle name="Normal 5 3 3 2 2 2 6 2 2" xfId="22997" xr:uid="{97192FEE-1372-42F2-9932-1EFCDAF89B52}"/>
    <cellStyle name="Normal 5 3 3 2 2 2 6 2 3" xfId="15376" xr:uid="{0A493D59-5F34-487E-854E-30463FF213D4}"/>
    <cellStyle name="Normal 5 3 3 2 2 2 6 3" xfId="18784" xr:uid="{1B4DC230-C906-4FE3-A4B3-FC4CC9FF0325}"/>
    <cellStyle name="Normal 5 3 3 2 2 2 6 4" xfId="11163" xr:uid="{37F1490C-AA8C-4EFE-8349-64A7A86B84C8}"/>
    <cellStyle name="Normal 5 3 3 2 2 2 7" xfId="4816" xr:uid="{00000000-0005-0000-0000-00008B190000}"/>
    <cellStyle name="Normal 5 3 3 2 2 2 7 2" xfId="20932" xr:uid="{B24E0BB8-9D7D-455E-986D-1DF7C2114106}"/>
    <cellStyle name="Normal 5 3 3 2 2 2 7 3" xfId="13311" xr:uid="{4B843789-D9E8-4219-B6FC-06755CBCB3EA}"/>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23489" xr:uid="{DE9B6FB8-69B4-4DFF-BE7D-472F3D34AF39}"/>
    <cellStyle name="Normal 5 3 3 2 2 3 2 2 3" xfId="15868" xr:uid="{49F17D8D-AA97-450D-A3F5-41200E508624}"/>
    <cellStyle name="Normal 5 3 3 2 2 3 2 3" xfId="19276" xr:uid="{3C3F3DA7-68CE-4562-A612-F2DCB8ABB798}"/>
    <cellStyle name="Normal 5 3 3 2 2 3 2 4" xfId="11655" xr:uid="{784FC307-EDA4-4A82-9D95-877C299C53FA}"/>
    <cellStyle name="Normal 5 3 3 2 2 3 3" xfId="5228" xr:uid="{00000000-0005-0000-0000-00008F190000}"/>
    <cellStyle name="Normal 5 3 3 2 2 3 3 2" xfId="21344" xr:uid="{07BEAB95-93A1-4640-B9F5-D4E60A72D30F}"/>
    <cellStyle name="Normal 5 3 3 2 2 3 3 3" xfId="13723" xr:uid="{3A47723A-E6CB-4D36-82AA-D5E21F629C8A}"/>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23902" xr:uid="{61B5DD71-9B7B-4E33-9727-722E3A815EA6}"/>
    <cellStyle name="Normal 5 3 3 2 2 4 2 2 3" xfId="16281" xr:uid="{BDB7795C-8747-44A0-9D3A-E9D9D4A9C951}"/>
    <cellStyle name="Normal 5 3 3 2 2 4 2 3" xfId="19689" xr:uid="{24EC6029-40E3-493B-8FCC-D9F85B71062E}"/>
    <cellStyle name="Normal 5 3 3 2 2 4 2 4" xfId="12068" xr:uid="{88BDA3C8-E0F3-4219-A233-DA5EB9F37696}"/>
    <cellStyle name="Normal 5 3 3 2 2 4 3" xfId="5641" xr:uid="{00000000-0005-0000-0000-000093190000}"/>
    <cellStyle name="Normal 5 3 3 2 2 4 3 2" xfId="21757" xr:uid="{52D623EE-969F-472B-BA74-53FB280474ED}"/>
    <cellStyle name="Normal 5 3 3 2 2 4 3 3" xfId="14136" xr:uid="{0C766647-6732-4BE4-AC6F-3CC117F9AA9C}"/>
    <cellStyle name="Normal 5 3 3 2 2 4 4" xfId="17544" xr:uid="{3A15C994-71AF-488F-BA2B-2533123B6CE7}"/>
    <cellStyle name="Normal 5 3 3 2 2 4 5" xfId="9923" xr:uid="{5DCCC2F7-815A-4E86-A069-2B09EE1C3D28}"/>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24315" xr:uid="{54EED616-C3BA-4F48-A525-33DF5EA40EBA}"/>
    <cellStyle name="Normal 5 3 3 2 2 5 2 2 3" xfId="16694" xr:uid="{7B81A349-17C7-4C55-A4F9-109D614067FA}"/>
    <cellStyle name="Normal 5 3 3 2 2 5 2 3" xfId="20102" xr:uid="{CFE89231-EFEE-4EDB-B457-00C91A38896D}"/>
    <cellStyle name="Normal 5 3 3 2 2 5 2 4" xfId="12481" xr:uid="{9AA75D99-51B8-4A34-8611-65663F272041}"/>
    <cellStyle name="Normal 5 3 3 2 2 5 3" xfId="6054" xr:uid="{00000000-0005-0000-0000-000097190000}"/>
    <cellStyle name="Normal 5 3 3 2 2 5 3 2" xfId="22170" xr:uid="{15A1A47C-8F24-49D7-B326-8633AC402281}"/>
    <cellStyle name="Normal 5 3 3 2 2 5 3 3" xfId="14549" xr:uid="{E1CB51A6-45BA-4A6C-9BDC-68EE8F43023C}"/>
    <cellStyle name="Normal 5 3 3 2 2 5 4" xfId="17957" xr:uid="{37850986-64BA-4F33-BC20-D7DFB63B2F50}"/>
    <cellStyle name="Normal 5 3 3 2 2 5 5" xfId="10336" xr:uid="{29387F75-8294-4CFB-AAAE-B160717748D4}"/>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24728" xr:uid="{47B6B6DD-17C8-4D6B-8C24-EB8D14A17C57}"/>
    <cellStyle name="Normal 5 3 3 2 2 6 2 2 3" xfId="17107" xr:uid="{C67A8FF0-5034-4A05-8F06-ECC68E20B1F7}"/>
    <cellStyle name="Normal 5 3 3 2 2 6 2 3" xfId="20515" xr:uid="{477ED191-39A7-4FF2-A261-AE3A8715BD8B}"/>
    <cellStyle name="Normal 5 3 3 2 2 6 2 4" xfId="12894" xr:uid="{843AA686-CE4E-4121-98CD-8682E91D7772}"/>
    <cellStyle name="Normal 5 3 3 2 2 6 3" xfId="6467" xr:uid="{00000000-0005-0000-0000-00009B190000}"/>
    <cellStyle name="Normal 5 3 3 2 2 6 3 2" xfId="22583" xr:uid="{A18E5060-145A-47F1-AEED-12F488A744E0}"/>
    <cellStyle name="Normal 5 3 3 2 2 6 3 3" xfId="14962" xr:uid="{D9C16733-EE94-46C5-9E48-D95E1E9ECA88}"/>
    <cellStyle name="Normal 5 3 3 2 2 6 4" xfId="18370" xr:uid="{929737EE-7E8A-4961-9E60-8B30023CD888}"/>
    <cellStyle name="Normal 5 3 3 2 2 6 5" xfId="10749" xr:uid="{49A8929B-9E8D-4038-AA92-7DB2EDF06C41}"/>
    <cellStyle name="Normal 5 3 3 2 2 7" xfId="2597" xr:uid="{00000000-0005-0000-0000-00009C190000}"/>
    <cellStyle name="Normal 5 3 3 2 2 7 2" xfId="6880" xr:uid="{00000000-0005-0000-0000-00009D190000}"/>
    <cellStyle name="Normal 5 3 3 2 2 7 2 2" xfId="22996" xr:uid="{1A0141B7-D8BC-440D-A52A-B25E23B8605A}"/>
    <cellStyle name="Normal 5 3 3 2 2 7 2 3" xfId="15375" xr:uid="{EA4C77BE-66F8-4F7F-B165-37D4B5E922C9}"/>
    <cellStyle name="Normal 5 3 3 2 2 7 3" xfId="18783" xr:uid="{7FD4FF47-6EFC-4541-87BD-7B7E21E54DDE}"/>
    <cellStyle name="Normal 5 3 3 2 2 7 4" xfId="11162" xr:uid="{A57E7B3C-5A7B-4280-8BA4-7ACEDA98217B}"/>
    <cellStyle name="Normal 5 3 3 2 2 8" xfId="4815" xr:uid="{00000000-0005-0000-0000-00009E190000}"/>
    <cellStyle name="Normal 5 3 3 2 2 8 2" xfId="20931" xr:uid="{E9FBBA64-5AF9-4255-8D75-C78B2F5AAA81}"/>
    <cellStyle name="Normal 5 3 3 2 2 8 3" xfId="13310" xr:uid="{8EBFD60F-D77A-4C0D-BEFE-3CF85AADF149}"/>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23491" xr:uid="{5ACACDAF-EBA4-4767-B2A5-A78FE2BC9071}"/>
    <cellStyle name="Normal 5 3 3 2 3 2 2 2 3" xfId="15870" xr:uid="{8DE53A52-08C6-4150-BEA0-19D68B280D24}"/>
    <cellStyle name="Normal 5 3 3 2 3 2 2 3" xfId="19278" xr:uid="{DA3BA0B3-EEB9-475D-9A50-3471BA035132}"/>
    <cellStyle name="Normal 5 3 3 2 3 2 2 4" xfId="11657" xr:uid="{A4FE3010-65EC-452B-BE5D-CAF35376DF0F}"/>
    <cellStyle name="Normal 5 3 3 2 3 2 3" xfId="5230" xr:uid="{00000000-0005-0000-0000-0000A3190000}"/>
    <cellStyle name="Normal 5 3 3 2 3 2 3 2" xfId="21346" xr:uid="{5BE99549-9A80-458A-8B9B-9C0A2A744660}"/>
    <cellStyle name="Normal 5 3 3 2 3 2 3 3" xfId="13725" xr:uid="{A1E865A1-E83D-411A-9290-6BFD67D3A81A}"/>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23904" xr:uid="{9732209E-59E5-4DAB-BAFF-CAEA7F18600F}"/>
    <cellStyle name="Normal 5 3 3 2 3 3 2 2 3" xfId="16283" xr:uid="{F1007AAB-9656-4C20-BF4B-6F1C000D5E18}"/>
    <cellStyle name="Normal 5 3 3 2 3 3 2 3" xfId="19691" xr:uid="{3FC0FE36-4157-4F28-BCDE-57EC7AF0F5AE}"/>
    <cellStyle name="Normal 5 3 3 2 3 3 2 4" xfId="12070" xr:uid="{FE0015FD-53F4-4F4B-B24A-7BF2934D8A34}"/>
    <cellStyle name="Normal 5 3 3 2 3 3 3" xfId="5643" xr:uid="{00000000-0005-0000-0000-0000A7190000}"/>
    <cellStyle name="Normal 5 3 3 2 3 3 3 2" xfId="21759" xr:uid="{DF5875AB-B226-4EC3-AE88-870ACA3E62CD}"/>
    <cellStyle name="Normal 5 3 3 2 3 3 3 3" xfId="14138" xr:uid="{FAE72013-AF61-4E93-B008-ABBB049CC20C}"/>
    <cellStyle name="Normal 5 3 3 2 3 3 4" xfId="17546" xr:uid="{006836AC-EC1E-4490-9490-8FE1D92E5595}"/>
    <cellStyle name="Normal 5 3 3 2 3 3 5" xfId="9925" xr:uid="{2CCDC0DE-EBF0-430B-9382-0D84C9BD4EFD}"/>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24317" xr:uid="{33953BFB-E2BD-4879-A808-A20F39B4F0AD}"/>
    <cellStyle name="Normal 5 3 3 2 3 4 2 2 3" xfId="16696" xr:uid="{BA91355A-BEF4-4F10-8AC9-C1034F19145E}"/>
    <cellStyle name="Normal 5 3 3 2 3 4 2 3" xfId="20104" xr:uid="{4919C65F-F21A-4A32-97EC-CC2EB60655DE}"/>
    <cellStyle name="Normal 5 3 3 2 3 4 2 4" xfId="12483" xr:uid="{806F0167-2134-4731-A364-AE53800EC1BD}"/>
    <cellStyle name="Normal 5 3 3 2 3 4 3" xfId="6056" xr:uid="{00000000-0005-0000-0000-0000AB190000}"/>
    <cellStyle name="Normal 5 3 3 2 3 4 3 2" xfId="22172" xr:uid="{18300014-7225-4FC6-8BCB-5DDCDAF56D27}"/>
    <cellStyle name="Normal 5 3 3 2 3 4 3 3" xfId="14551" xr:uid="{909B6758-7967-42AC-9830-B35EC578C7A8}"/>
    <cellStyle name="Normal 5 3 3 2 3 4 4" xfId="17959" xr:uid="{5AF3E191-A88A-4665-88C9-36581D648021}"/>
    <cellStyle name="Normal 5 3 3 2 3 4 5" xfId="10338" xr:uid="{4726AEB5-7424-441E-869C-BED4C324E969}"/>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24730" xr:uid="{C0FDFE7C-5D41-42A7-A41E-04CD6320AB59}"/>
    <cellStyle name="Normal 5 3 3 2 3 5 2 2 3" xfId="17109" xr:uid="{DDC9F7BF-9E4E-4603-BFB7-450FF7D73F7B}"/>
    <cellStyle name="Normal 5 3 3 2 3 5 2 3" xfId="20517" xr:uid="{E34C5F35-E6CD-4650-90E6-CD47EE604A44}"/>
    <cellStyle name="Normal 5 3 3 2 3 5 2 4" xfId="12896" xr:uid="{2A8A03AE-565F-4465-9AC9-BEC38DC1A76C}"/>
    <cellStyle name="Normal 5 3 3 2 3 5 3" xfId="6469" xr:uid="{00000000-0005-0000-0000-0000AF190000}"/>
    <cellStyle name="Normal 5 3 3 2 3 5 3 2" xfId="22585" xr:uid="{1AD64AC6-FF04-4430-BF97-97C596648529}"/>
    <cellStyle name="Normal 5 3 3 2 3 5 3 3" xfId="14964" xr:uid="{DD39C46A-42CF-4FCB-8095-C382E145EE39}"/>
    <cellStyle name="Normal 5 3 3 2 3 5 4" xfId="18372" xr:uid="{3375D1EC-3422-4BFE-AD3B-B5B3ACA5EC9A}"/>
    <cellStyle name="Normal 5 3 3 2 3 5 5" xfId="10751" xr:uid="{3F026FFE-0BC0-410A-8671-31209381C371}"/>
    <cellStyle name="Normal 5 3 3 2 3 6" xfId="2599" xr:uid="{00000000-0005-0000-0000-0000B0190000}"/>
    <cellStyle name="Normal 5 3 3 2 3 6 2" xfId="6882" xr:uid="{00000000-0005-0000-0000-0000B1190000}"/>
    <cellStyle name="Normal 5 3 3 2 3 6 2 2" xfId="22998" xr:uid="{B536388A-EBAC-44D3-9604-4AF973254B22}"/>
    <cellStyle name="Normal 5 3 3 2 3 6 2 3" xfId="15377" xr:uid="{0528A117-1692-4ADD-8BB8-EB52EF8E5F48}"/>
    <cellStyle name="Normal 5 3 3 2 3 6 3" xfId="18785" xr:uid="{8B5E0B70-AA68-45D5-8E2F-BB11BA23244A}"/>
    <cellStyle name="Normal 5 3 3 2 3 6 4" xfId="11164" xr:uid="{A6739244-E822-45C6-89FC-A600935A587B}"/>
    <cellStyle name="Normal 5 3 3 2 3 7" xfId="4817" xr:uid="{00000000-0005-0000-0000-0000B2190000}"/>
    <cellStyle name="Normal 5 3 3 2 3 7 2" xfId="20933" xr:uid="{0852E6E5-7C6E-46A8-8FC6-29CCABE2BF90}"/>
    <cellStyle name="Normal 5 3 3 2 3 7 3" xfId="13312" xr:uid="{756ED731-1DFB-4683-95BE-3F66410A86D6}"/>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23488" xr:uid="{31C9C7CB-A3A8-4722-AE0C-ECD8CF54FB7D}"/>
    <cellStyle name="Normal 5 3 3 2 4 2 2 3" xfId="15867" xr:uid="{EF064B27-7DCF-4848-8676-CD6199010271}"/>
    <cellStyle name="Normal 5 3 3 2 4 2 3" xfId="19275" xr:uid="{AEF69107-80DA-4C63-B7DB-1455ABD975D4}"/>
    <cellStyle name="Normal 5 3 3 2 4 2 4" xfId="11654" xr:uid="{3EA14F2B-BFB1-4D4A-A427-31AA31F5F309}"/>
    <cellStyle name="Normal 5 3 3 2 4 3" xfId="5227" xr:uid="{00000000-0005-0000-0000-0000B6190000}"/>
    <cellStyle name="Normal 5 3 3 2 4 3 2" xfId="21343" xr:uid="{CECFD417-86C1-40FB-B178-8DF8892F8320}"/>
    <cellStyle name="Normal 5 3 3 2 4 3 3" xfId="13722" xr:uid="{6EBB9CC5-49BC-485B-8D6E-0EC17F7E1EED}"/>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23901" xr:uid="{8C76A5CE-0BC3-4E86-8C93-9C98A178472A}"/>
    <cellStyle name="Normal 5 3 3 2 5 2 2 3" xfId="16280" xr:uid="{97236E3D-8FD2-4C6C-A29D-66C807C31875}"/>
    <cellStyle name="Normal 5 3 3 2 5 2 3" xfId="19688" xr:uid="{A91AA78C-35C5-4BAB-A8CE-E0A70EEB2D00}"/>
    <cellStyle name="Normal 5 3 3 2 5 2 4" xfId="12067" xr:uid="{C18F63EC-13FB-4500-AF6F-DFF0E253F2E0}"/>
    <cellStyle name="Normal 5 3 3 2 5 3" xfId="5640" xr:uid="{00000000-0005-0000-0000-0000BA190000}"/>
    <cellStyle name="Normal 5 3 3 2 5 3 2" xfId="21756" xr:uid="{D2181FD7-3985-4520-B390-7D6E2A786439}"/>
    <cellStyle name="Normal 5 3 3 2 5 3 3" xfId="14135" xr:uid="{D0F3FA0B-F607-44A7-A4E4-0194399ED733}"/>
    <cellStyle name="Normal 5 3 3 2 5 4" xfId="17543" xr:uid="{0FBDC3FB-B45E-4F64-80E0-F9101EEF081C}"/>
    <cellStyle name="Normal 5 3 3 2 5 5" xfId="9922" xr:uid="{CC4A9F97-A110-46C7-9A37-7EA6F3CD6C6F}"/>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24314" xr:uid="{B9D3991A-9E25-461E-B637-DE561383B161}"/>
    <cellStyle name="Normal 5 3 3 2 6 2 2 3" xfId="16693" xr:uid="{625D3FDD-F8E7-47E4-83CD-C336831595AD}"/>
    <cellStyle name="Normal 5 3 3 2 6 2 3" xfId="20101" xr:uid="{874BF1FA-3C60-4430-8ACF-3D9A16AD919A}"/>
    <cellStyle name="Normal 5 3 3 2 6 2 4" xfId="12480" xr:uid="{78041C24-1132-45C7-A743-0352880A43E6}"/>
    <cellStyle name="Normal 5 3 3 2 6 3" xfId="6053" xr:uid="{00000000-0005-0000-0000-0000BE190000}"/>
    <cellStyle name="Normal 5 3 3 2 6 3 2" xfId="22169" xr:uid="{F2CF5048-4E75-4430-914B-DE333C18336F}"/>
    <cellStyle name="Normal 5 3 3 2 6 3 3" xfId="14548" xr:uid="{F22EA98F-8B6D-49A5-8F25-5318EB8E9958}"/>
    <cellStyle name="Normal 5 3 3 2 6 4" xfId="17956" xr:uid="{CA888F9B-35BD-4351-86EF-D4C44920F9F2}"/>
    <cellStyle name="Normal 5 3 3 2 6 5" xfId="10335" xr:uid="{DF0CFC31-4642-4F9E-AC0D-B3381F0A2675}"/>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24727" xr:uid="{A531D03C-0A37-45ED-8D3D-7B53ADB3A0D0}"/>
    <cellStyle name="Normal 5 3 3 2 7 2 2 3" xfId="17106" xr:uid="{56AC8A31-0889-4A17-9CA4-B070884F03D9}"/>
    <cellStyle name="Normal 5 3 3 2 7 2 3" xfId="20514" xr:uid="{80245186-32F6-4EDC-98E7-6283D7CF1B8A}"/>
    <cellStyle name="Normal 5 3 3 2 7 2 4" xfId="12893" xr:uid="{7BE433F1-55FA-4A7C-A518-A086242D3312}"/>
    <cellStyle name="Normal 5 3 3 2 7 3" xfId="6466" xr:uid="{00000000-0005-0000-0000-0000C2190000}"/>
    <cellStyle name="Normal 5 3 3 2 7 3 2" xfId="22582" xr:uid="{7916C8EF-6ACB-41A3-ACBE-19B903791025}"/>
    <cellStyle name="Normal 5 3 3 2 7 3 3" xfId="14961" xr:uid="{2F91B9CE-347D-48F1-BC3A-F8BD6CF9BAFD}"/>
    <cellStyle name="Normal 5 3 3 2 7 4" xfId="18369" xr:uid="{9E7C7719-3E3B-407F-93A9-DF72996113B1}"/>
    <cellStyle name="Normal 5 3 3 2 7 5" xfId="10748" xr:uid="{E11A303A-0C92-4530-BA3C-91B9D2C1874D}"/>
    <cellStyle name="Normal 5 3 3 2 8" xfId="2596" xr:uid="{00000000-0005-0000-0000-0000C3190000}"/>
    <cellStyle name="Normal 5 3 3 2 8 2" xfId="6879" xr:uid="{00000000-0005-0000-0000-0000C4190000}"/>
    <cellStyle name="Normal 5 3 3 2 8 2 2" xfId="22995" xr:uid="{F251A617-20C5-4D86-AC11-53DBF01CB3EC}"/>
    <cellStyle name="Normal 5 3 3 2 8 2 3" xfId="15374" xr:uid="{B4D6D4F7-99AE-4202-8DEE-724547429FC8}"/>
    <cellStyle name="Normal 5 3 3 2 8 3" xfId="18782" xr:uid="{BA1620F3-7A47-43BD-B743-61A1BC2881A6}"/>
    <cellStyle name="Normal 5 3 3 2 8 4" xfId="11161" xr:uid="{6280C6E3-989D-4EEC-8F18-02ABC9B76CC8}"/>
    <cellStyle name="Normal 5 3 3 2 9" xfId="4814" xr:uid="{00000000-0005-0000-0000-0000C5190000}"/>
    <cellStyle name="Normal 5 3 3 2 9 2" xfId="20930" xr:uid="{6E5EBC04-325B-4F16-AA25-C4EFEE172B9B}"/>
    <cellStyle name="Normal 5 3 3 2 9 3" xfId="13309" xr:uid="{CC7FFE14-88B4-44D8-B963-A59EAAA51066}"/>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23493" xr:uid="{0514730C-A225-4A82-A0D6-33DFEFE5F64D}"/>
    <cellStyle name="Normal 5 3 3 3 2 2 2 2 3" xfId="15872" xr:uid="{E1D573D4-4F8E-4AB6-930E-8E8EBFD4E7EA}"/>
    <cellStyle name="Normal 5 3 3 3 2 2 2 3" xfId="19280" xr:uid="{C60F2664-8DD7-4502-8042-16700EFFC65B}"/>
    <cellStyle name="Normal 5 3 3 3 2 2 2 4" xfId="11659" xr:uid="{F0ABF67D-56B4-4568-8AAA-321527E2730C}"/>
    <cellStyle name="Normal 5 3 3 3 2 2 3" xfId="5232" xr:uid="{00000000-0005-0000-0000-0000CB190000}"/>
    <cellStyle name="Normal 5 3 3 3 2 2 3 2" xfId="21348" xr:uid="{4707630E-E67B-4811-ABAE-C63CF1011542}"/>
    <cellStyle name="Normal 5 3 3 3 2 2 3 3" xfId="13727" xr:uid="{E738B89C-1BE9-43B2-ACCB-B6A62665A598}"/>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23906" xr:uid="{17C54DF4-659F-4C43-A461-C3AE2E7F8E2E}"/>
    <cellStyle name="Normal 5 3 3 3 2 3 2 2 3" xfId="16285" xr:uid="{DA7D6B46-9CC7-4307-9880-AA42B1145A8B}"/>
    <cellStyle name="Normal 5 3 3 3 2 3 2 3" xfId="19693" xr:uid="{074E3940-B8F0-4075-8F57-A5204F1446F3}"/>
    <cellStyle name="Normal 5 3 3 3 2 3 2 4" xfId="12072" xr:uid="{B7D7480C-6A80-4E2E-AA45-DA9DC02E3D24}"/>
    <cellStyle name="Normal 5 3 3 3 2 3 3" xfId="5645" xr:uid="{00000000-0005-0000-0000-0000CF190000}"/>
    <cellStyle name="Normal 5 3 3 3 2 3 3 2" xfId="21761" xr:uid="{EB246697-95D0-4229-A3C1-7DC11901622C}"/>
    <cellStyle name="Normal 5 3 3 3 2 3 3 3" xfId="14140" xr:uid="{C86A7CA5-17F8-42EB-9CD8-80174AE3366C}"/>
    <cellStyle name="Normal 5 3 3 3 2 3 4" xfId="17548" xr:uid="{76A6A56D-7214-4F61-AA23-C5C3ECEA904C}"/>
    <cellStyle name="Normal 5 3 3 3 2 3 5" xfId="9927" xr:uid="{6890D35C-1C5F-476E-A211-77268C183988}"/>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24319" xr:uid="{FA87B416-AC64-472E-8057-8328E21F2AD3}"/>
    <cellStyle name="Normal 5 3 3 3 2 4 2 2 3" xfId="16698" xr:uid="{86CD891D-89B2-4064-BA79-18C4262A8976}"/>
    <cellStyle name="Normal 5 3 3 3 2 4 2 3" xfId="20106" xr:uid="{4A91E37E-77D5-4CE4-99AD-FBC587B75FA0}"/>
    <cellStyle name="Normal 5 3 3 3 2 4 2 4" xfId="12485" xr:uid="{E668D426-010C-47A5-BCDE-858D1A13A2AA}"/>
    <cellStyle name="Normal 5 3 3 3 2 4 3" xfId="6058" xr:uid="{00000000-0005-0000-0000-0000D3190000}"/>
    <cellStyle name="Normal 5 3 3 3 2 4 3 2" xfId="22174" xr:uid="{6F9B1484-A60E-4574-BA79-BEECE3D957D9}"/>
    <cellStyle name="Normal 5 3 3 3 2 4 3 3" xfId="14553" xr:uid="{D26BEDD6-9E78-4396-807E-8020C420904F}"/>
    <cellStyle name="Normal 5 3 3 3 2 4 4" xfId="17961" xr:uid="{3CA431FF-9C5D-470F-958B-476FB0691FA4}"/>
    <cellStyle name="Normal 5 3 3 3 2 4 5" xfId="10340" xr:uid="{8BD0844A-CD96-44D9-A414-4F94FEB2FAFA}"/>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24732" xr:uid="{A6C73D75-A6BF-4155-B707-0943D888F22F}"/>
    <cellStyle name="Normal 5 3 3 3 2 5 2 2 3" xfId="17111" xr:uid="{157A670B-C131-4772-8096-A59CD45B279C}"/>
    <cellStyle name="Normal 5 3 3 3 2 5 2 3" xfId="20519" xr:uid="{6C3E98C2-E682-4F3A-A64E-983828EF97E3}"/>
    <cellStyle name="Normal 5 3 3 3 2 5 2 4" xfId="12898" xr:uid="{56C2D51E-BC98-4F81-AD22-865D198D89EE}"/>
    <cellStyle name="Normal 5 3 3 3 2 5 3" xfId="6471" xr:uid="{00000000-0005-0000-0000-0000D7190000}"/>
    <cellStyle name="Normal 5 3 3 3 2 5 3 2" xfId="22587" xr:uid="{8BEDF03A-52CC-4FA4-8A08-62C9F24C274B}"/>
    <cellStyle name="Normal 5 3 3 3 2 5 3 3" xfId="14966" xr:uid="{84F80E4C-D5B9-451D-A072-050E721EE4D9}"/>
    <cellStyle name="Normal 5 3 3 3 2 5 4" xfId="18374" xr:uid="{F4E6EE9F-ECFC-41EE-A3B8-655360A01042}"/>
    <cellStyle name="Normal 5 3 3 3 2 5 5" xfId="10753" xr:uid="{52D32861-CC5F-4C3B-B949-03ABEE2647EA}"/>
    <cellStyle name="Normal 5 3 3 3 2 6" xfId="2601" xr:uid="{00000000-0005-0000-0000-0000D8190000}"/>
    <cellStyle name="Normal 5 3 3 3 2 6 2" xfId="6884" xr:uid="{00000000-0005-0000-0000-0000D9190000}"/>
    <cellStyle name="Normal 5 3 3 3 2 6 2 2" xfId="23000" xr:uid="{10AFE1BC-5554-424C-881C-32A2B92E81AE}"/>
    <cellStyle name="Normal 5 3 3 3 2 6 2 3" xfId="15379" xr:uid="{BB822ABF-D64E-4850-AA4C-4D801AAD2FF4}"/>
    <cellStyle name="Normal 5 3 3 3 2 6 3" xfId="18787" xr:uid="{A82DDFFC-D44F-4D65-AD9B-376C1B85DCFC}"/>
    <cellStyle name="Normal 5 3 3 3 2 6 4" xfId="11166" xr:uid="{15B5C8F0-A056-48C5-9B81-B5170C5F89C9}"/>
    <cellStyle name="Normal 5 3 3 3 2 7" xfId="4819" xr:uid="{00000000-0005-0000-0000-0000DA190000}"/>
    <cellStyle name="Normal 5 3 3 3 2 7 2" xfId="20935" xr:uid="{97254B39-D21B-4F6D-9E69-0A2E5D87BC7E}"/>
    <cellStyle name="Normal 5 3 3 3 2 7 3" xfId="13314" xr:uid="{A7ED6851-EFE0-4ABA-80AF-15DEE856597A}"/>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23492" xr:uid="{EC2C486D-9FEB-47F5-BD9B-6E524A5868B9}"/>
    <cellStyle name="Normal 5 3 3 3 3 2 2 3" xfId="15871" xr:uid="{0BEB6915-F746-4CE5-B7FE-E1C0DC0DBC67}"/>
    <cellStyle name="Normal 5 3 3 3 3 2 3" xfId="19279" xr:uid="{08FDE707-8AFD-4B05-8EC6-C5AA8DF6E54C}"/>
    <cellStyle name="Normal 5 3 3 3 3 2 4" xfId="11658" xr:uid="{2850CC9E-809E-47E1-835E-CF64AB6C1A7A}"/>
    <cellStyle name="Normal 5 3 3 3 3 3" xfId="5231" xr:uid="{00000000-0005-0000-0000-0000DE190000}"/>
    <cellStyle name="Normal 5 3 3 3 3 3 2" xfId="21347" xr:uid="{BB1E2763-60CA-477F-A235-C66C7CD2F735}"/>
    <cellStyle name="Normal 5 3 3 3 3 3 3" xfId="13726" xr:uid="{7A4EDEB8-B376-48DF-BB07-5D735AEFDCB5}"/>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23905" xr:uid="{D61117DD-0EF7-41D9-8A09-867258E3A06D}"/>
    <cellStyle name="Normal 5 3 3 3 4 2 2 3" xfId="16284" xr:uid="{66EE74C1-2D2F-490C-8C3C-8903C2737A0C}"/>
    <cellStyle name="Normal 5 3 3 3 4 2 3" xfId="19692" xr:uid="{1F5374CA-3BE3-43FD-9AC0-C44952851BE7}"/>
    <cellStyle name="Normal 5 3 3 3 4 2 4" xfId="12071" xr:uid="{D80F37F8-9F5C-424F-A82E-295503DE6773}"/>
    <cellStyle name="Normal 5 3 3 3 4 3" xfId="5644" xr:uid="{00000000-0005-0000-0000-0000E2190000}"/>
    <cellStyle name="Normal 5 3 3 3 4 3 2" xfId="21760" xr:uid="{F6E3C434-3551-4409-9AD4-3EB5C3547850}"/>
    <cellStyle name="Normal 5 3 3 3 4 3 3" xfId="14139" xr:uid="{E482EBB3-4C59-4479-9BD6-DF9CA5A8E4C2}"/>
    <cellStyle name="Normal 5 3 3 3 4 4" xfId="17547" xr:uid="{AB932688-987F-4BFE-9CC0-9B2D023319CC}"/>
    <cellStyle name="Normal 5 3 3 3 4 5" xfId="9926" xr:uid="{DB5C0955-81F6-4F08-94DD-0797A56E9227}"/>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24318" xr:uid="{90806F5E-D9CF-4D7B-AD70-848CA4E1A7D3}"/>
    <cellStyle name="Normal 5 3 3 3 5 2 2 3" xfId="16697" xr:uid="{C8F2A666-87C9-429B-87E5-7FBEBBAD1706}"/>
    <cellStyle name="Normal 5 3 3 3 5 2 3" xfId="20105" xr:uid="{995C7BF4-787A-4D14-9D0B-79F78031B4B9}"/>
    <cellStyle name="Normal 5 3 3 3 5 2 4" xfId="12484" xr:uid="{1F4FD8D3-9CEA-4098-B384-504024218CCD}"/>
    <cellStyle name="Normal 5 3 3 3 5 3" xfId="6057" xr:uid="{00000000-0005-0000-0000-0000E6190000}"/>
    <cellStyle name="Normal 5 3 3 3 5 3 2" xfId="22173" xr:uid="{5E0131FB-42C1-4E3F-A3F5-34E1845C3C11}"/>
    <cellStyle name="Normal 5 3 3 3 5 3 3" xfId="14552" xr:uid="{3FC41F2B-EEB4-40D1-8A64-E32E5D27C17D}"/>
    <cellStyle name="Normal 5 3 3 3 5 4" xfId="17960" xr:uid="{071BA293-0DFA-4633-A143-1138B380CD3E}"/>
    <cellStyle name="Normal 5 3 3 3 5 5" xfId="10339" xr:uid="{35490908-D33C-4409-B632-59960D80C2D4}"/>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24731" xr:uid="{4092418A-724E-4EE3-BAFC-2F28A02945E8}"/>
    <cellStyle name="Normal 5 3 3 3 6 2 2 3" xfId="17110" xr:uid="{BFE9A7A0-3AEB-4A36-9EF9-E15DD81EB712}"/>
    <cellStyle name="Normal 5 3 3 3 6 2 3" xfId="20518" xr:uid="{1740B18B-25AA-4A42-93A2-C76C795591C4}"/>
    <cellStyle name="Normal 5 3 3 3 6 2 4" xfId="12897" xr:uid="{334DF743-9E55-4746-B9DC-E0433E39E354}"/>
    <cellStyle name="Normal 5 3 3 3 6 3" xfId="6470" xr:uid="{00000000-0005-0000-0000-0000EA190000}"/>
    <cellStyle name="Normal 5 3 3 3 6 3 2" xfId="22586" xr:uid="{E9192B4C-F737-4E79-849F-812D0993E4C4}"/>
    <cellStyle name="Normal 5 3 3 3 6 3 3" xfId="14965" xr:uid="{9224FFD4-4CE5-497E-8484-E30528FB04C6}"/>
    <cellStyle name="Normal 5 3 3 3 6 4" xfId="18373" xr:uid="{283D6B3E-E303-423A-A55A-A3E6876FA670}"/>
    <cellStyle name="Normal 5 3 3 3 6 5" xfId="10752" xr:uid="{C6BA41BE-4B12-4877-8474-501B2DB0384E}"/>
    <cellStyle name="Normal 5 3 3 3 7" xfId="2600" xr:uid="{00000000-0005-0000-0000-0000EB190000}"/>
    <cellStyle name="Normal 5 3 3 3 7 2" xfId="6883" xr:uid="{00000000-0005-0000-0000-0000EC190000}"/>
    <cellStyle name="Normal 5 3 3 3 7 2 2" xfId="22999" xr:uid="{8E835F39-2132-4F41-AA34-03C9DA67BA99}"/>
    <cellStyle name="Normal 5 3 3 3 7 2 3" xfId="15378" xr:uid="{26428626-392B-4D01-8488-278345BD08C5}"/>
    <cellStyle name="Normal 5 3 3 3 7 3" xfId="18786" xr:uid="{72A9E36B-1782-4D39-8719-68944F8E67DB}"/>
    <cellStyle name="Normal 5 3 3 3 7 4" xfId="11165" xr:uid="{DDE544B9-CCF4-44C3-9A05-98D35A5D09FD}"/>
    <cellStyle name="Normal 5 3 3 3 8" xfId="4818" xr:uid="{00000000-0005-0000-0000-0000ED190000}"/>
    <cellStyle name="Normal 5 3 3 3 8 2" xfId="20934" xr:uid="{07291D10-0C05-4AB7-BD84-F45EE8761928}"/>
    <cellStyle name="Normal 5 3 3 3 8 3" xfId="13313" xr:uid="{569EDC92-9E3A-491A-B7DA-2571DC5E9518}"/>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23494" xr:uid="{D117F2FC-6455-4BFB-9130-416224C8567E}"/>
    <cellStyle name="Normal 5 3 3 4 2 2 2 3" xfId="15873" xr:uid="{8684ED31-A823-40AD-89F0-0F469D69BF6C}"/>
    <cellStyle name="Normal 5 3 3 4 2 2 3" xfId="19281" xr:uid="{38150C25-769B-4B64-9A30-474CB3C3C0E0}"/>
    <cellStyle name="Normal 5 3 3 4 2 2 4" xfId="11660" xr:uid="{5A1776C0-7BA4-4F00-82CC-AD6EC828C325}"/>
    <cellStyle name="Normal 5 3 3 4 2 3" xfId="5233" xr:uid="{00000000-0005-0000-0000-0000F2190000}"/>
    <cellStyle name="Normal 5 3 3 4 2 3 2" xfId="21349" xr:uid="{F68F5208-3844-47E8-821D-7F336165D005}"/>
    <cellStyle name="Normal 5 3 3 4 2 3 3" xfId="13728" xr:uid="{ED82D389-6226-48B4-A11E-1CBF283FDF8D}"/>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23907" xr:uid="{075D372D-08DB-4F7D-B44F-64C308210187}"/>
    <cellStyle name="Normal 5 3 3 4 3 2 2 3" xfId="16286" xr:uid="{71A6A0F0-800F-404B-BB25-F7F0686DE684}"/>
    <cellStyle name="Normal 5 3 3 4 3 2 3" xfId="19694" xr:uid="{07B14A56-FCED-412F-9884-226201095722}"/>
    <cellStyle name="Normal 5 3 3 4 3 2 4" xfId="12073" xr:uid="{A2A820B5-30E4-4652-AD91-EF378DD88983}"/>
    <cellStyle name="Normal 5 3 3 4 3 3" xfId="5646" xr:uid="{00000000-0005-0000-0000-0000F6190000}"/>
    <cellStyle name="Normal 5 3 3 4 3 3 2" xfId="21762" xr:uid="{BF812009-837A-4713-A9BD-637E45C725F2}"/>
    <cellStyle name="Normal 5 3 3 4 3 3 3" xfId="14141" xr:uid="{31073E25-945F-44CF-846F-0EB3C4E8E396}"/>
    <cellStyle name="Normal 5 3 3 4 3 4" xfId="17549" xr:uid="{2F91BACB-5AE6-449A-94E6-8D4EEE2040ED}"/>
    <cellStyle name="Normal 5 3 3 4 3 5" xfId="9928" xr:uid="{F8804A37-16FC-4394-BF58-907EC190B33A}"/>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24320" xr:uid="{68EE6194-FF6D-485C-B785-9EA47B27B390}"/>
    <cellStyle name="Normal 5 3 3 4 4 2 2 3" xfId="16699" xr:uid="{45E66BDF-1BF0-4ED7-BA88-FE2E4687E0C6}"/>
    <cellStyle name="Normal 5 3 3 4 4 2 3" xfId="20107" xr:uid="{64126E02-CB57-4E27-8EE4-D9FF70E997F3}"/>
    <cellStyle name="Normal 5 3 3 4 4 2 4" xfId="12486" xr:uid="{FEE30B5B-0B2D-4C4E-81F6-FB8DD5047CE0}"/>
    <cellStyle name="Normal 5 3 3 4 4 3" xfId="6059" xr:uid="{00000000-0005-0000-0000-0000FA190000}"/>
    <cellStyle name="Normal 5 3 3 4 4 3 2" xfId="22175" xr:uid="{0DE0DF90-53EF-4674-88FB-ED0B22352C89}"/>
    <cellStyle name="Normal 5 3 3 4 4 3 3" xfId="14554" xr:uid="{F851E8C3-E0F7-4570-A56B-C0695CF98795}"/>
    <cellStyle name="Normal 5 3 3 4 4 4" xfId="17962" xr:uid="{61F2AB91-592E-4F45-B07A-F818293311EB}"/>
    <cellStyle name="Normal 5 3 3 4 4 5" xfId="10341" xr:uid="{0AE48FE7-E6C5-454E-AAC1-F0B0D480224F}"/>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24733" xr:uid="{EC25450A-4400-4F79-9521-149A984216A9}"/>
    <cellStyle name="Normal 5 3 3 4 5 2 2 3" xfId="17112" xr:uid="{ABED5138-E3D1-47BC-A647-1C0745CEE8A3}"/>
    <cellStyle name="Normal 5 3 3 4 5 2 3" xfId="20520" xr:uid="{62F24D8B-8E84-4708-A60B-5551D5977775}"/>
    <cellStyle name="Normal 5 3 3 4 5 2 4" xfId="12899" xr:uid="{8B2828DC-2ED8-4301-B9C3-DE96400A5BF2}"/>
    <cellStyle name="Normal 5 3 3 4 5 3" xfId="6472" xr:uid="{00000000-0005-0000-0000-0000FE190000}"/>
    <cellStyle name="Normal 5 3 3 4 5 3 2" xfId="22588" xr:uid="{62A61735-221B-421E-BFED-06A3D696420B}"/>
    <cellStyle name="Normal 5 3 3 4 5 3 3" xfId="14967" xr:uid="{E66EB063-30DD-47FF-9D0B-CBC1D2E69BB5}"/>
    <cellStyle name="Normal 5 3 3 4 5 4" xfId="18375" xr:uid="{FAA7C7DD-ADA0-490A-95FF-4879B09E3808}"/>
    <cellStyle name="Normal 5 3 3 4 5 5" xfId="10754" xr:uid="{82227D65-7F38-47E9-8663-B7E02A17AE20}"/>
    <cellStyle name="Normal 5 3 3 4 6" xfId="2602" xr:uid="{00000000-0005-0000-0000-0000FF190000}"/>
    <cellStyle name="Normal 5 3 3 4 6 2" xfId="6885" xr:uid="{00000000-0005-0000-0000-0000001A0000}"/>
    <cellStyle name="Normal 5 3 3 4 6 2 2" xfId="23001" xr:uid="{B6DE5201-5E0A-4DA4-BDFB-FFDEAB9A8511}"/>
    <cellStyle name="Normal 5 3 3 4 6 2 3" xfId="15380" xr:uid="{41DB4322-DAB6-4B67-9D27-35BE5791F1CB}"/>
    <cellStyle name="Normal 5 3 3 4 6 3" xfId="18788" xr:uid="{601F458D-4A44-4BDE-B1A0-BBA7A5507733}"/>
    <cellStyle name="Normal 5 3 3 4 6 4" xfId="11167" xr:uid="{E53C8772-B474-4686-B05A-D8501B8033A6}"/>
    <cellStyle name="Normal 5 3 3 4 7" xfId="4820" xr:uid="{00000000-0005-0000-0000-0000011A0000}"/>
    <cellStyle name="Normal 5 3 3 4 7 2" xfId="20936" xr:uid="{666C7EF8-8970-4440-9170-B92D5A82D270}"/>
    <cellStyle name="Normal 5 3 3 4 7 3" xfId="13315" xr:uid="{A68E831A-3FAC-4A2F-9DF5-DF94474D5271}"/>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2 2 2" xfId="23487" xr:uid="{A3C4EB90-F867-4E91-9E07-FC96D7830272}"/>
    <cellStyle name="Normal 5 3 3 5 2 2 3" xfId="15866" xr:uid="{DD84ADB5-966B-459D-9E40-775865A2F1B8}"/>
    <cellStyle name="Normal 5 3 3 5 2 3" xfId="19274" xr:uid="{215A88E1-5A43-415C-9B83-9A87F98C43B0}"/>
    <cellStyle name="Normal 5 3 3 5 2 4" xfId="11653" xr:uid="{3C11382A-6CFB-453B-87CA-4F12D5E0FD91}"/>
    <cellStyle name="Normal 5 3 3 5 3" xfId="5226" xr:uid="{00000000-0005-0000-0000-0000051A0000}"/>
    <cellStyle name="Normal 5 3 3 5 3 2" xfId="21342" xr:uid="{6E288E4D-3CDB-4402-8CED-2FF53675B588}"/>
    <cellStyle name="Normal 5 3 3 5 3 3" xfId="13721" xr:uid="{D851AF2C-7C3F-477D-9E43-DAAE20B8DAEE}"/>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2 2 2" xfId="23900" xr:uid="{2E0424DE-A5B6-4A13-B7B8-4052A3D4525D}"/>
    <cellStyle name="Normal 5 3 3 6 2 2 3" xfId="16279" xr:uid="{04934E1B-BA86-44D0-8689-3C02A529CC67}"/>
    <cellStyle name="Normal 5 3 3 6 2 3" xfId="19687" xr:uid="{62DFBFBB-2B21-4F0A-A138-F5EC39E440AA}"/>
    <cellStyle name="Normal 5 3 3 6 2 4" xfId="12066" xr:uid="{B5A764D9-80B9-4C98-B540-95A1251B2045}"/>
    <cellStyle name="Normal 5 3 3 6 3" xfId="5639" xr:uid="{00000000-0005-0000-0000-0000091A0000}"/>
    <cellStyle name="Normal 5 3 3 6 3 2" xfId="21755" xr:uid="{1501A40C-9327-496F-90DD-8944DC839110}"/>
    <cellStyle name="Normal 5 3 3 6 3 3" xfId="14134" xr:uid="{864DBEF8-4786-40C4-8F35-353EAD799109}"/>
    <cellStyle name="Normal 5 3 3 6 4" xfId="17542" xr:uid="{BE689109-7EBE-4E0B-ADD9-C66AAC1B9EC1}"/>
    <cellStyle name="Normal 5 3 3 6 5" xfId="9921" xr:uid="{42AF0629-377C-4431-AD70-D21E030B9308}"/>
    <cellStyle name="Normal 5 3 3 7" xfId="1745" xr:uid="{00000000-0005-0000-0000-00000A1A0000}"/>
    <cellStyle name="Normal 5 3 3 7 2" xfId="3975" xr:uid="{00000000-0005-0000-0000-00000B1A0000}"/>
    <cellStyle name="Normal 5 3 3 7 2 2" xfId="8197" xr:uid="{00000000-0005-0000-0000-00000C1A0000}"/>
    <cellStyle name="Normal 5 3 3 7 2 2 2" xfId="24313" xr:uid="{418A4822-361F-4E46-B946-208FDB155976}"/>
    <cellStyle name="Normal 5 3 3 7 2 2 3" xfId="16692" xr:uid="{0C92A09B-F6B1-41CC-8908-3F00054ED1DB}"/>
    <cellStyle name="Normal 5 3 3 7 2 3" xfId="20100" xr:uid="{F5D78370-07FD-46F5-9C25-14D40772C060}"/>
    <cellStyle name="Normal 5 3 3 7 2 4" xfId="12479" xr:uid="{81E82E63-B407-4BA7-BF1A-62499A6C6E3B}"/>
    <cellStyle name="Normal 5 3 3 7 3" xfId="6052" xr:uid="{00000000-0005-0000-0000-00000D1A0000}"/>
    <cellStyle name="Normal 5 3 3 7 3 2" xfId="22168" xr:uid="{E91C1493-DBE0-4FEB-9AE5-7C80415DC0F1}"/>
    <cellStyle name="Normal 5 3 3 7 3 3" xfId="14547" xr:uid="{23074B97-FA9F-4066-B99A-33B18CD95C4F}"/>
    <cellStyle name="Normal 5 3 3 7 4" xfId="17955" xr:uid="{546DEB71-A04C-4AD9-BFD2-A943E0D53E13}"/>
    <cellStyle name="Normal 5 3 3 7 5" xfId="10334" xr:uid="{D39F3D90-0AB9-4AAB-97D2-9561CAC00BEF}"/>
    <cellStyle name="Normal 5 3 3 8" xfId="2159" xr:uid="{00000000-0005-0000-0000-00000E1A0000}"/>
    <cellStyle name="Normal 5 3 3 8 2" xfId="4388" xr:uid="{00000000-0005-0000-0000-00000F1A0000}"/>
    <cellStyle name="Normal 5 3 3 8 2 2" xfId="8610" xr:uid="{00000000-0005-0000-0000-0000101A0000}"/>
    <cellStyle name="Normal 5 3 3 8 2 2 2" xfId="24726" xr:uid="{E222B320-503C-45DC-96C9-FDCF0D5C912F}"/>
    <cellStyle name="Normal 5 3 3 8 2 2 3" xfId="17105" xr:uid="{945A706C-9222-4DEF-8CDD-869BA13B7027}"/>
    <cellStyle name="Normal 5 3 3 8 2 3" xfId="20513" xr:uid="{4B6D63D5-D5ED-4D89-85D7-16DEC2F96F71}"/>
    <cellStyle name="Normal 5 3 3 8 2 4" xfId="12892" xr:uid="{A69B8063-DC11-456C-A8A4-B49F34EC892B}"/>
    <cellStyle name="Normal 5 3 3 8 3" xfId="6465" xr:uid="{00000000-0005-0000-0000-0000111A0000}"/>
    <cellStyle name="Normal 5 3 3 8 3 2" xfId="22581" xr:uid="{6F9C083A-0E2F-4C04-9876-95435A92417B}"/>
    <cellStyle name="Normal 5 3 3 8 3 3" xfId="14960" xr:uid="{E0822947-6394-44CE-8D6E-E46B8EBBB9CD}"/>
    <cellStyle name="Normal 5 3 3 8 4" xfId="18368" xr:uid="{30AE44F7-9CAE-41F4-B2B3-C9EA2AE676B1}"/>
    <cellStyle name="Normal 5 3 3 8 5" xfId="10747" xr:uid="{E53231DD-FC9D-4664-8B3C-94668B2B2C2D}"/>
    <cellStyle name="Normal 5 3 3 9" xfId="2595" xr:uid="{00000000-0005-0000-0000-0000121A0000}"/>
    <cellStyle name="Normal 5 3 3 9 2" xfId="6878" xr:uid="{00000000-0005-0000-0000-0000131A0000}"/>
    <cellStyle name="Normal 5 3 3 9 2 2" xfId="22994" xr:uid="{0FC671FA-28AA-48F4-A59A-43C02A2A664B}"/>
    <cellStyle name="Normal 5 3 3 9 2 3" xfId="15373" xr:uid="{1C1D920F-6F39-4255-BDFF-188CDB5D6107}"/>
    <cellStyle name="Normal 5 3 3 9 3" xfId="18781" xr:uid="{829C6B4F-4483-4F60-A2B3-CF83EF1F47D9}"/>
    <cellStyle name="Normal 5 3 3 9 4" xfId="11160" xr:uid="{686C12AE-3343-4018-B7E7-80672CD6C8A6}"/>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23497" xr:uid="{210614E4-3AC9-4108-9148-1C4399398167}"/>
    <cellStyle name="Normal 5 3 4 2 2 2 2 2 3" xfId="15876" xr:uid="{716CACD3-A126-4D27-8DFF-5861D36D6531}"/>
    <cellStyle name="Normal 5 3 4 2 2 2 2 3" xfId="19284" xr:uid="{E34347DE-F7BC-4286-ADB5-E8D46AD6986A}"/>
    <cellStyle name="Normal 5 3 4 2 2 2 2 4" xfId="11663" xr:uid="{28CC2403-6182-4EDF-9D8C-75CF3B8BF34B}"/>
    <cellStyle name="Normal 5 3 4 2 2 2 3" xfId="5236" xr:uid="{00000000-0005-0000-0000-00001A1A0000}"/>
    <cellStyle name="Normal 5 3 4 2 2 2 3 2" xfId="21352" xr:uid="{624F389B-DA6F-49FD-A72D-867C39FA8965}"/>
    <cellStyle name="Normal 5 3 4 2 2 2 3 3" xfId="13731" xr:uid="{EA0084BE-F386-43F3-9BFC-7A8F7F46D233}"/>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23910" xr:uid="{E4B01C6A-E49F-4BEF-BB9D-CD4B06F77903}"/>
    <cellStyle name="Normal 5 3 4 2 2 3 2 2 3" xfId="16289" xr:uid="{C36CA619-F2F0-4589-84FD-5FB2F50FF472}"/>
    <cellStyle name="Normal 5 3 4 2 2 3 2 3" xfId="19697" xr:uid="{22687C40-EB17-4A49-A4DD-5485578ADDCA}"/>
    <cellStyle name="Normal 5 3 4 2 2 3 2 4" xfId="12076" xr:uid="{DAE8B1D9-E714-4E72-B403-95C901AD5014}"/>
    <cellStyle name="Normal 5 3 4 2 2 3 3" xfId="5649" xr:uid="{00000000-0005-0000-0000-00001E1A0000}"/>
    <cellStyle name="Normal 5 3 4 2 2 3 3 2" xfId="21765" xr:uid="{934CCF32-A9C0-4D0C-985F-0FDFD9CAFA91}"/>
    <cellStyle name="Normal 5 3 4 2 2 3 3 3" xfId="14144" xr:uid="{E642B64F-CE31-496E-872E-50D344DF5F2B}"/>
    <cellStyle name="Normal 5 3 4 2 2 3 4" xfId="17552" xr:uid="{35E33B79-FDAA-42EE-9368-B37FF7C0CE4A}"/>
    <cellStyle name="Normal 5 3 4 2 2 3 5" xfId="9931" xr:uid="{489D50EA-335E-40C9-A9DD-ED5B9CD015DE}"/>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24323" xr:uid="{16A2EB41-69D0-4FB3-B4F0-35F2E240CE9D}"/>
    <cellStyle name="Normal 5 3 4 2 2 4 2 2 3" xfId="16702" xr:uid="{B839B0EA-ADD6-4774-A8C7-D04E4871245B}"/>
    <cellStyle name="Normal 5 3 4 2 2 4 2 3" xfId="20110" xr:uid="{BAFF8D62-245A-4121-9BA8-901972E4A3A3}"/>
    <cellStyle name="Normal 5 3 4 2 2 4 2 4" xfId="12489" xr:uid="{E33BACAF-D582-46B8-9BFD-2DEAB2634F84}"/>
    <cellStyle name="Normal 5 3 4 2 2 4 3" xfId="6062" xr:uid="{00000000-0005-0000-0000-0000221A0000}"/>
    <cellStyle name="Normal 5 3 4 2 2 4 3 2" xfId="22178" xr:uid="{3DE2F670-04ED-46A0-8351-B59175C34EC1}"/>
    <cellStyle name="Normal 5 3 4 2 2 4 3 3" xfId="14557" xr:uid="{26D5EDB8-446D-44ED-92DD-1758FE7EAEFA}"/>
    <cellStyle name="Normal 5 3 4 2 2 4 4" xfId="17965" xr:uid="{2AE1E099-2F92-4CC3-9CEB-41F26F3FF8DD}"/>
    <cellStyle name="Normal 5 3 4 2 2 4 5" xfId="10344" xr:uid="{6E42B66E-0870-446B-A5EE-F566BF7EE0E8}"/>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24736" xr:uid="{A8F9DDE7-8AC5-4A36-B220-8A8BF255E37A}"/>
    <cellStyle name="Normal 5 3 4 2 2 5 2 2 3" xfId="17115" xr:uid="{7AE0C21D-F2B5-484F-BC27-B34C8E7C8164}"/>
    <cellStyle name="Normal 5 3 4 2 2 5 2 3" xfId="20523" xr:uid="{8F2644CB-DB1F-4FD9-B264-96DA1334E636}"/>
    <cellStyle name="Normal 5 3 4 2 2 5 2 4" xfId="12902" xr:uid="{31C50B8D-65A6-466D-BFA7-ECFE43214C67}"/>
    <cellStyle name="Normal 5 3 4 2 2 5 3" xfId="6475" xr:uid="{00000000-0005-0000-0000-0000261A0000}"/>
    <cellStyle name="Normal 5 3 4 2 2 5 3 2" xfId="22591" xr:uid="{E7BDD15E-DC55-473E-8CF9-8DEACD1BE078}"/>
    <cellStyle name="Normal 5 3 4 2 2 5 3 3" xfId="14970" xr:uid="{3F2ACAD3-5C4F-40A3-A7E7-FC1CF7032EB2}"/>
    <cellStyle name="Normal 5 3 4 2 2 5 4" xfId="18378" xr:uid="{F3154D14-4DBA-47D3-A23C-A1527A580A25}"/>
    <cellStyle name="Normal 5 3 4 2 2 5 5" xfId="10757" xr:uid="{EB33DC12-75F6-4C63-B9C0-D715E9D31004}"/>
    <cellStyle name="Normal 5 3 4 2 2 6" xfId="2605" xr:uid="{00000000-0005-0000-0000-0000271A0000}"/>
    <cellStyle name="Normal 5 3 4 2 2 6 2" xfId="6888" xr:uid="{00000000-0005-0000-0000-0000281A0000}"/>
    <cellStyle name="Normal 5 3 4 2 2 6 2 2" xfId="23004" xr:uid="{5DB63577-98C7-42F3-A2B6-FD1A87025998}"/>
    <cellStyle name="Normal 5 3 4 2 2 6 2 3" xfId="15383" xr:uid="{FE4AF2C5-CCE0-45F0-993A-22BD99AD5B23}"/>
    <cellStyle name="Normal 5 3 4 2 2 6 3" xfId="18791" xr:uid="{DAFBBB6D-45AE-4330-88FE-21A1F3AB865A}"/>
    <cellStyle name="Normal 5 3 4 2 2 6 4" xfId="11170" xr:uid="{5EBCD408-3D9E-4719-BCB9-39A62CB3B37B}"/>
    <cellStyle name="Normal 5 3 4 2 2 7" xfId="4823" xr:uid="{00000000-0005-0000-0000-0000291A0000}"/>
    <cellStyle name="Normal 5 3 4 2 2 7 2" xfId="20939" xr:uid="{8E89C157-BF2C-42C8-8A6C-2663A627AAA8}"/>
    <cellStyle name="Normal 5 3 4 2 2 7 3" xfId="13318" xr:uid="{4575EE72-5A65-4897-8C8D-B4F334400516}"/>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23496" xr:uid="{9A51D7B4-6D77-4282-BDC4-7D773A827BE3}"/>
    <cellStyle name="Normal 5 3 4 2 3 2 2 3" xfId="15875" xr:uid="{16652576-4AA2-46B8-A206-7B3BD3E936F7}"/>
    <cellStyle name="Normal 5 3 4 2 3 2 3" xfId="19283" xr:uid="{5F3AB5F6-110E-482A-A14A-421CFE703E12}"/>
    <cellStyle name="Normal 5 3 4 2 3 2 4" xfId="11662" xr:uid="{1CAE8C61-EE47-4F79-B10E-6133D451849F}"/>
    <cellStyle name="Normal 5 3 4 2 3 3" xfId="5235" xr:uid="{00000000-0005-0000-0000-00002D1A0000}"/>
    <cellStyle name="Normal 5 3 4 2 3 3 2" xfId="21351" xr:uid="{7AB2E915-A8DA-47C0-8471-E1E980556EFB}"/>
    <cellStyle name="Normal 5 3 4 2 3 3 3" xfId="13730" xr:uid="{7C477804-2420-4027-BE47-38C51B897818}"/>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23909" xr:uid="{94EF2E57-7188-417D-A289-6E91021FB157}"/>
    <cellStyle name="Normal 5 3 4 2 4 2 2 3" xfId="16288" xr:uid="{6CDA8E5A-E67F-4674-9F48-564E2D93299D}"/>
    <cellStyle name="Normal 5 3 4 2 4 2 3" xfId="19696" xr:uid="{E21972BB-063F-468E-B108-FDD45E432C6A}"/>
    <cellStyle name="Normal 5 3 4 2 4 2 4" xfId="12075" xr:uid="{C3FA3C37-1BC1-4BF5-8C29-FDD2D2C423BE}"/>
    <cellStyle name="Normal 5 3 4 2 4 3" xfId="5648" xr:uid="{00000000-0005-0000-0000-0000311A0000}"/>
    <cellStyle name="Normal 5 3 4 2 4 3 2" xfId="21764" xr:uid="{5F310187-3C02-4C99-8FCC-479D6C8CA3AF}"/>
    <cellStyle name="Normal 5 3 4 2 4 3 3" xfId="14143" xr:uid="{A191BB3D-BAF4-472B-ACD2-6CEB3A17ED7E}"/>
    <cellStyle name="Normal 5 3 4 2 4 4" xfId="17551" xr:uid="{8DFB71FC-7D2B-4536-B73F-A453499F7DA9}"/>
    <cellStyle name="Normal 5 3 4 2 4 5" xfId="9930" xr:uid="{79327805-4ABE-408C-B0C4-731BF5F9124C}"/>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24322" xr:uid="{215C01C0-DDF5-40EE-A25F-92EB29D83162}"/>
    <cellStyle name="Normal 5 3 4 2 5 2 2 3" xfId="16701" xr:uid="{40FC59A6-2BBC-4B0C-B420-109FC3E10445}"/>
    <cellStyle name="Normal 5 3 4 2 5 2 3" xfId="20109" xr:uid="{BC6606DD-4A53-4E53-8429-0585DDABEEF0}"/>
    <cellStyle name="Normal 5 3 4 2 5 2 4" xfId="12488" xr:uid="{6B56E8B2-325E-423D-965E-091C641E51AE}"/>
    <cellStyle name="Normal 5 3 4 2 5 3" xfId="6061" xr:uid="{00000000-0005-0000-0000-0000351A0000}"/>
    <cellStyle name="Normal 5 3 4 2 5 3 2" xfId="22177" xr:uid="{B4713FD0-5781-4682-8376-5ADBECD216D7}"/>
    <cellStyle name="Normal 5 3 4 2 5 3 3" xfId="14556" xr:uid="{53B49BF0-4519-48D1-81AB-6D88E06F7622}"/>
    <cellStyle name="Normal 5 3 4 2 5 4" xfId="17964" xr:uid="{BD3E2DB7-B32D-4B91-B91B-B4934C8862B1}"/>
    <cellStyle name="Normal 5 3 4 2 5 5" xfId="10343" xr:uid="{4773131C-771F-4BC5-B977-38ED3E9B37B9}"/>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24735" xr:uid="{4BBBBF4A-B40F-4E8B-AF3A-018B6FB3F5BF}"/>
    <cellStyle name="Normal 5 3 4 2 6 2 2 3" xfId="17114" xr:uid="{9293AE53-8EBD-4ADF-B0BC-0C27B3BFBEB5}"/>
    <cellStyle name="Normal 5 3 4 2 6 2 3" xfId="20522" xr:uid="{6595BED7-8556-4792-BBB5-155036C568DB}"/>
    <cellStyle name="Normal 5 3 4 2 6 2 4" xfId="12901" xr:uid="{5AECE047-6C9B-4FE3-BD32-E8F3C5DCE038}"/>
    <cellStyle name="Normal 5 3 4 2 6 3" xfId="6474" xr:uid="{00000000-0005-0000-0000-0000391A0000}"/>
    <cellStyle name="Normal 5 3 4 2 6 3 2" xfId="22590" xr:uid="{0501BD58-5D94-48F4-9A14-550C3587C2DD}"/>
    <cellStyle name="Normal 5 3 4 2 6 3 3" xfId="14969" xr:uid="{C625825A-0329-4633-8C2E-AB51003237E9}"/>
    <cellStyle name="Normal 5 3 4 2 6 4" xfId="18377" xr:uid="{7883BAF6-DA81-47CD-AC1D-1275334DB388}"/>
    <cellStyle name="Normal 5 3 4 2 6 5" xfId="10756" xr:uid="{74C32A8E-E480-402E-8FFF-8B3BE881F4FA}"/>
    <cellStyle name="Normal 5 3 4 2 7" xfId="2604" xr:uid="{00000000-0005-0000-0000-00003A1A0000}"/>
    <cellStyle name="Normal 5 3 4 2 7 2" xfId="6887" xr:uid="{00000000-0005-0000-0000-00003B1A0000}"/>
    <cellStyle name="Normal 5 3 4 2 7 2 2" xfId="23003" xr:uid="{1C3E8956-A07D-4C18-BF97-5F5576B89CBC}"/>
    <cellStyle name="Normal 5 3 4 2 7 2 3" xfId="15382" xr:uid="{47D06E99-58D0-4053-887C-A1118A7C6D92}"/>
    <cellStyle name="Normal 5 3 4 2 7 3" xfId="18790" xr:uid="{936D17CE-235C-4D03-9890-4068CD6A901A}"/>
    <cellStyle name="Normal 5 3 4 2 7 4" xfId="11169" xr:uid="{91AEB722-6ED3-482F-830B-8A40A039FB41}"/>
    <cellStyle name="Normal 5 3 4 2 8" xfId="4822" xr:uid="{00000000-0005-0000-0000-00003C1A0000}"/>
    <cellStyle name="Normal 5 3 4 2 8 2" xfId="20938" xr:uid="{CBD92CA3-2339-49A3-8620-23B772B1023E}"/>
    <cellStyle name="Normal 5 3 4 2 8 3" xfId="13317" xr:uid="{56746C4A-B2C3-4380-A86E-3BAADD472D85}"/>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23498" xr:uid="{7D45608E-19C3-48EC-965E-3EC6E29BFF51}"/>
    <cellStyle name="Normal 5 3 4 3 2 2 2 3" xfId="15877" xr:uid="{DCA6F907-4517-43F8-9254-F1F146650494}"/>
    <cellStyle name="Normal 5 3 4 3 2 2 3" xfId="19285" xr:uid="{10B45B0C-44E0-4F36-BBB7-20C0EBD74A34}"/>
    <cellStyle name="Normal 5 3 4 3 2 2 4" xfId="11664" xr:uid="{B09A10B7-5F3E-4453-B633-9D76CF16C9DA}"/>
    <cellStyle name="Normal 5 3 4 3 2 3" xfId="5237" xr:uid="{00000000-0005-0000-0000-0000411A0000}"/>
    <cellStyle name="Normal 5 3 4 3 2 3 2" xfId="21353" xr:uid="{0BD918CE-88D1-4383-8BD5-78512C623CC2}"/>
    <cellStyle name="Normal 5 3 4 3 2 3 3" xfId="13732" xr:uid="{56409755-3EAA-4B0E-9786-A6EA0F4BEE28}"/>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23911" xr:uid="{E2C0CF03-11A2-40D8-B143-D64817EBF2F3}"/>
    <cellStyle name="Normal 5 3 4 3 3 2 2 3" xfId="16290" xr:uid="{2C76DCE0-7D0D-4ED3-8691-3C60806D3621}"/>
    <cellStyle name="Normal 5 3 4 3 3 2 3" xfId="19698" xr:uid="{65DA6BEC-B314-493D-9FFF-14A6EAB6230B}"/>
    <cellStyle name="Normal 5 3 4 3 3 2 4" xfId="12077" xr:uid="{6B4AE33F-8A38-4DF2-B42A-A2071EC09DBC}"/>
    <cellStyle name="Normal 5 3 4 3 3 3" xfId="5650" xr:uid="{00000000-0005-0000-0000-0000451A0000}"/>
    <cellStyle name="Normal 5 3 4 3 3 3 2" xfId="21766" xr:uid="{99DB895C-AAB2-48A8-A060-4B9614ACFC6A}"/>
    <cellStyle name="Normal 5 3 4 3 3 3 3" xfId="14145" xr:uid="{C2B730BC-060C-455C-88FD-1E113D378640}"/>
    <cellStyle name="Normal 5 3 4 3 3 4" xfId="17553" xr:uid="{B510B5B2-E093-4C9E-9BD2-6E069F7A458E}"/>
    <cellStyle name="Normal 5 3 4 3 3 5" xfId="9932" xr:uid="{756D2543-7D9B-4855-9953-669B39624A92}"/>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24324" xr:uid="{EA83D66C-662C-4D1C-B443-56044D4A7655}"/>
    <cellStyle name="Normal 5 3 4 3 4 2 2 3" xfId="16703" xr:uid="{8B176BD4-ECCB-41FE-A813-7A8FF46480D6}"/>
    <cellStyle name="Normal 5 3 4 3 4 2 3" xfId="20111" xr:uid="{BEFE5120-BD17-43AE-B732-D5A756BBD23A}"/>
    <cellStyle name="Normal 5 3 4 3 4 2 4" xfId="12490" xr:uid="{3B9309E0-040B-476C-8DFA-F3790EF8BC11}"/>
    <cellStyle name="Normal 5 3 4 3 4 3" xfId="6063" xr:uid="{00000000-0005-0000-0000-0000491A0000}"/>
    <cellStyle name="Normal 5 3 4 3 4 3 2" xfId="22179" xr:uid="{84AD5954-BDFE-424E-AB96-21E35902C953}"/>
    <cellStyle name="Normal 5 3 4 3 4 3 3" xfId="14558" xr:uid="{F141CE40-EDE4-46C0-BD8E-73C401B538A8}"/>
    <cellStyle name="Normal 5 3 4 3 4 4" xfId="17966" xr:uid="{9D613EF3-DF3C-4077-A0E8-8E2B7D2A1C47}"/>
    <cellStyle name="Normal 5 3 4 3 4 5" xfId="10345" xr:uid="{394706E3-A5F3-4266-AFFA-8114E6743A0E}"/>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24737" xr:uid="{3C6AD245-C5AB-443C-8FFE-2ADF29843EB3}"/>
    <cellStyle name="Normal 5 3 4 3 5 2 2 3" xfId="17116" xr:uid="{FC3B2309-B8CA-4F42-B1A0-83A2A334C237}"/>
    <cellStyle name="Normal 5 3 4 3 5 2 3" xfId="20524" xr:uid="{1FE73114-16E4-4A68-BC53-27C9188B3ECB}"/>
    <cellStyle name="Normal 5 3 4 3 5 2 4" xfId="12903" xr:uid="{8BB8913E-AEE3-4A9F-A26C-F8370F017F14}"/>
    <cellStyle name="Normal 5 3 4 3 5 3" xfId="6476" xr:uid="{00000000-0005-0000-0000-00004D1A0000}"/>
    <cellStyle name="Normal 5 3 4 3 5 3 2" xfId="22592" xr:uid="{1E84DD80-1756-4641-97F0-A04BF6D1F179}"/>
    <cellStyle name="Normal 5 3 4 3 5 3 3" xfId="14971" xr:uid="{95D68F51-85AA-4894-9008-8E8747F6012E}"/>
    <cellStyle name="Normal 5 3 4 3 5 4" xfId="18379" xr:uid="{B10372C0-7437-48A2-902D-40482FBDF5B6}"/>
    <cellStyle name="Normal 5 3 4 3 5 5" xfId="10758" xr:uid="{A7FD132B-CD4A-4CB6-BBBF-419A99CC932C}"/>
    <cellStyle name="Normal 5 3 4 3 6" xfId="2606" xr:uid="{00000000-0005-0000-0000-00004E1A0000}"/>
    <cellStyle name="Normal 5 3 4 3 6 2" xfId="6889" xr:uid="{00000000-0005-0000-0000-00004F1A0000}"/>
    <cellStyle name="Normal 5 3 4 3 6 2 2" xfId="23005" xr:uid="{50BD59B0-4140-484F-97CC-F4E77551E746}"/>
    <cellStyle name="Normal 5 3 4 3 6 2 3" xfId="15384" xr:uid="{5D90C917-C427-447F-B1A4-BAA893670637}"/>
    <cellStyle name="Normal 5 3 4 3 6 3" xfId="18792" xr:uid="{209790A1-FBCC-4AA8-AB18-911B3DC7C906}"/>
    <cellStyle name="Normal 5 3 4 3 6 4" xfId="11171" xr:uid="{89492429-469C-4413-8EC5-7C1C92930C48}"/>
    <cellStyle name="Normal 5 3 4 3 7" xfId="4824" xr:uid="{00000000-0005-0000-0000-0000501A0000}"/>
    <cellStyle name="Normal 5 3 4 3 7 2" xfId="20940" xr:uid="{9CBA510C-8D6F-422B-A2A2-529333C4A912}"/>
    <cellStyle name="Normal 5 3 4 3 7 3" xfId="13319" xr:uid="{3308AF1B-192D-441A-9B94-EABC7808A19B}"/>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2 2 2" xfId="23495" xr:uid="{B95B3B62-36CC-4C4D-A6CC-D7F32C69F75C}"/>
    <cellStyle name="Normal 5 3 4 4 2 2 3" xfId="15874" xr:uid="{E193122B-E961-4E3C-8F2D-1F0BC29760D6}"/>
    <cellStyle name="Normal 5 3 4 4 2 3" xfId="19282" xr:uid="{49AB6F43-3F7F-44B1-92C4-E526AD3F0397}"/>
    <cellStyle name="Normal 5 3 4 4 2 4" xfId="11661" xr:uid="{28B2BA73-2C0B-4072-B17D-DE497D90D5A3}"/>
    <cellStyle name="Normal 5 3 4 4 3" xfId="5234" xr:uid="{00000000-0005-0000-0000-0000541A0000}"/>
    <cellStyle name="Normal 5 3 4 4 3 2" xfId="21350" xr:uid="{ED82C604-6F6F-43B4-8721-466F0A460C6A}"/>
    <cellStyle name="Normal 5 3 4 4 3 3" xfId="13729" xr:uid="{44416E71-B84A-4F96-B59B-C79DE6BB5C57}"/>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2 2 2" xfId="23908" xr:uid="{8F58ADBC-D69F-4C2A-B874-ED714DC610C5}"/>
    <cellStyle name="Normal 5 3 4 5 2 2 3" xfId="16287" xr:uid="{D4473C62-B8ED-4FD0-A4D9-8FE7A00FE88B}"/>
    <cellStyle name="Normal 5 3 4 5 2 3" xfId="19695" xr:uid="{99F44363-4816-4749-8C0E-1E5DDE8A7802}"/>
    <cellStyle name="Normal 5 3 4 5 2 4" xfId="12074" xr:uid="{A48D0268-C21B-45A4-AA06-4D0E321CB1C6}"/>
    <cellStyle name="Normal 5 3 4 5 3" xfId="5647" xr:uid="{00000000-0005-0000-0000-0000581A0000}"/>
    <cellStyle name="Normal 5 3 4 5 3 2" xfId="21763" xr:uid="{94C0E7AA-0129-4BA5-AD62-55FF026E99A0}"/>
    <cellStyle name="Normal 5 3 4 5 3 3" xfId="14142" xr:uid="{6E7FC29D-35F2-453C-9F16-F6489DB3F964}"/>
    <cellStyle name="Normal 5 3 4 5 4" xfId="17550" xr:uid="{EB269A44-9ED0-4534-A303-5B66C356CBB1}"/>
    <cellStyle name="Normal 5 3 4 5 5" xfId="9929" xr:uid="{9B5D5830-E2D1-4DA1-ABA9-95E7019FB12F}"/>
    <cellStyle name="Normal 5 3 4 6" xfId="1753" xr:uid="{00000000-0005-0000-0000-0000591A0000}"/>
    <cellStyle name="Normal 5 3 4 6 2" xfId="3983" xr:uid="{00000000-0005-0000-0000-00005A1A0000}"/>
    <cellStyle name="Normal 5 3 4 6 2 2" xfId="8205" xr:uid="{00000000-0005-0000-0000-00005B1A0000}"/>
    <cellStyle name="Normal 5 3 4 6 2 2 2" xfId="24321" xr:uid="{004B10A2-4E50-497B-89C8-F6DE32A52F06}"/>
    <cellStyle name="Normal 5 3 4 6 2 2 3" xfId="16700" xr:uid="{890BE800-B0AC-43C0-948E-F11A90580039}"/>
    <cellStyle name="Normal 5 3 4 6 2 3" xfId="20108" xr:uid="{D662B241-DF04-4946-9C6C-16FBD8383D09}"/>
    <cellStyle name="Normal 5 3 4 6 2 4" xfId="12487" xr:uid="{05C7BDDE-8848-4320-9EDB-F1436C95AC77}"/>
    <cellStyle name="Normal 5 3 4 6 3" xfId="6060" xr:uid="{00000000-0005-0000-0000-00005C1A0000}"/>
    <cellStyle name="Normal 5 3 4 6 3 2" xfId="22176" xr:uid="{1ACB6863-08A4-4EDE-BED8-98638923F66C}"/>
    <cellStyle name="Normal 5 3 4 6 3 3" xfId="14555" xr:uid="{7DD79097-D459-499B-8E63-227F6515996D}"/>
    <cellStyle name="Normal 5 3 4 6 4" xfId="17963" xr:uid="{211A1518-00A6-4229-8694-BF2A9BC16C68}"/>
    <cellStyle name="Normal 5 3 4 6 5" xfId="10342" xr:uid="{9780E902-3180-488E-82AE-8C2F95AA8B72}"/>
    <cellStyle name="Normal 5 3 4 7" xfId="2167" xr:uid="{00000000-0005-0000-0000-00005D1A0000}"/>
    <cellStyle name="Normal 5 3 4 7 2" xfId="4396" xr:uid="{00000000-0005-0000-0000-00005E1A0000}"/>
    <cellStyle name="Normal 5 3 4 7 2 2" xfId="8618" xr:uid="{00000000-0005-0000-0000-00005F1A0000}"/>
    <cellStyle name="Normal 5 3 4 7 2 2 2" xfId="24734" xr:uid="{93B7C1FB-FBC8-46BB-A3E3-559D303CA280}"/>
    <cellStyle name="Normal 5 3 4 7 2 2 3" xfId="17113" xr:uid="{54889D6A-F1E0-4043-9780-B176B81D955A}"/>
    <cellStyle name="Normal 5 3 4 7 2 3" xfId="20521" xr:uid="{021DBAF2-AC96-470A-B192-EA50BB95646F}"/>
    <cellStyle name="Normal 5 3 4 7 2 4" xfId="12900" xr:uid="{3B7FB62E-CCB8-49C6-98D0-544A38C17856}"/>
    <cellStyle name="Normal 5 3 4 7 3" xfId="6473" xr:uid="{00000000-0005-0000-0000-0000601A0000}"/>
    <cellStyle name="Normal 5 3 4 7 3 2" xfId="22589" xr:uid="{BB81AA68-76B3-4152-888B-FE9F96734D32}"/>
    <cellStyle name="Normal 5 3 4 7 3 3" xfId="14968" xr:uid="{B14577F9-9A5C-4042-B6DF-02DC71CABDB5}"/>
    <cellStyle name="Normal 5 3 4 7 4" xfId="18376" xr:uid="{10C88CAD-C3DB-4D22-9C06-76F3D09138C1}"/>
    <cellStyle name="Normal 5 3 4 7 5" xfId="10755" xr:uid="{A53BC4F8-72B3-4FC8-B72E-0B42DF5C2743}"/>
    <cellStyle name="Normal 5 3 4 8" xfId="2603" xr:uid="{00000000-0005-0000-0000-0000611A0000}"/>
    <cellStyle name="Normal 5 3 4 8 2" xfId="6886" xr:uid="{00000000-0005-0000-0000-0000621A0000}"/>
    <cellStyle name="Normal 5 3 4 8 2 2" xfId="23002" xr:uid="{2BBB4CAB-0DFB-4E3F-B03D-454AC1F850B4}"/>
    <cellStyle name="Normal 5 3 4 8 2 3" xfId="15381" xr:uid="{BF035093-C0F2-4C78-B859-39034EE92047}"/>
    <cellStyle name="Normal 5 3 4 8 3" xfId="18789" xr:uid="{65D7524C-5409-429D-B467-1AF2D1707008}"/>
    <cellStyle name="Normal 5 3 4 8 4" xfId="11168" xr:uid="{D29D2921-BF71-44AC-A0FE-228CEC57858A}"/>
    <cellStyle name="Normal 5 3 4 9" xfId="4821" xr:uid="{00000000-0005-0000-0000-0000631A0000}"/>
    <cellStyle name="Normal 5 3 4 9 2" xfId="20937" xr:uid="{13EBC928-314C-4C1A-B1A9-DEEC2BF26009}"/>
    <cellStyle name="Normal 5 3 4 9 3" xfId="13316" xr:uid="{6D2269E3-1225-41AF-846F-445EC4D23419}"/>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23500" xr:uid="{AEC5548D-CF1E-4560-BA34-FB90D57CD5F4}"/>
    <cellStyle name="Normal 5 3 5 2 2 2 2 3" xfId="15879" xr:uid="{39A8746B-C0C1-4FA8-96BB-AD463CB1E780}"/>
    <cellStyle name="Normal 5 3 5 2 2 2 3" xfId="19287" xr:uid="{8898256A-AF76-4A01-8037-95F47275B501}"/>
    <cellStyle name="Normal 5 3 5 2 2 2 4" xfId="11666" xr:uid="{E558DB53-00F3-44F6-B2B9-D061D4CA1AFD}"/>
    <cellStyle name="Normal 5 3 5 2 2 3" xfId="5239" xr:uid="{00000000-0005-0000-0000-0000691A0000}"/>
    <cellStyle name="Normal 5 3 5 2 2 3 2" xfId="21355" xr:uid="{7BB87087-B3FD-4845-B603-F9097ACC2CBD}"/>
    <cellStyle name="Normal 5 3 5 2 2 3 3" xfId="13734" xr:uid="{A97F1C60-C27E-4DCE-AA6D-D09728898048}"/>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23913" xr:uid="{9C9FA5DF-8393-4BFF-9D96-0BDC47427ACD}"/>
    <cellStyle name="Normal 5 3 5 2 3 2 2 3" xfId="16292" xr:uid="{094D32CA-491F-4CCA-83F7-1E68F60B0B79}"/>
    <cellStyle name="Normal 5 3 5 2 3 2 3" xfId="19700" xr:uid="{EF45A448-7D9B-4FBA-8765-03504175906C}"/>
    <cellStyle name="Normal 5 3 5 2 3 2 4" xfId="12079" xr:uid="{7ECB19B0-32AB-4B56-853B-FE5BE7438606}"/>
    <cellStyle name="Normal 5 3 5 2 3 3" xfId="5652" xr:uid="{00000000-0005-0000-0000-00006D1A0000}"/>
    <cellStyle name="Normal 5 3 5 2 3 3 2" xfId="21768" xr:uid="{053E966F-6030-485B-A31D-6644FB901A8D}"/>
    <cellStyle name="Normal 5 3 5 2 3 3 3" xfId="14147" xr:uid="{43FC73CC-45A5-4204-A4C4-5EDA8201DDA9}"/>
    <cellStyle name="Normal 5 3 5 2 3 4" xfId="17555" xr:uid="{FB3854ED-41EC-4E0E-A3A6-D21A488F52A8}"/>
    <cellStyle name="Normal 5 3 5 2 3 5" xfId="9934" xr:uid="{D81BC1DB-9B68-4A0C-A773-55D4A86699AF}"/>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24326" xr:uid="{4BC8DD03-F013-4196-B632-494A270A28E9}"/>
    <cellStyle name="Normal 5 3 5 2 4 2 2 3" xfId="16705" xr:uid="{C5EBA065-F653-47EE-840C-6794D4E024D8}"/>
    <cellStyle name="Normal 5 3 5 2 4 2 3" xfId="20113" xr:uid="{7EADB041-627F-49A5-B1CD-B2A1BA644919}"/>
    <cellStyle name="Normal 5 3 5 2 4 2 4" xfId="12492" xr:uid="{FE1F98B9-8C70-4E51-BA03-90ACC07BAE77}"/>
    <cellStyle name="Normal 5 3 5 2 4 3" xfId="6065" xr:uid="{00000000-0005-0000-0000-0000711A0000}"/>
    <cellStyle name="Normal 5 3 5 2 4 3 2" xfId="22181" xr:uid="{BB9A013A-0BE7-467B-9A40-957B33745323}"/>
    <cellStyle name="Normal 5 3 5 2 4 3 3" xfId="14560" xr:uid="{A9FD1629-BE8F-4F4B-982D-7660ED5468C8}"/>
    <cellStyle name="Normal 5 3 5 2 4 4" xfId="17968" xr:uid="{CC82FDB4-A26B-4431-8A02-7B6AA6C161C9}"/>
    <cellStyle name="Normal 5 3 5 2 4 5" xfId="10347" xr:uid="{2A28AD43-75CC-4990-B658-44745FC28F65}"/>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24739" xr:uid="{01F7D4C0-36DA-4D45-BE81-CFB018221510}"/>
    <cellStyle name="Normal 5 3 5 2 5 2 2 3" xfId="17118" xr:uid="{A5D68246-5317-40AD-80A6-ABFDDC87A57C}"/>
    <cellStyle name="Normal 5 3 5 2 5 2 3" xfId="20526" xr:uid="{DD7AD4B7-1886-4434-951C-B26B5A83C0AD}"/>
    <cellStyle name="Normal 5 3 5 2 5 2 4" xfId="12905" xr:uid="{C68B3423-074D-47E6-B8A1-9E69004472F2}"/>
    <cellStyle name="Normal 5 3 5 2 5 3" xfId="6478" xr:uid="{00000000-0005-0000-0000-0000751A0000}"/>
    <cellStyle name="Normal 5 3 5 2 5 3 2" xfId="22594" xr:uid="{C90C6FF9-0121-489E-AF1B-086DAEFAF5A4}"/>
    <cellStyle name="Normal 5 3 5 2 5 3 3" xfId="14973" xr:uid="{99615E5E-5FDD-42C3-92DB-3164453B0324}"/>
    <cellStyle name="Normal 5 3 5 2 5 4" xfId="18381" xr:uid="{C80BBC1B-CC08-4B0B-B362-FB966654F7AF}"/>
    <cellStyle name="Normal 5 3 5 2 5 5" xfId="10760" xr:uid="{45A18013-DCED-48DD-A75A-472AE88757C0}"/>
    <cellStyle name="Normal 5 3 5 2 6" xfId="2608" xr:uid="{00000000-0005-0000-0000-0000761A0000}"/>
    <cellStyle name="Normal 5 3 5 2 6 2" xfId="6891" xr:uid="{00000000-0005-0000-0000-0000771A0000}"/>
    <cellStyle name="Normal 5 3 5 2 6 2 2" xfId="23007" xr:uid="{F73A2C65-EACA-412B-96BE-AB6C5FEB58D0}"/>
    <cellStyle name="Normal 5 3 5 2 6 2 3" xfId="15386" xr:uid="{FFAA2ED9-45F9-41D1-89C1-0996AF6D9BD5}"/>
    <cellStyle name="Normal 5 3 5 2 6 3" xfId="18794" xr:uid="{3287C0F4-DA48-49B4-88F7-7C360047558C}"/>
    <cellStyle name="Normal 5 3 5 2 6 4" xfId="11173" xr:uid="{A8EF3590-ED36-4915-859A-A9A9A11E695B}"/>
    <cellStyle name="Normal 5 3 5 2 7" xfId="4826" xr:uid="{00000000-0005-0000-0000-0000781A0000}"/>
    <cellStyle name="Normal 5 3 5 2 7 2" xfId="20942" xr:uid="{80B1130B-F13D-4657-888B-E861E8EF85D2}"/>
    <cellStyle name="Normal 5 3 5 2 7 3" xfId="13321" xr:uid="{B29355A3-2284-4939-9345-79EBD077CB9B}"/>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2 2 2" xfId="23499" xr:uid="{1D7A0408-95C0-4CC4-A0F7-4D25A5518CC8}"/>
    <cellStyle name="Normal 5 3 5 3 2 2 3" xfId="15878" xr:uid="{02CD87E2-8747-41BB-8EE8-209C1973F1AB}"/>
    <cellStyle name="Normal 5 3 5 3 2 3" xfId="19286" xr:uid="{52BCA7A4-B1F9-4997-B224-99AB1AEE15B5}"/>
    <cellStyle name="Normal 5 3 5 3 2 4" xfId="11665" xr:uid="{88117A05-A8C2-4D87-9D06-C3AB05B83C13}"/>
    <cellStyle name="Normal 5 3 5 3 3" xfId="5238" xr:uid="{00000000-0005-0000-0000-00007C1A0000}"/>
    <cellStyle name="Normal 5 3 5 3 3 2" xfId="21354" xr:uid="{6F56E973-207D-4371-B5E7-6A843EE9BCB2}"/>
    <cellStyle name="Normal 5 3 5 3 3 3" xfId="13733" xr:uid="{AFE6F8E7-B54B-4BA3-9381-9EB08F355BDD}"/>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2 2 2" xfId="23912" xr:uid="{572EC5FA-6A69-43AE-8582-17BB6A8A489D}"/>
    <cellStyle name="Normal 5 3 5 4 2 2 3" xfId="16291" xr:uid="{650F1F5E-4C03-49F3-A991-280AABDF7E3A}"/>
    <cellStyle name="Normal 5 3 5 4 2 3" xfId="19699" xr:uid="{A51EA74C-134E-4399-AF93-7153804D7556}"/>
    <cellStyle name="Normal 5 3 5 4 2 4" xfId="12078" xr:uid="{F7E6E317-63AB-45E0-A7A1-6B8831239B6C}"/>
    <cellStyle name="Normal 5 3 5 4 3" xfId="5651" xr:uid="{00000000-0005-0000-0000-0000801A0000}"/>
    <cellStyle name="Normal 5 3 5 4 3 2" xfId="21767" xr:uid="{85E95E46-CF5C-4A42-B835-1A651007E978}"/>
    <cellStyle name="Normal 5 3 5 4 3 3" xfId="14146" xr:uid="{7FEE172D-6C02-4381-8884-BF54CFBB367D}"/>
    <cellStyle name="Normal 5 3 5 4 4" xfId="17554" xr:uid="{2EF9C08E-D438-4B34-B23A-5A8C1D89823E}"/>
    <cellStyle name="Normal 5 3 5 4 5" xfId="9933" xr:uid="{922A717A-ED3C-4494-B194-70D3CC51682E}"/>
    <cellStyle name="Normal 5 3 5 5" xfId="1757" xr:uid="{00000000-0005-0000-0000-0000811A0000}"/>
    <cellStyle name="Normal 5 3 5 5 2" xfId="3987" xr:uid="{00000000-0005-0000-0000-0000821A0000}"/>
    <cellStyle name="Normal 5 3 5 5 2 2" xfId="8209" xr:uid="{00000000-0005-0000-0000-0000831A0000}"/>
    <cellStyle name="Normal 5 3 5 5 2 2 2" xfId="24325" xr:uid="{52924DFD-8DF0-41DA-BC4F-C61A9CA4D0B9}"/>
    <cellStyle name="Normal 5 3 5 5 2 2 3" xfId="16704" xr:uid="{329B90F6-A100-4949-881B-09CCB5F4B5B1}"/>
    <cellStyle name="Normal 5 3 5 5 2 3" xfId="20112" xr:uid="{8752DABC-89C9-4EFC-A529-456C8B5D0C16}"/>
    <cellStyle name="Normal 5 3 5 5 2 4" xfId="12491" xr:uid="{249FD496-8D49-4EAA-8EBA-247F5612CB55}"/>
    <cellStyle name="Normal 5 3 5 5 3" xfId="6064" xr:uid="{00000000-0005-0000-0000-0000841A0000}"/>
    <cellStyle name="Normal 5 3 5 5 3 2" xfId="22180" xr:uid="{1C23623F-224E-4D5C-A0F8-11B6756254DC}"/>
    <cellStyle name="Normal 5 3 5 5 3 3" xfId="14559" xr:uid="{D921CEE3-AD55-4AD9-ACB5-4E57E4DA4212}"/>
    <cellStyle name="Normal 5 3 5 5 4" xfId="17967" xr:uid="{8201D4DD-D2CD-45FA-8F3E-845DBAB4B67D}"/>
    <cellStyle name="Normal 5 3 5 5 5" xfId="10346" xr:uid="{72095510-5184-4055-AA02-6636949EC579}"/>
    <cellStyle name="Normal 5 3 5 6" xfId="2171" xr:uid="{00000000-0005-0000-0000-0000851A0000}"/>
    <cellStyle name="Normal 5 3 5 6 2" xfId="4400" xr:uid="{00000000-0005-0000-0000-0000861A0000}"/>
    <cellStyle name="Normal 5 3 5 6 2 2" xfId="8622" xr:uid="{00000000-0005-0000-0000-0000871A0000}"/>
    <cellStyle name="Normal 5 3 5 6 2 2 2" xfId="24738" xr:uid="{392EDCB6-5A31-436E-B311-C1DAF1D16652}"/>
    <cellStyle name="Normal 5 3 5 6 2 2 3" xfId="17117" xr:uid="{F0A3E5BF-3C57-47B8-B9AB-59AF772BFBB0}"/>
    <cellStyle name="Normal 5 3 5 6 2 3" xfId="20525" xr:uid="{44FA9BA1-BCD5-4DCC-8CD1-652BFE00BF27}"/>
    <cellStyle name="Normal 5 3 5 6 2 4" xfId="12904" xr:uid="{55DB8646-FF42-464B-AF2E-5BEEC39E6828}"/>
    <cellStyle name="Normal 5 3 5 6 3" xfId="6477" xr:uid="{00000000-0005-0000-0000-0000881A0000}"/>
    <cellStyle name="Normal 5 3 5 6 3 2" xfId="22593" xr:uid="{8A8DAD82-5DED-49DB-944A-F27E92727755}"/>
    <cellStyle name="Normal 5 3 5 6 3 3" xfId="14972" xr:uid="{3C494AFF-BB5C-48B0-9D98-FF2BD103D654}"/>
    <cellStyle name="Normal 5 3 5 6 4" xfId="18380" xr:uid="{3D73CF7F-2955-46A3-8A59-9EE0E3098C26}"/>
    <cellStyle name="Normal 5 3 5 6 5" xfId="10759" xr:uid="{4A6FAE28-1A6E-436E-8785-CDAC48A97E66}"/>
    <cellStyle name="Normal 5 3 5 7" xfId="2607" xr:uid="{00000000-0005-0000-0000-0000891A0000}"/>
    <cellStyle name="Normal 5 3 5 7 2" xfId="6890" xr:uid="{00000000-0005-0000-0000-00008A1A0000}"/>
    <cellStyle name="Normal 5 3 5 7 2 2" xfId="23006" xr:uid="{6FBF9D5D-5DB9-48F6-910E-8783215F6279}"/>
    <cellStyle name="Normal 5 3 5 7 2 3" xfId="15385" xr:uid="{C661CB88-249D-451B-8552-346D605D777C}"/>
    <cellStyle name="Normal 5 3 5 7 3" xfId="18793" xr:uid="{AE5C0625-ACA9-4563-B9E0-2CB2F4E5F788}"/>
    <cellStyle name="Normal 5 3 5 7 4" xfId="11172" xr:uid="{622A439F-94C3-4B1E-8689-445990077DDF}"/>
    <cellStyle name="Normal 5 3 5 8" xfId="4825" xr:uid="{00000000-0005-0000-0000-00008B1A0000}"/>
    <cellStyle name="Normal 5 3 5 8 2" xfId="20941" xr:uid="{C99D8786-BF59-4280-AB04-6F4E339C3364}"/>
    <cellStyle name="Normal 5 3 5 8 3" xfId="13320" xr:uid="{AFB1A14E-0F3C-4D6C-B197-9BAB42735CBE}"/>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23501" xr:uid="{676E922C-9BE8-4E3F-A00B-7FC228C05D3D}"/>
    <cellStyle name="Normal 5 3 6 2 2 2 3" xfId="15880" xr:uid="{A36278DD-FD84-41A4-9188-8EADDE338E8B}"/>
    <cellStyle name="Normal 5 3 6 2 2 3" xfId="19288" xr:uid="{D323D1D1-4B3A-4336-A771-941961E142AA}"/>
    <cellStyle name="Normal 5 3 6 2 2 4" xfId="11667" xr:uid="{09B419D6-0BB2-4CAE-AF22-AEDE0453360C}"/>
    <cellStyle name="Normal 5 3 6 2 3" xfId="5240" xr:uid="{00000000-0005-0000-0000-0000901A0000}"/>
    <cellStyle name="Normal 5 3 6 2 3 2" xfId="21356" xr:uid="{6A1C0730-8745-4948-B805-D3E6EB5B6AB5}"/>
    <cellStyle name="Normal 5 3 6 2 3 3" xfId="13735" xr:uid="{178CA11A-57C0-4CFF-876C-B783F4A2BF3D}"/>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2 2 2" xfId="23914" xr:uid="{A5DEBF44-9159-4A63-9A2A-E1F25D63260B}"/>
    <cellStyle name="Normal 5 3 6 3 2 2 3" xfId="16293" xr:uid="{1F6D054C-510F-480C-807A-D4B229A37A9F}"/>
    <cellStyle name="Normal 5 3 6 3 2 3" xfId="19701" xr:uid="{F39B1F6E-07B4-4538-B539-3F75FBB55CBA}"/>
    <cellStyle name="Normal 5 3 6 3 2 4" xfId="12080" xr:uid="{B6819D57-AE19-4ED2-A4C6-3924C6DD29BC}"/>
    <cellStyle name="Normal 5 3 6 3 3" xfId="5653" xr:uid="{00000000-0005-0000-0000-0000941A0000}"/>
    <cellStyle name="Normal 5 3 6 3 3 2" xfId="21769" xr:uid="{9DD30C13-C385-4047-98F0-AF237BBE0D3E}"/>
    <cellStyle name="Normal 5 3 6 3 3 3" xfId="14148" xr:uid="{2163E57C-C122-4DBF-B7ED-77E442296A9F}"/>
    <cellStyle name="Normal 5 3 6 3 4" xfId="17556" xr:uid="{57803EF2-56C8-4CDE-B6D1-756F8C6C3E35}"/>
    <cellStyle name="Normal 5 3 6 3 5" xfId="9935" xr:uid="{98FF9987-4D41-49FB-97AD-035917B99F89}"/>
    <cellStyle name="Normal 5 3 6 4" xfId="1759" xr:uid="{00000000-0005-0000-0000-0000951A0000}"/>
    <cellStyle name="Normal 5 3 6 4 2" xfId="3989" xr:uid="{00000000-0005-0000-0000-0000961A0000}"/>
    <cellStyle name="Normal 5 3 6 4 2 2" xfId="8211" xr:uid="{00000000-0005-0000-0000-0000971A0000}"/>
    <cellStyle name="Normal 5 3 6 4 2 2 2" xfId="24327" xr:uid="{A747F0B7-B3C8-4C1B-B8C3-9F200600C52F}"/>
    <cellStyle name="Normal 5 3 6 4 2 2 3" xfId="16706" xr:uid="{F9A6A977-0640-49BC-94AE-C5B5D65046A0}"/>
    <cellStyle name="Normal 5 3 6 4 2 3" xfId="20114" xr:uid="{D7DFA32E-4E73-44EB-99EF-1BDB4A6C9F9F}"/>
    <cellStyle name="Normal 5 3 6 4 2 4" xfId="12493" xr:uid="{C04ECAAA-F2A9-4364-9B9B-FF6E8C8F3120}"/>
    <cellStyle name="Normal 5 3 6 4 3" xfId="6066" xr:uid="{00000000-0005-0000-0000-0000981A0000}"/>
    <cellStyle name="Normal 5 3 6 4 3 2" xfId="22182" xr:uid="{C9A969F8-E90C-4412-BFA6-A153D8292BCE}"/>
    <cellStyle name="Normal 5 3 6 4 3 3" xfId="14561" xr:uid="{21EDE01D-FFDB-461C-A4D5-90DD51B3345D}"/>
    <cellStyle name="Normal 5 3 6 4 4" xfId="17969" xr:uid="{8203AADF-2214-4075-B101-44454846F73D}"/>
    <cellStyle name="Normal 5 3 6 4 5" xfId="10348" xr:uid="{D199792E-28B1-47A1-9A2C-BF6F01FB9240}"/>
    <cellStyle name="Normal 5 3 6 5" xfId="2173" xr:uid="{00000000-0005-0000-0000-0000991A0000}"/>
    <cellStyle name="Normal 5 3 6 5 2" xfId="4402" xr:uid="{00000000-0005-0000-0000-00009A1A0000}"/>
    <cellStyle name="Normal 5 3 6 5 2 2" xfId="8624" xr:uid="{00000000-0005-0000-0000-00009B1A0000}"/>
    <cellStyle name="Normal 5 3 6 5 2 2 2" xfId="24740" xr:uid="{58E8D3CA-7744-42BD-B038-2F95F830A010}"/>
    <cellStyle name="Normal 5 3 6 5 2 2 3" xfId="17119" xr:uid="{AE8569E0-F52F-462F-B914-A62E9DDA5A12}"/>
    <cellStyle name="Normal 5 3 6 5 2 3" xfId="20527" xr:uid="{D555F771-9717-42E2-A21F-FF1B48CE912B}"/>
    <cellStyle name="Normal 5 3 6 5 2 4" xfId="12906" xr:uid="{39697586-87F4-4FDB-9D83-8F78B987248F}"/>
    <cellStyle name="Normal 5 3 6 5 3" xfId="6479" xr:uid="{00000000-0005-0000-0000-00009C1A0000}"/>
    <cellStyle name="Normal 5 3 6 5 3 2" xfId="22595" xr:uid="{EF915282-C8AA-426F-9FF8-C63C1B2344DF}"/>
    <cellStyle name="Normal 5 3 6 5 3 3" xfId="14974" xr:uid="{8BCF930C-3308-4A0D-89B7-4A858C4B4AB8}"/>
    <cellStyle name="Normal 5 3 6 5 4" xfId="18382" xr:uid="{4ED96ED3-2A83-4D59-948B-71EA2244B9D5}"/>
    <cellStyle name="Normal 5 3 6 5 5" xfId="10761" xr:uid="{E6B6A3E9-9B22-475C-A97D-0EC56BD1C031}"/>
    <cellStyle name="Normal 5 3 6 6" xfId="2609" xr:uid="{00000000-0005-0000-0000-00009D1A0000}"/>
    <cellStyle name="Normal 5 3 6 6 2" xfId="6892" xr:uid="{00000000-0005-0000-0000-00009E1A0000}"/>
    <cellStyle name="Normal 5 3 6 6 2 2" xfId="23008" xr:uid="{76078AE4-1E78-42F9-845C-88724FF978EA}"/>
    <cellStyle name="Normal 5 3 6 6 2 3" xfId="15387" xr:uid="{124A341D-8DAD-40F3-9AA0-33F1E5DF38C5}"/>
    <cellStyle name="Normal 5 3 6 6 3" xfId="18795" xr:uid="{23351044-16ED-4FA5-A1D2-9B5678AB4569}"/>
    <cellStyle name="Normal 5 3 6 6 4" xfId="11174" xr:uid="{82DE0D5F-675E-456C-9C55-058C48076BBC}"/>
    <cellStyle name="Normal 5 3 6 7" xfId="4827" xr:uid="{00000000-0005-0000-0000-00009F1A0000}"/>
    <cellStyle name="Normal 5 3 6 7 2" xfId="20943" xr:uid="{2B970895-C8E6-4414-A930-463C315E0DD0}"/>
    <cellStyle name="Normal 5 3 6 7 3" xfId="13322" xr:uid="{F7C668C3-5F32-4217-9141-230B758C2EFB}"/>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2 2 2" xfId="23486" xr:uid="{E8344F99-E5FB-40B9-92BF-1C2E8DE4156F}"/>
    <cellStyle name="Normal 5 3 7 2 2 3" xfId="15865" xr:uid="{EF75EC8B-E8AE-44DC-88D6-111BD736E954}"/>
    <cellStyle name="Normal 5 3 7 2 3" xfId="19273" xr:uid="{78DB484F-B708-4D13-B22A-CE24E2EAEA00}"/>
    <cellStyle name="Normal 5 3 7 2 4" xfId="11652" xr:uid="{B260A5D7-1F97-48CD-8C36-49234B2AEA12}"/>
    <cellStyle name="Normal 5 3 7 3" xfId="5225" xr:uid="{00000000-0005-0000-0000-0000A31A0000}"/>
    <cellStyle name="Normal 5 3 7 3 2" xfId="21341" xr:uid="{00403712-6CE6-44A3-93A3-349070E3D1D4}"/>
    <cellStyle name="Normal 5 3 7 3 3" xfId="13720" xr:uid="{CA4E8A4D-1138-4842-ACA5-94D7F4371571}"/>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2 2 2" xfId="23899" xr:uid="{C93A1B21-19FA-49CD-9A36-584F513C4C2E}"/>
    <cellStyle name="Normal 5 3 8 2 2 3" xfId="16278" xr:uid="{184ADEE4-AA03-48E1-87FC-634E77013257}"/>
    <cellStyle name="Normal 5 3 8 2 3" xfId="19686" xr:uid="{12B74CB4-47C5-4A44-9096-DEB764E457C6}"/>
    <cellStyle name="Normal 5 3 8 2 4" xfId="12065" xr:uid="{5390AD01-FACC-4943-90B8-36492F0AFD30}"/>
    <cellStyle name="Normal 5 3 8 3" xfId="5638" xr:uid="{00000000-0005-0000-0000-0000A71A0000}"/>
    <cellStyle name="Normal 5 3 8 3 2" xfId="21754" xr:uid="{52D40FCE-D605-466F-95A5-46310E8DF0F9}"/>
    <cellStyle name="Normal 5 3 8 3 3" xfId="14133" xr:uid="{02B87997-BAFE-4388-84E8-D68E1F6E371F}"/>
    <cellStyle name="Normal 5 3 8 4" xfId="17541" xr:uid="{9B17E837-91CA-486E-998B-A38C33AFF332}"/>
    <cellStyle name="Normal 5 3 8 5" xfId="9920" xr:uid="{B775C49F-D7B5-473D-8B3B-900D12DFDADD}"/>
    <cellStyle name="Normal 5 3 9" xfId="1744" xr:uid="{00000000-0005-0000-0000-0000A81A0000}"/>
    <cellStyle name="Normal 5 3 9 2" xfId="3974" xr:uid="{00000000-0005-0000-0000-0000A91A0000}"/>
    <cellStyle name="Normal 5 3 9 2 2" xfId="8196" xr:uid="{00000000-0005-0000-0000-0000AA1A0000}"/>
    <cellStyle name="Normal 5 3 9 2 2 2" xfId="24312" xr:uid="{AC98BC83-40FD-4616-B67D-E36EB1BBE91C}"/>
    <cellStyle name="Normal 5 3 9 2 2 3" xfId="16691" xr:uid="{691D6944-19D1-4D23-A2AB-654844ECB994}"/>
    <cellStyle name="Normal 5 3 9 2 3" xfId="20099" xr:uid="{F57374F9-6B66-4642-A4DE-5506098D05D2}"/>
    <cellStyle name="Normal 5 3 9 2 4" xfId="12478" xr:uid="{851ECEF5-ECA6-4292-870C-9ED18D74B778}"/>
    <cellStyle name="Normal 5 3 9 3" xfId="6051" xr:uid="{00000000-0005-0000-0000-0000AB1A0000}"/>
    <cellStyle name="Normal 5 3 9 3 2" xfId="22167" xr:uid="{A49EAEE7-C7FE-439F-944A-CA9ECEADDBFC}"/>
    <cellStyle name="Normal 5 3 9 3 3" xfId="14546" xr:uid="{493D4249-D797-424B-BA93-8B62176FCC26}"/>
    <cellStyle name="Normal 5 3 9 4" xfId="17954" xr:uid="{95D59109-B891-4564-B46A-293554646982}"/>
    <cellStyle name="Normal 5 3 9 5" xfId="10333" xr:uid="{EDCBAC12-88BB-45C7-BF61-DBB15EFCF755}"/>
    <cellStyle name="Normal 5 4" xfId="456" xr:uid="{00000000-0005-0000-0000-0000AC1A0000}"/>
    <cellStyle name="Normal 5 4 10" xfId="4828" xr:uid="{00000000-0005-0000-0000-0000AD1A0000}"/>
    <cellStyle name="Normal 5 4 10 2" xfId="20944" xr:uid="{B64C912A-2F2C-43A6-9A37-33EBA83977CC}"/>
    <cellStyle name="Normal 5 4 10 3" xfId="13323" xr:uid="{DC3BAF39-112B-43CB-940C-070B0F89B105}"/>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23505" xr:uid="{5CC4E555-CF9A-448C-BAC8-AAA94D499E19}"/>
    <cellStyle name="Normal 5 4 2 2 2 2 2 2 3" xfId="15884" xr:uid="{528E4976-AC04-4CE0-A7AA-8C5432ACD889}"/>
    <cellStyle name="Normal 5 4 2 2 2 2 2 3" xfId="19292" xr:uid="{60139DB8-04B9-46A6-AFFB-2FCBF6C39665}"/>
    <cellStyle name="Normal 5 4 2 2 2 2 2 4" xfId="11671" xr:uid="{CBB7E5AF-BD0F-4B52-902B-CB860B884096}"/>
    <cellStyle name="Normal 5 4 2 2 2 2 3" xfId="5244" xr:uid="{00000000-0005-0000-0000-0000B41A0000}"/>
    <cellStyle name="Normal 5 4 2 2 2 2 3 2" xfId="21360" xr:uid="{E0B48F2D-3B70-4FA2-A75B-01858D8EDA75}"/>
    <cellStyle name="Normal 5 4 2 2 2 2 3 3" xfId="13739" xr:uid="{4E0E5ADC-98C7-4D53-82B8-A9EA03E50643}"/>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23918" xr:uid="{F387CF41-3F33-4ECC-9580-9CC1C4EA9733}"/>
    <cellStyle name="Normal 5 4 2 2 2 3 2 2 3" xfId="16297" xr:uid="{43D8BC6F-AC94-43BF-B610-460B5832989C}"/>
    <cellStyle name="Normal 5 4 2 2 2 3 2 3" xfId="19705" xr:uid="{5D82B2F2-E587-4684-9269-8E5E9D5A844F}"/>
    <cellStyle name="Normal 5 4 2 2 2 3 2 4" xfId="12084" xr:uid="{90CAE43C-88E0-43B6-B035-F850C9888DB4}"/>
    <cellStyle name="Normal 5 4 2 2 2 3 3" xfId="5657" xr:uid="{00000000-0005-0000-0000-0000B81A0000}"/>
    <cellStyle name="Normal 5 4 2 2 2 3 3 2" xfId="21773" xr:uid="{B8942CE7-6B8C-44AD-B288-6F3A2A71137E}"/>
    <cellStyle name="Normal 5 4 2 2 2 3 3 3" xfId="14152" xr:uid="{4FA726A9-E7FB-450B-942D-DD20ACAE346E}"/>
    <cellStyle name="Normal 5 4 2 2 2 3 4" xfId="17560" xr:uid="{8451A5CD-5E86-41A6-957A-466CC9F4C0C2}"/>
    <cellStyle name="Normal 5 4 2 2 2 3 5" xfId="9939" xr:uid="{497CA73B-DC7C-40A8-A8C9-73E203103C03}"/>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24331" xr:uid="{3063B91E-9E26-4C2A-A531-E36F01269994}"/>
    <cellStyle name="Normal 5 4 2 2 2 4 2 2 3" xfId="16710" xr:uid="{E115E9D2-0F8A-48D3-AD67-468405A393CF}"/>
    <cellStyle name="Normal 5 4 2 2 2 4 2 3" xfId="20118" xr:uid="{BFF25B2E-5DAE-4B85-9BC4-1D737BD0A847}"/>
    <cellStyle name="Normal 5 4 2 2 2 4 2 4" xfId="12497" xr:uid="{DDA77FA9-AB94-491E-9DB3-B3B496729B66}"/>
    <cellStyle name="Normal 5 4 2 2 2 4 3" xfId="6070" xr:uid="{00000000-0005-0000-0000-0000BC1A0000}"/>
    <cellStyle name="Normal 5 4 2 2 2 4 3 2" xfId="22186" xr:uid="{05DD8803-7A57-420B-BF79-BBD7F180049C}"/>
    <cellStyle name="Normal 5 4 2 2 2 4 3 3" xfId="14565" xr:uid="{EDF0C39F-AC9B-4498-88C0-DC47A1008C66}"/>
    <cellStyle name="Normal 5 4 2 2 2 4 4" xfId="17973" xr:uid="{33816DEB-D966-4D36-BB73-2B4E3807E03E}"/>
    <cellStyle name="Normal 5 4 2 2 2 4 5" xfId="10352" xr:uid="{DBCC65ED-E763-456D-846C-87546590CE8E}"/>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24744" xr:uid="{D82D1B5E-212F-43E6-9474-814E6E1C411F}"/>
    <cellStyle name="Normal 5 4 2 2 2 5 2 2 3" xfId="17123" xr:uid="{9A39B488-A918-4057-A5D5-ECC4FC69E044}"/>
    <cellStyle name="Normal 5 4 2 2 2 5 2 3" xfId="20531" xr:uid="{BC383D09-2AD3-47C3-AE2E-D4E1B6B7D494}"/>
    <cellStyle name="Normal 5 4 2 2 2 5 2 4" xfId="12910" xr:uid="{37445202-C38A-42E2-9A8D-E759E4CF6C82}"/>
    <cellStyle name="Normal 5 4 2 2 2 5 3" xfId="6483" xr:uid="{00000000-0005-0000-0000-0000C01A0000}"/>
    <cellStyle name="Normal 5 4 2 2 2 5 3 2" xfId="22599" xr:uid="{B7F8AB5C-A128-4AE9-B278-17EC1F99A198}"/>
    <cellStyle name="Normal 5 4 2 2 2 5 3 3" xfId="14978" xr:uid="{D7C2B00E-331B-4BB7-9A88-2B91FD720757}"/>
    <cellStyle name="Normal 5 4 2 2 2 5 4" xfId="18386" xr:uid="{8C7F570A-1A26-4BFE-AABA-E612BDC27E05}"/>
    <cellStyle name="Normal 5 4 2 2 2 5 5" xfId="10765" xr:uid="{6555E96F-C8A9-472D-AD7F-D73C2B1014EF}"/>
    <cellStyle name="Normal 5 4 2 2 2 6" xfId="2613" xr:uid="{00000000-0005-0000-0000-0000C11A0000}"/>
    <cellStyle name="Normal 5 4 2 2 2 6 2" xfId="6896" xr:uid="{00000000-0005-0000-0000-0000C21A0000}"/>
    <cellStyle name="Normal 5 4 2 2 2 6 2 2" xfId="23012" xr:uid="{31B6D16D-C2AD-4DD4-AB2D-C2103055EC1C}"/>
    <cellStyle name="Normal 5 4 2 2 2 6 2 3" xfId="15391" xr:uid="{D6046683-28AB-46A5-9488-9862905166B4}"/>
    <cellStyle name="Normal 5 4 2 2 2 6 3" xfId="18799" xr:uid="{AB9E07F4-C3DF-4F0D-B33A-9EE71457C229}"/>
    <cellStyle name="Normal 5 4 2 2 2 6 4" xfId="11178" xr:uid="{E91AAD60-2810-4A3C-BC0C-9C9D5A781083}"/>
    <cellStyle name="Normal 5 4 2 2 2 7" xfId="4831" xr:uid="{00000000-0005-0000-0000-0000C31A0000}"/>
    <cellStyle name="Normal 5 4 2 2 2 7 2" xfId="20947" xr:uid="{AA2EA4B4-934E-4316-88BC-5FFBB6DDC85F}"/>
    <cellStyle name="Normal 5 4 2 2 2 7 3" xfId="13326" xr:uid="{6648D2F8-65BA-4389-8ABA-F96BC5DBC3CE}"/>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23504" xr:uid="{2BFC56C9-BC3C-4865-AAE9-34636FC71528}"/>
    <cellStyle name="Normal 5 4 2 2 3 2 2 3" xfId="15883" xr:uid="{1244B5A1-3453-4590-823D-425EEA320E82}"/>
    <cellStyle name="Normal 5 4 2 2 3 2 3" xfId="19291" xr:uid="{F37CDD82-5D40-43AE-8D83-22F5ABD36934}"/>
    <cellStyle name="Normal 5 4 2 2 3 2 4" xfId="11670" xr:uid="{16134D20-367A-43F2-B97D-AEE1BAB03A6D}"/>
    <cellStyle name="Normal 5 4 2 2 3 3" xfId="5243" xr:uid="{00000000-0005-0000-0000-0000C71A0000}"/>
    <cellStyle name="Normal 5 4 2 2 3 3 2" xfId="21359" xr:uid="{F8D545E1-858D-4BEF-B024-71204E27C4FC}"/>
    <cellStyle name="Normal 5 4 2 2 3 3 3" xfId="13738" xr:uid="{83A4D4E6-9DDC-4A45-87B6-B55AA9EE2893}"/>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23917" xr:uid="{DE5A8B7C-34DC-4222-AFC2-80C2482646F0}"/>
    <cellStyle name="Normal 5 4 2 2 4 2 2 3" xfId="16296" xr:uid="{148BE2AB-ECC7-4631-8810-1D7C6BB240ED}"/>
    <cellStyle name="Normal 5 4 2 2 4 2 3" xfId="19704" xr:uid="{D3C55EB5-D358-43EB-83C8-885136C184CD}"/>
    <cellStyle name="Normal 5 4 2 2 4 2 4" xfId="12083" xr:uid="{B57ABDAE-F915-4F75-832D-76E9407139DE}"/>
    <cellStyle name="Normal 5 4 2 2 4 3" xfId="5656" xr:uid="{00000000-0005-0000-0000-0000CB1A0000}"/>
    <cellStyle name="Normal 5 4 2 2 4 3 2" xfId="21772" xr:uid="{F56E6680-8DD4-4024-A570-89B8DDB06C95}"/>
    <cellStyle name="Normal 5 4 2 2 4 3 3" xfId="14151" xr:uid="{8D5AA424-84BD-4100-A82B-9FD17170A1C9}"/>
    <cellStyle name="Normal 5 4 2 2 4 4" xfId="17559" xr:uid="{656E23DA-37AF-4406-8542-11663A532E16}"/>
    <cellStyle name="Normal 5 4 2 2 4 5" xfId="9938" xr:uid="{FC839C10-9CC0-441A-A1AB-A9B7D471336C}"/>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24330" xr:uid="{E876B865-90AD-420D-9561-540180C42B6A}"/>
    <cellStyle name="Normal 5 4 2 2 5 2 2 3" xfId="16709" xr:uid="{752482C0-A3A0-4F06-8AAD-656FC9945ECF}"/>
    <cellStyle name="Normal 5 4 2 2 5 2 3" xfId="20117" xr:uid="{BB8E98E5-D4EC-4D9D-AE25-46C2E0362940}"/>
    <cellStyle name="Normal 5 4 2 2 5 2 4" xfId="12496" xr:uid="{F871C6B7-33CD-49DC-80C8-EF089F1E38B0}"/>
    <cellStyle name="Normal 5 4 2 2 5 3" xfId="6069" xr:uid="{00000000-0005-0000-0000-0000CF1A0000}"/>
    <cellStyle name="Normal 5 4 2 2 5 3 2" xfId="22185" xr:uid="{810EAB8B-CB81-42C3-BB2B-EC663BCE7EA1}"/>
    <cellStyle name="Normal 5 4 2 2 5 3 3" xfId="14564" xr:uid="{8D9B06C6-5DBF-4796-A07E-F77ADD3A9691}"/>
    <cellStyle name="Normal 5 4 2 2 5 4" xfId="17972" xr:uid="{D6E397D9-CBF9-4CB6-9B1F-DE070DC7B131}"/>
    <cellStyle name="Normal 5 4 2 2 5 5" xfId="10351" xr:uid="{6E2D22C0-B6ED-41EF-A174-3D5B2E07984F}"/>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24743" xr:uid="{0849F546-4599-49F6-A336-F021EF4CBCAE}"/>
    <cellStyle name="Normal 5 4 2 2 6 2 2 3" xfId="17122" xr:uid="{7B6996E0-50B6-42FC-8853-7A399BE48B22}"/>
    <cellStyle name="Normal 5 4 2 2 6 2 3" xfId="20530" xr:uid="{F0678FCA-4FB9-4B25-B49F-EEBDD7709BDA}"/>
    <cellStyle name="Normal 5 4 2 2 6 2 4" xfId="12909" xr:uid="{9187D5B6-CA4B-4C17-8EE5-D7B70E1624CC}"/>
    <cellStyle name="Normal 5 4 2 2 6 3" xfId="6482" xr:uid="{00000000-0005-0000-0000-0000D31A0000}"/>
    <cellStyle name="Normal 5 4 2 2 6 3 2" xfId="22598" xr:uid="{995E8B6D-E69D-49AC-AEA2-F49C99E0F889}"/>
    <cellStyle name="Normal 5 4 2 2 6 3 3" xfId="14977" xr:uid="{41AE89F2-87B0-4AC8-AB2A-2461DF171F42}"/>
    <cellStyle name="Normal 5 4 2 2 6 4" xfId="18385" xr:uid="{19CF3247-8620-455B-8DB4-56D024ACA5AF}"/>
    <cellStyle name="Normal 5 4 2 2 6 5" xfId="10764" xr:uid="{4E8E0608-B647-472B-8AB9-84DC27E43664}"/>
    <cellStyle name="Normal 5 4 2 2 7" xfId="2612" xr:uid="{00000000-0005-0000-0000-0000D41A0000}"/>
    <cellStyle name="Normal 5 4 2 2 7 2" xfId="6895" xr:uid="{00000000-0005-0000-0000-0000D51A0000}"/>
    <cellStyle name="Normal 5 4 2 2 7 2 2" xfId="23011" xr:uid="{8446F8D1-0E94-4F7D-9BD5-4AA7ACBF267D}"/>
    <cellStyle name="Normal 5 4 2 2 7 2 3" xfId="15390" xr:uid="{E537AAE6-1AA3-4596-BAD6-097F00A367B6}"/>
    <cellStyle name="Normal 5 4 2 2 7 3" xfId="18798" xr:uid="{889EC8EA-0189-4734-B08E-09DACBEA5EE9}"/>
    <cellStyle name="Normal 5 4 2 2 7 4" xfId="11177" xr:uid="{E3C7041E-DDBF-474C-8B66-396B358D8D53}"/>
    <cellStyle name="Normal 5 4 2 2 8" xfId="4830" xr:uid="{00000000-0005-0000-0000-0000D61A0000}"/>
    <cellStyle name="Normal 5 4 2 2 8 2" xfId="20946" xr:uid="{099F0A8C-C58C-41A9-871F-162F841D3917}"/>
    <cellStyle name="Normal 5 4 2 2 8 3" xfId="13325" xr:uid="{3926EF6D-F473-456F-A170-44BCDBF13351}"/>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23506" xr:uid="{D652A293-BED9-4849-A536-924D4AE04FC9}"/>
    <cellStyle name="Normal 5 4 2 3 2 2 2 3" xfId="15885" xr:uid="{43B98612-5055-43A6-A91B-AB4F4C59CDC5}"/>
    <cellStyle name="Normal 5 4 2 3 2 2 3" xfId="19293" xr:uid="{CCD844DC-E39C-42C6-A317-F2F447FA2EBF}"/>
    <cellStyle name="Normal 5 4 2 3 2 2 4" xfId="11672" xr:uid="{10DB4B20-7A30-4FCA-A26D-C2771857631B}"/>
    <cellStyle name="Normal 5 4 2 3 2 3" xfId="5245" xr:uid="{00000000-0005-0000-0000-0000DB1A0000}"/>
    <cellStyle name="Normal 5 4 2 3 2 3 2" xfId="21361" xr:uid="{CD565B5D-ED6D-4C86-B5E3-98CDBB5A09C7}"/>
    <cellStyle name="Normal 5 4 2 3 2 3 3" xfId="13740" xr:uid="{C3A2873B-193F-4778-9D80-9C9F391F1D0D}"/>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23919" xr:uid="{8E0BE593-AAB0-4836-8167-33639132C4FC}"/>
    <cellStyle name="Normal 5 4 2 3 3 2 2 3" xfId="16298" xr:uid="{8D861170-CACD-4BD9-9B40-69B9D606D713}"/>
    <cellStyle name="Normal 5 4 2 3 3 2 3" xfId="19706" xr:uid="{04BC7EAF-3503-4FCA-9745-6CB4C0A1B10C}"/>
    <cellStyle name="Normal 5 4 2 3 3 2 4" xfId="12085" xr:uid="{B56046C2-FE9D-41E8-AB96-0FBCDA867967}"/>
    <cellStyle name="Normal 5 4 2 3 3 3" xfId="5658" xr:uid="{00000000-0005-0000-0000-0000DF1A0000}"/>
    <cellStyle name="Normal 5 4 2 3 3 3 2" xfId="21774" xr:uid="{FE501938-FD74-466B-8A77-945BEF289220}"/>
    <cellStyle name="Normal 5 4 2 3 3 3 3" xfId="14153" xr:uid="{FD8B83D5-9C3B-4E07-A727-8F40320535D3}"/>
    <cellStyle name="Normal 5 4 2 3 3 4" xfId="17561" xr:uid="{11F13592-8782-456A-AB13-0A9FDFBA4709}"/>
    <cellStyle name="Normal 5 4 2 3 3 5" xfId="9940" xr:uid="{90A9362A-C37D-4D94-933C-5E2806364C80}"/>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24332" xr:uid="{ED3FB990-B91A-44EA-9BDB-89C4EED1B171}"/>
    <cellStyle name="Normal 5 4 2 3 4 2 2 3" xfId="16711" xr:uid="{206A46E4-C5A5-478C-9F2B-462DF078162C}"/>
    <cellStyle name="Normal 5 4 2 3 4 2 3" xfId="20119" xr:uid="{4553D9F3-A9D5-40C9-BD84-1F830BB3858C}"/>
    <cellStyle name="Normal 5 4 2 3 4 2 4" xfId="12498" xr:uid="{BAD8A85A-8326-40DD-B1AA-0EA38E8CB5B0}"/>
    <cellStyle name="Normal 5 4 2 3 4 3" xfId="6071" xr:uid="{00000000-0005-0000-0000-0000E31A0000}"/>
    <cellStyle name="Normal 5 4 2 3 4 3 2" xfId="22187" xr:uid="{8EB5DC0E-46E8-4750-B738-95187C298215}"/>
    <cellStyle name="Normal 5 4 2 3 4 3 3" xfId="14566" xr:uid="{30AF9432-B255-47C8-92F7-337A0F7EBBF3}"/>
    <cellStyle name="Normal 5 4 2 3 4 4" xfId="17974" xr:uid="{4C747AFC-7FF2-449A-A0A4-D3A859482397}"/>
    <cellStyle name="Normal 5 4 2 3 4 5" xfId="10353" xr:uid="{D3B14577-9643-497E-8F82-4F0E2A8112F9}"/>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24745" xr:uid="{C2DA059E-A942-43EF-8E51-6F10840C8C0E}"/>
    <cellStyle name="Normal 5 4 2 3 5 2 2 3" xfId="17124" xr:uid="{4D2962E9-C8E7-4DF7-9E89-21DE86719F8E}"/>
    <cellStyle name="Normal 5 4 2 3 5 2 3" xfId="20532" xr:uid="{18CC6FC8-BCC0-4E08-8BD1-1639CA953992}"/>
    <cellStyle name="Normal 5 4 2 3 5 2 4" xfId="12911" xr:uid="{2DEEE659-722D-4244-90C8-807AA7E9D7A2}"/>
    <cellStyle name="Normal 5 4 2 3 5 3" xfId="6484" xr:uid="{00000000-0005-0000-0000-0000E71A0000}"/>
    <cellStyle name="Normal 5 4 2 3 5 3 2" xfId="22600" xr:uid="{4AEF38B0-D803-41FF-B2E7-9B6D178FB4E9}"/>
    <cellStyle name="Normal 5 4 2 3 5 3 3" xfId="14979" xr:uid="{9687055A-E869-4A13-A863-34736C27EFB4}"/>
    <cellStyle name="Normal 5 4 2 3 5 4" xfId="18387" xr:uid="{EEAB663D-6A93-4D06-B34F-E0399D8E1E84}"/>
    <cellStyle name="Normal 5 4 2 3 5 5" xfId="10766" xr:uid="{34F99FE7-715F-409F-9E15-8E7108D12E12}"/>
    <cellStyle name="Normal 5 4 2 3 6" xfId="2614" xr:uid="{00000000-0005-0000-0000-0000E81A0000}"/>
    <cellStyle name="Normal 5 4 2 3 6 2" xfId="6897" xr:uid="{00000000-0005-0000-0000-0000E91A0000}"/>
    <cellStyle name="Normal 5 4 2 3 6 2 2" xfId="23013" xr:uid="{A528E5A7-0D4B-4191-94E1-75FAC97938F8}"/>
    <cellStyle name="Normal 5 4 2 3 6 2 3" xfId="15392" xr:uid="{8D49A567-213E-4776-989A-2DC7BBB8ED78}"/>
    <cellStyle name="Normal 5 4 2 3 6 3" xfId="18800" xr:uid="{9EA3523C-266E-45BC-BFC9-C9AC054F8A64}"/>
    <cellStyle name="Normal 5 4 2 3 6 4" xfId="11179" xr:uid="{79D809DB-4593-49CC-985C-B21F8F81BB53}"/>
    <cellStyle name="Normal 5 4 2 3 7" xfId="4832" xr:uid="{00000000-0005-0000-0000-0000EA1A0000}"/>
    <cellStyle name="Normal 5 4 2 3 7 2" xfId="20948" xr:uid="{C3E3A520-F6F0-4E6C-911C-0D30B3690B37}"/>
    <cellStyle name="Normal 5 4 2 3 7 3" xfId="13327" xr:uid="{715290B1-A363-4E33-9C1A-E3929A8DBF66}"/>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2 2 2" xfId="23503" xr:uid="{B6A91898-79DA-49E0-B5BA-018E60075AC0}"/>
    <cellStyle name="Normal 5 4 2 4 2 2 3" xfId="15882" xr:uid="{80FC81CD-CC74-4682-BB94-73121E70AEA2}"/>
    <cellStyle name="Normal 5 4 2 4 2 3" xfId="19290" xr:uid="{74BE0FA6-35B4-453C-8B0F-C890B59F45F0}"/>
    <cellStyle name="Normal 5 4 2 4 2 4" xfId="11669" xr:uid="{C8FB795A-A83B-4D03-9211-9AF618585F4F}"/>
    <cellStyle name="Normal 5 4 2 4 3" xfId="5242" xr:uid="{00000000-0005-0000-0000-0000EE1A0000}"/>
    <cellStyle name="Normal 5 4 2 4 3 2" xfId="21358" xr:uid="{443A9F4B-164A-4A18-8FB2-30A6F532B7F8}"/>
    <cellStyle name="Normal 5 4 2 4 3 3" xfId="13737" xr:uid="{46B7B01B-69A9-4EFC-B9E2-834E67FFD277}"/>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2 2 2" xfId="23916" xr:uid="{AE400A4E-6C30-4515-BF1F-E7176D8AF0A0}"/>
    <cellStyle name="Normal 5 4 2 5 2 2 3" xfId="16295" xr:uid="{25338912-89E7-4523-B0C9-85AD33C53795}"/>
    <cellStyle name="Normal 5 4 2 5 2 3" xfId="19703" xr:uid="{764BC5DF-31EC-4E34-A86D-9D0524ECAE38}"/>
    <cellStyle name="Normal 5 4 2 5 2 4" xfId="12082" xr:uid="{97639ABF-F330-4CA9-A408-7A589649E913}"/>
    <cellStyle name="Normal 5 4 2 5 3" xfId="5655" xr:uid="{00000000-0005-0000-0000-0000F21A0000}"/>
    <cellStyle name="Normal 5 4 2 5 3 2" xfId="21771" xr:uid="{023459A7-E6AB-473B-8447-C7754F461081}"/>
    <cellStyle name="Normal 5 4 2 5 3 3" xfId="14150" xr:uid="{94E59E43-60F9-4173-A931-4C9BBC0C2A92}"/>
    <cellStyle name="Normal 5 4 2 5 4" xfId="17558" xr:uid="{F383BCE0-2F3C-46FD-8B8B-6F748935EEFB}"/>
    <cellStyle name="Normal 5 4 2 5 5" xfId="9937" xr:uid="{66EEBD7B-702E-4D22-B371-4DAEFEA2FE9C}"/>
    <cellStyle name="Normal 5 4 2 6" xfId="1761" xr:uid="{00000000-0005-0000-0000-0000F31A0000}"/>
    <cellStyle name="Normal 5 4 2 6 2" xfId="3991" xr:uid="{00000000-0005-0000-0000-0000F41A0000}"/>
    <cellStyle name="Normal 5 4 2 6 2 2" xfId="8213" xr:uid="{00000000-0005-0000-0000-0000F51A0000}"/>
    <cellStyle name="Normal 5 4 2 6 2 2 2" xfId="24329" xr:uid="{64B3CAB6-AC42-4F72-91B0-6D72A16370AC}"/>
    <cellStyle name="Normal 5 4 2 6 2 2 3" xfId="16708" xr:uid="{7B6031DC-05C1-4BCB-A488-60369694E257}"/>
    <cellStyle name="Normal 5 4 2 6 2 3" xfId="20116" xr:uid="{5E64364C-9B91-4213-8CEF-66DC3F293883}"/>
    <cellStyle name="Normal 5 4 2 6 2 4" xfId="12495" xr:uid="{0DBF3E06-1BA0-4408-BD10-84A4ABEBAB11}"/>
    <cellStyle name="Normal 5 4 2 6 3" xfId="6068" xr:uid="{00000000-0005-0000-0000-0000F61A0000}"/>
    <cellStyle name="Normal 5 4 2 6 3 2" xfId="22184" xr:uid="{2B1348EF-0D2E-4995-873B-5389CC8B30BC}"/>
    <cellStyle name="Normal 5 4 2 6 3 3" xfId="14563" xr:uid="{DDEA3C1F-CAC1-4011-9D56-A107A9E79F86}"/>
    <cellStyle name="Normal 5 4 2 6 4" xfId="17971" xr:uid="{AE6D11BF-0765-4F4D-829D-6413C5E1887D}"/>
    <cellStyle name="Normal 5 4 2 6 5" xfId="10350" xr:uid="{CB4C7662-7102-4AAB-9C46-33D2F517C05C}"/>
    <cellStyle name="Normal 5 4 2 7" xfId="2175" xr:uid="{00000000-0005-0000-0000-0000F71A0000}"/>
    <cellStyle name="Normal 5 4 2 7 2" xfId="4404" xr:uid="{00000000-0005-0000-0000-0000F81A0000}"/>
    <cellStyle name="Normal 5 4 2 7 2 2" xfId="8626" xr:uid="{00000000-0005-0000-0000-0000F91A0000}"/>
    <cellStyle name="Normal 5 4 2 7 2 2 2" xfId="24742" xr:uid="{6E15694E-4F92-4D4A-898B-367278B980A1}"/>
    <cellStyle name="Normal 5 4 2 7 2 2 3" xfId="17121" xr:uid="{85ADFDFA-CFC4-4CDE-A8AA-097A1718287D}"/>
    <cellStyle name="Normal 5 4 2 7 2 3" xfId="20529" xr:uid="{6CCB1A95-E683-42D7-BF2E-991636242217}"/>
    <cellStyle name="Normal 5 4 2 7 2 4" xfId="12908" xr:uid="{AB2F2186-F581-4FC2-AF8A-0112CE0EA0C5}"/>
    <cellStyle name="Normal 5 4 2 7 3" xfId="6481" xr:uid="{00000000-0005-0000-0000-0000FA1A0000}"/>
    <cellStyle name="Normal 5 4 2 7 3 2" xfId="22597" xr:uid="{9661B460-A241-465E-A18C-185307BCA1A5}"/>
    <cellStyle name="Normal 5 4 2 7 3 3" xfId="14976" xr:uid="{B2708A47-6376-48DD-8208-13F249B33233}"/>
    <cellStyle name="Normal 5 4 2 7 4" xfId="18384" xr:uid="{18F32B0D-2BC9-4CB6-81CC-3AAE5F63A0D8}"/>
    <cellStyle name="Normal 5 4 2 7 5" xfId="10763" xr:uid="{104DAB8E-920C-4934-8799-8565A3927A2F}"/>
    <cellStyle name="Normal 5 4 2 8" xfId="2611" xr:uid="{00000000-0005-0000-0000-0000FB1A0000}"/>
    <cellStyle name="Normal 5 4 2 8 2" xfId="6894" xr:uid="{00000000-0005-0000-0000-0000FC1A0000}"/>
    <cellStyle name="Normal 5 4 2 8 2 2" xfId="23010" xr:uid="{67128207-125E-419E-AA11-75D7BDBD0FFE}"/>
    <cellStyle name="Normal 5 4 2 8 2 3" xfId="15389" xr:uid="{01EEBA19-2883-4170-8E15-3D0749970E61}"/>
    <cellStyle name="Normal 5 4 2 8 3" xfId="18797" xr:uid="{CCC77F2C-09B5-4701-AFA8-2CCB0B546F13}"/>
    <cellStyle name="Normal 5 4 2 8 4" xfId="11176" xr:uid="{3B47B30E-EE53-485F-A6E0-31933C9E8ADD}"/>
    <cellStyle name="Normal 5 4 2 9" xfId="4829" xr:uid="{00000000-0005-0000-0000-0000FD1A0000}"/>
    <cellStyle name="Normal 5 4 2 9 2" xfId="20945" xr:uid="{5FB9C878-B28D-4F15-B8BE-AB69560A2E9D}"/>
    <cellStyle name="Normal 5 4 2 9 3" xfId="13324" xr:uid="{B33D6A2D-2E1B-482C-B262-F179CAA2CF2E}"/>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23508" xr:uid="{645A42E4-9507-4106-A55C-D92746CCDE8C}"/>
    <cellStyle name="Normal 5 4 3 2 2 2 2 3" xfId="15887" xr:uid="{A687868A-2CA1-440E-A088-C42417398AE9}"/>
    <cellStyle name="Normal 5 4 3 2 2 2 3" xfId="19295" xr:uid="{C418348E-4FD1-4E01-A59E-7A5CBB9885D6}"/>
    <cellStyle name="Normal 5 4 3 2 2 2 4" xfId="11674" xr:uid="{08C977E5-0A89-427C-8244-ED47A1F6EE36}"/>
    <cellStyle name="Normal 5 4 3 2 2 3" xfId="5247" xr:uid="{00000000-0005-0000-0000-0000031B0000}"/>
    <cellStyle name="Normal 5 4 3 2 2 3 2" xfId="21363" xr:uid="{C0E23653-9538-409B-8A1A-78F91B13B761}"/>
    <cellStyle name="Normal 5 4 3 2 2 3 3" xfId="13742" xr:uid="{C4F84125-0FB1-4D73-A8EF-5E337253647B}"/>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23921" xr:uid="{90385E0B-6A3B-4D77-81A9-6B1C3FFA78B2}"/>
    <cellStyle name="Normal 5 4 3 2 3 2 2 3" xfId="16300" xr:uid="{BA43BF91-48DB-4D54-9C1E-F9247030892C}"/>
    <cellStyle name="Normal 5 4 3 2 3 2 3" xfId="19708" xr:uid="{65832158-3971-4D00-BAE9-44D0514CF8D2}"/>
    <cellStyle name="Normal 5 4 3 2 3 2 4" xfId="12087" xr:uid="{815CF2E2-6A96-4584-B832-99BCAA387A6A}"/>
    <cellStyle name="Normal 5 4 3 2 3 3" xfId="5660" xr:uid="{00000000-0005-0000-0000-0000071B0000}"/>
    <cellStyle name="Normal 5 4 3 2 3 3 2" xfId="21776" xr:uid="{BA90D1CE-0AFF-4A11-84DA-3C4D5D2D3F76}"/>
    <cellStyle name="Normal 5 4 3 2 3 3 3" xfId="14155" xr:uid="{7BC0D9DB-A2A8-4EB4-BBDF-36CE8C6C2201}"/>
    <cellStyle name="Normal 5 4 3 2 3 4" xfId="17563" xr:uid="{F0FEAFCB-56DE-44E3-A3C8-33B7A38C1602}"/>
    <cellStyle name="Normal 5 4 3 2 3 5" xfId="9942" xr:uid="{5BCB9864-BF18-4AD9-86E9-CFD2A8D33E0B}"/>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24334" xr:uid="{5F5CBC21-0C9D-4195-90A8-9930060EA17F}"/>
    <cellStyle name="Normal 5 4 3 2 4 2 2 3" xfId="16713" xr:uid="{BF3C918D-8326-49AC-81BA-7B4FB9BE19F0}"/>
    <cellStyle name="Normal 5 4 3 2 4 2 3" xfId="20121" xr:uid="{AB4D77FF-13B1-4D8A-A534-8118DC712EEB}"/>
    <cellStyle name="Normal 5 4 3 2 4 2 4" xfId="12500" xr:uid="{031BE629-C32E-45E9-940D-80A18E41B5D4}"/>
    <cellStyle name="Normal 5 4 3 2 4 3" xfId="6073" xr:uid="{00000000-0005-0000-0000-00000B1B0000}"/>
    <cellStyle name="Normal 5 4 3 2 4 3 2" xfId="22189" xr:uid="{B710E3B1-DA86-4C78-9C99-BF9A654AEECD}"/>
    <cellStyle name="Normal 5 4 3 2 4 3 3" xfId="14568" xr:uid="{C712E2C3-5279-4408-9C04-150DE1B09C6B}"/>
    <cellStyle name="Normal 5 4 3 2 4 4" xfId="17976" xr:uid="{93E5D909-7C7E-4C64-90A3-576536B80530}"/>
    <cellStyle name="Normal 5 4 3 2 4 5" xfId="10355" xr:uid="{37E9CF85-7D41-4835-9094-001E065375BF}"/>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24747" xr:uid="{70E86F51-5D39-4F8E-92CA-949857CAA9B1}"/>
    <cellStyle name="Normal 5 4 3 2 5 2 2 3" xfId="17126" xr:uid="{7C18B2E0-785A-49BC-B536-A08063D2F338}"/>
    <cellStyle name="Normal 5 4 3 2 5 2 3" xfId="20534" xr:uid="{5ECC93A6-8291-4C7B-B0CA-BC4A03B67D0A}"/>
    <cellStyle name="Normal 5 4 3 2 5 2 4" xfId="12913" xr:uid="{8ED7C37B-4083-4558-AA7C-E658C5A6738D}"/>
    <cellStyle name="Normal 5 4 3 2 5 3" xfId="6486" xr:uid="{00000000-0005-0000-0000-00000F1B0000}"/>
    <cellStyle name="Normal 5 4 3 2 5 3 2" xfId="22602" xr:uid="{252B3469-DA22-4D88-A319-F1D523C44EF9}"/>
    <cellStyle name="Normal 5 4 3 2 5 3 3" xfId="14981" xr:uid="{60B218D9-3A67-4C8F-B02B-DDFFE06791E4}"/>
    <cellStyle name="Normal 5 4 3 2 5 4" xfId="18389" xr:uid="{50CBD2B1-22B7-4B37-898A-54F6CAC7CD94}"/>
    <cellStyle name="Normal 5 4 3 2 5 5" xfId="10768" xr:uid="{8F5817A3-7108-470B-B8D9-3640807C7FE5}"/>
    <cellStyle name="Normal 5 4 3 2 6" xfId="2616" xr:uid="{00000000-0005-0000-0000-0000101B0000}"/>
    <cellStyle name="Normal 5 4 3 2 6 2" xfId="6899" xr:uid="{00000000-0005-0000-0000-0000111B0000}"/>
    <cellStyle name="Normal 5 4 3 2 6 2 2" xfId="23015" xr:uid="{3894AEA2-E478-4FEB-AAAD-2FF3ACB12AA6}"/>
    <cellStyle name="Normal 5 4 3 2 6 2 3" xfId="15394" xr:uid="{0ABC0E4A-096A-4F2C-A6CB-078188C02C26}"/>
    <cellStyle name="Normal 5 4 3 2 6 3" xfId="18802" xr:uid="{E90B2D53-DF54-4883-AB00-53901D3FF449}"/>
    <cellStyle name="Normal 5 4 3 2 6 4" xfId="11181" xr:uid="{9ED89228-AFCC-4603-A4FE-F051B30484E6}"/>
    <cellStyle name="Normal 5 4 3 2 7" xfId="4834" xr:uid="{00000000-0005-0000-0000-0000121B0000}"/>
    <cellStyle name="Normal 5 4 3 2 7 2" xfId="20950" xr:uid="{CB365062-15A1-4CAC-91A4-6798E97AF09B}"/>
    <cellStyle name="Normal 5 4 3 2 7 3" xfId="13329" xr:uid="{09F6C468-BF9A-46E0-8880-0C0C4142DC57}"/>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2 2 2" xfId="23507" xr:uid="{05FE5E40-4B93-4449-8547-3BD0026FFDAB}"/>
    <cellStyle name="Normal 5 4 3 3 2 2 3" xfId="15886" xr:uid="{F0464F5F-6667-4C6E-B749-EE9B37E95120}"/>
    <cellStyle name="Normal 5 4 3 3 2 3" xfId="19294" xr:uid="{66E13695-AF5C-4B92-AA97-D526E69B1900}"/>
    <cellStyle name="Normal 5 4 3 3 2 4" xfId="11673" xr:uid="{46FB79BD-8EE1-450A-9DF4-72A5AF108FFF}"/>
    <cellStyle name="Normal 5 4 3 3 3" xfId="5246" xr:uid="{00000000-0005-0000-0000-0000161B0000}"/>
    <cellStyle name="Normal 5 4 3 3 3 2" xfId="21362" xr:uid="{19890FDA-A8FB-413B-B826-FE5B25035974}"/>
    <cellStyle name="Normal 5 4 3 3 3 3" xfId="13741" xr:uid="{166E0646-AB09-416C-8F85-71D02740F90F}"/>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2 2 2" xfId="23920" xr:uid="{8CBBE9CA-16D9-4B7F-9F1B-75601B17B411}"/>
    <cellStyle name="Normal 5 4 3 4 2 2 3" xfId="16299" xr:uid="{A33A74D2-C619-4EE1-81C3-7E9559B7CC14}"/>
    <cellStyle name="Normal 5 4 3 4 2 3" xfId="19707" xr:uid="{C152B7C8-C753-49E0-B5A4-E0C09A321D1B}"/>
    <cellStyle name="Normal 5 4 3 4 2 4" xfId="12086" xr:uid="{7F08CABD-374C-4607-A620-B5DCA761A1C1}"/>
    <cellStyle name="Normal 5 4 3 4 3" xfId="5659" xr:uid="{00000000-0005-0000-0000-00001A1B0000}"/>
    <cellStyle name="Normal 5 4 3 4 3 2" xfId="21775" xr:uid="{D9E2C70E-C991-4C8D-AD59-EFE0943595C7}"/>
    <cellStyle name="Normal 5 4 3 4 3 3" xfId="14154" xr:uid="{B856F28A-C90B-408F-BDC4-064AF7B72CD4}"/>
    <cellStyle name="Normal 5 4 3 4 4" xfId="17562" xr:uid="{DD6F0657-F74B-4FC1-8ABE-F88A6E6D2CC0}"/>
    <cellStyle name="Normal 5 4 3 4 5" xfId="9941" xr:uid="{855B1074-2BBD-41A2-B355-F0830EF57806}"/>
    <cellStyle name="Normal 5 4 3 5" xfId="1765" xr:uid="{00000000-0005-0000-0000-00001B1B0000}"/>
    <cellStyle name="Normal 5 4 3 5 2" xfId="3995" xr:uid="{00000000-0005-0000-0000-00001C1B0000}"/>
    <cellStyle name="Normal 5 4 3 5 2 2" xfId="8217" xr:uid="{00000000-0005-0000-0000-00001D1B0000}"/>
    <cellStyle name="Normal 5 4 3 5 2 2 2" xfId="24333" xr:uid="{50300B72-5167-4F13-8B56-CCB519E3C76E}"/>
    <cellStyle name="Normal 5 4 3 5 2 2 3" xfId="16712" xr:uid="{50BABD04-1FC1-4DE8-B6EF-8C0E1CAC5008}"/>
    <cellStyle name="Normal 5 4 3 5 2 3" xfId="20120" xr:uid="{F23478EA-F32D-418C-BB2C-8889BEB53A34}"/>
    <cellStyle name="Normal 5 4 3 5 2 4" xfId="12499" xr:uid="{25A0D7C3-F753-48EB-AB80-11F8FEBF8E1E}"/>
    <cellStyle name="Normal 5 4 3 5 3" xfId="6072" xr:uid="{00000000-0005-0000-0000-00001E1B0000}"/>
    <cellStyle name="Normal 5 4 3 5 3 2" xfId="22188" xr:uid="{5F244D35-3FD5-44C1-B6BA-1CBA0AA42C44}"/>
    <cellStyle name="Normal 5 4 3 5 3 3" xfId="14567" xr:uid="{BF4B8CE3-F5CF-4A95-B050-4E36C9E55330}"/>
    <cellStyle name="Normal 5 4 3 5 4" xfId="17975" xr:uid="{FEB7BBDD-EDAE-4244-B250-E6C1DAD30BEA}"/>
    <cellStyle name="Normal 5 4 3 5 5" xfId="10354" xr:uid="{F6993C28-9E3B-43C4-8665-3931CC57AA1C}"/>
    <cellStyle name="Normal 5 4 3 6" xfId="2179" xr:uid="{00000000-0005-0000-0000-00001F1B0000}"/>
    <cellStyle name="Normal 5 4 3 6 2" xfId="4408" xr:uid="{00000000-0005-0000-0000-0000201B0000}"/>
    <cellStyle name="Normal 5 4 3 6 2 2" xfId="8630" xr:uid="{00000000-0005-0000-0000-0000211B0000}"/>
    <cellStyle name="Normal 5 4 3 6 2 2 2" xfId="24746" xr:uid="{F47339EC-FA81-457D-9325-AF4A01A530B5}"/>
    <cellStyle name="Normal 5 4 3 6 2 2 3" xfId="17125" xr:uid="{91BC4C4F-FE58-434E-91E7-C061970B9155}"/>
    <cellStyle name="Normal 5 4 3 6 2 3" xfId="20533" xr:uid="{2B8D644D-3127-4DDC-A84C-A65E15F32398}"/>
    <cellStyle name="Normal 5 4 3 6 2 4" xfId="12912" xr:uid="{71FFA24E-65F4-4A60-8EAE-88C81EB64D52}"/>
    <cellStyle name="Normal 5 4 3 6 3" xfId="6485" xr:uid="{00000000-0005-0000-0000-0000221B0000}"/>
    <cellStyle name="Normal 5 4 3 6 3 2" xfId="22601" xr:uid="{C07AF432-2279-4AE0-8A52-46C53642D9DD}"/>
    <cellStyle name="Normal 5 4 3 6 3 3" xfId="14980" xr:uid="{B43CEA69-DD99-4B63-8725-63A07807AACE}"/>
    <cellStyle name="Normal 5 4 3 6 4" xfId="18388" xr:uid="{F23F6D8F-88B2-4F74-BCD3-B2A8FCC37782}"/>
    <cellStyle name="Normal 5 4 3 6 5" xfId="10767" xr:uid="{7C8BF467-1790-4E31-A63F-E1CA9A34574F}"/>
    <cellStyle name="Normal 5 4 3 7" xfId="2615" xr:uid="{00000000-0005-0000-0000-0000231B0000}"/>
    <cellStyle name="Normal 5 4 3 7 2" xfId="6898" xr:uid="{00000000-0005-0000-0000-0000241B0000}"/>
    <cellStyle name="Normal 5 4 3 7 2 2" xfId="23014" xr:uid="{47D59983-1A4A-4C63-83F2-952D127CCD13}"/>
    <cellStyle name="Normal 5 4 3 7 2 3" xfId="15393" xr:uid="{7D738B73-6A0B-4B2A-B38E-3E5482DBC2C6}"/>
    <cellStyle name="Normal 5 4 3 7 3" xfId="18801" xr:uid="{B7025163-E8EC-4CC6-AD5A-73FFF891051E}"/>
    <cellStyle name="Normal 5 4 3 7 4" xfId="11180" xr:uid="{BDA579E8-8DE0-4685-A617-53301205DDEF}"/>
    <cellStyle name="Normal 5 4 3 8" xfId="4833" xr:uid="{00000000-0005-0000-0000-0000251B0000}"/>
    <cellStyle name="Normal 5 4 3 8 2" xfId="20949" xr:uid="{18E9B08B-5567-44B5-9294-972A1674C3EF}"/>
    <cellStyle name="Normal 5 4 3 8 3" xfId="13328" xr:uid="{65AAB635-7C7E-43F3-9D3E-83DA79D14582}"/>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23509" xr:uid="{4D67361D-AC72-41C5-BB18-0CC6A1BB8D38}"/>
    <cellStyle name="Normal 5 4 4 2 2 2 3" xfId="15888" xr:uid="{33327573-D163-4B94-B341-61F7261B5B87}"/>
    <cellStyle name="Normal 5 4 4 2 2 3" xfId="19296" xr:uid="{FFB99A47-892A-4444-B801-2FA6C2E3EE48}"/>
    <cellStyle name="Normal 5 4 4 2 2 4" xfId="11675" xr:uid="{5DC7D218-ADE9-4B12-96C2-3461466A9BB6}"/>
    <cellStyle name="Normal 5 4 4 2 3" xfId="5248" xr:uid="{00000000-0005-0000-0000-00002A1B0000}"/>
    <cellStyle name="Normal 5 4 4 2 3 2" xfId="21364" xr:uid="{60E7D397-A7D7-40BA-AE60-981013C28CAE}"/>
    <cellStyle name="Normal 5 4 4 2 3 3" xfId="13743" xr:uid="{15BD15CE-0AE8-4BFD-A887-B29B9E80AA64}"/>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2 2 2" xfId="23922" xr:uid="{DB5F1A0C-D392-4252-970F-3E784ABB488B}"/>
    <cellStyle name="Normal 5 4 4 3 2 2 3" xfId="16301" xr:uid="{FBAB38C4-641F-412E-9DB3-E1E8D5311494}"/>
    <cellStyle name="Normal 5 4 4 3 2 3" xfId="19709" xr:uid="{9077FE62-5CCC-4945-BEDB-E32B78B6931A}"/>
    <cellStyle name="Normal 5 4 4 3 2 4" xfId="12088" xr:uid="{7A759E89-05DB-42D8-A1E6-203274BC1624}"/>
    <cellStyle name="Normal 5 4 4 3 3" xfId="5661" xr:uid="{00000000-0005-0000-0000-00002E1B0000}"/>
    <cellStyle name="Normal 5 4 4 3 3 2" xfId="21777" xr:uid="{BA003C1A-00EE-4D21-95E8-A905A27756C1}"/>
    <cellStyle name="Normal 5 4 4 3 3 3" xfId="14156" xr:uid="{FDCA980E-0DC7-4AED-AD65-1A6AE9AD99E2}"/>
    <cellStyle name="Normal 5 4 4 3 4" xfId="17564" xr:uid="{3DBB0175-3178-4ABD-9045-0143F7F1DE64}"/>
    <cellStyle name="Normal 5 4 4 3 5" xfId="9943" xr:uid="{CF114487-F194-44BF-BB7D-5D93D076E5BD}"/>
    <cellStyle name="Normal 5 4 4 4" xfId="1767" xr:uid="{00000000-0005-0000-0000-00002F1B0000}"/>
    <cellStyle name="Normal 5 4 4 4 2" xfId="3997" xr:uid="{00000000-0005-0000-0000-0000301B0000}"/>
    <cellStyle name="Normal 5 4 4 4 2 2" xfId="8219" xr:uid="{00000000-0005-0000-0000-0000311B0000}"/>
    <cellStyle name="Normal 5 4 4 4 2 2 2" xfId="24335" xr:uid="{0A2760EE-6EF2-41B5-85B8-4A7F06198EFA}"/>
    <cellStyle name="Normal 5 4 4 4 2 2 3" xfId="16714" xr:uid="{9B8DC09B-183E-4AA2-89FA-D86D4FAF1AC6}"/>
    <cellStyle name="Normal 5 4 4 4 2 3" xfId="20122" xr:uid="{C55BEC1E-AFE4-4838-B0E7-6D55CF467224}"/>
    <cellStyle name="Normal 5 4 4 4 2 4" xfId="12501" xr:uid="{C0984011-34C9-4F4D-8F11-F84689355144}"/>
    <cellStyle name="Normal 5 4 4 4 3" xfId="6074" xr:uid="{00000000-0005-0000-0000-0000321B0000}"/>
    <cellStyle name="Normal 5 4 4 4 3 2" xfId="22190" xr:uid="{9BE74A44-C4D8-4305-A901-8475AF562296}"/>
    <cellStyle name="Normal 5 4 4 4 3 3" xfId="14569" xr:uid="{41DA9D84-7C85-4EDC-AE9B-2B7FCA4B6453}"/>
    <cellStyle name="Normal 5 4 4 4 4" xfId="17977" xr:uid="{52BF554F-5B52-40FF-98D9-C1C1F378939B}"/>
    <cellStyle name="Normal 5 4 4 4 5" xfId="10356" xr:uid="{A5124E45-37C0-46ED-A1AC-D9CA3C56C248}"/>
    <cellStyle name="Normal 5 4 4 5" xfId="2181" xr:uid="{00000000-0005-0000-0000-0000331B0000}"/>
    <cellStyle name="Normal 5 4 4 5 2" xfId="4410" xr:uid="{00000000-0005-0000-0000-0000341B0000}"/>
    <cellStyle name="Normal 5 4 4 5 2 2" xfId="8632" xr:uid="{00000000-0005-0000-0000-0000351B0000}"/>
    <cellStyle name="Normal 5 4 4 5 2 2 2" xfId="24748" xr:uid="{0DFF85DA-2A01-4E0F-9192-14CB8A52BA82}"/>
    <cellStyle name="Normal 5 4 4 5 2 2 3" xfId="17127" xr:uid="{C0E42AB4-0404-43FF-9905-5C8FB9C3E7A1}"/>
    <cellStyle name="Normal 5 4 4 5 2 3" xfId="20535" xr:uid="{695E8140-1DDB-4536-A237-ABE679ABEFAF}"/>
    <cellStyle name="Normal 5 4 4 5 2 4" xfId="12914" xr:uid="{B17E0C0C-FC9D-49D3-A4C9-03BEA0FF9E30}"/>
    <cellStyle name="Normal 5 4 4 5 3" xfId="6487" xr:uid="{00000000-0005-0000-0000-0000361B0000}"/>
    <cellStyle name="Normal 5 4 4 5 3 2" xfId="22603" xr:uid="{BE38D493-ECA4-40AB-A196-B39196D52DB0}"/>
    <cellStyle name="Normal 5 4 4 5 3 3" xfId="14982" xr:uid="{50F1DB70-512F-4839-A8D7-DA192128CF2B}"/>
    <cellStyle name="Normal 5 4 4 5 4" xfId="18390" xr:uid="{13538250-DA44-48DC-A806-477B1B121BA1}"/>
    <cellStyle name="Normal 5 4 4 5 5" xfId="10769" xr:uid="{47CAB768-63F4-4EF9-A257-82E6D65A0F04}"/>
    <cellStyle name="Normal 5 4 4 6" xfId="2617" xr:uid="{00000000-0005-0000-0000-0000371B0000}"/>
    <cellStyle name="Normal 5 4 4 6 2" xfId="6900" xr:uid="{00000000-0005-0000-0000-0000381B0000}"/>
    <cellStyle name="Normal 5 4 4 6 2 2" xfId="23016" xr:uid="{274FA0B6-1559-4D9C-A75A-5FFEE8B05104}"/>
    <cellStyle name="Normal 5 4 4 6 2 3" xfId="15395" xr:uid="{62FB950A-B69A-4167-9CF1-70E9CAFA0EB3}"/>
    <cellStyle name="Normal 5 4 4 6 3" xfId="18803" xr:uid="{B6457946-22D0-4DE3-B70B-94CCC7621C07}"/>
    <cellStyle name="Normal 5 4 4 6 4" xfId="11182" xr:uid="{E2C14F46-FCE0-4528-8630-06C165BD981B}"/>
    <cellStyle name="Normal 5 4 4 7" xfId="4835" xr:uid="{00000000-0005-0000-0000-0000391B0000}"/>
    <cellStyle name="Normal 5 4 4 7 2" xfId="20951" xr:uid="{A05E8932-5E40-448A-B11B-28BCAD07A173}"/>
    <cellStyle name="Normal 5 4 4 7 3" xfId="13330" xr:uid="{5726F2F5-7EB7-4F5C-9D5B-D461F71352D4}"/>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2 2 2" xfId="23502" xr:uid="{A631D318-833B-4EB0-8381-24B07C7783DE}"/>
    <cellStyle name="Normal 5 4 5 2 2 3" xfId="15881" xr:uid="{5D46F156-8CF7-4F96-B7B1-2DA0F8769C6F}"/>
    <cellStyle name="Normal 5 4 5 2 3" xfId="19289" xr:uid="{E80F143F-BCE8-4312-8B23-90E11D2C311A}"/>
    <cellStyle name="Normal 5 4 5 2 4" xfId="11668" xr:uid="{D2744008-DE2B-462C-9BEB-D98DFE3358CB}"/>
    <cellStyle name="Normal 5 4 5 3" xfId="5241" xr:uid="{00000000-0005-0000-0000-00003D1B0000}"/>
    <cellStyle name="Normal 5 4 5 3 2" xfId="21357" xr:uid="{9BC23A54-C19F-4148-91A1-3E3D97C5DD12}"/>
    <cellStyle name="Normal 5 4 5 3 3" xfId="13736" xr:uid="{38D4C64D-1C53-4313-A48C-DA8CF70DB456}"/>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2 2 2" xfId="23915" xr:uid="{6AAC732C-F293-46D8-BAC6-C3D50C56FAFA}"/>
    <cellStyle name="Normal 5 4 6 2 2 3" xfId="16294" xr:uid="{BDC12E07-BA5E-4FB5-A7EC-4DCFB1B761A4}"/>
    <cellStyle name="Normal 5 4 6 2 3" xfId="19702" xr:uid="{FA65227F-804D-4813-9492-A23FD8794ADF}"/>
    <cellStyle name="Normal 5 4 6 2 4" xfId="12081" xr:uid="{FF591229-F754-44EF-A531-F7C0342CCFF3}"/>
    <cellStyle name="Normal 5 4 6 3" xfId="5654" xr:uid="{00000000-0005-0000-0000-0000411B0000}"/>
    <cellStyle name="Normal 5 4 6 3 2" xfId="21770" xr:uid="{264F8462-D7C5-4866-828C-0C219A781763}"/>
    <cellStyle name="Normal 5 4 6 3 3" xfId="14149" xr:uid="{029FDE58-EDFF-43D4-9FFA-0B47CC4E816C}"/>
    <cellStyle name="Normal 5 4 6 4" xfId="17557" xr:uid="{07440E1D-63C8-4939-A788-B9E29723A580}"/>
    <cellStyle name="Normal 5 4 6 5" xfId="9936" xr:uid="{95438B84-5E08-47F1-8AF6-D85BF4EC32B1}"/>
    <cellStyle name="Normal 5 4 7" xfId="1760" xr:uid="{00000000-0005-0000-0000-0000421B0000}"/>
    <cellStyle name="Normal 5 4 7 2" xfId="3990" xr:uid="{00000000-0005-0000-0000-0000431B0000}"/>
    <cellStyle name="Normal 5 4 7 2 2" xfId="8212" xr:uid="{00000000-0005-0000-0000-0000441B0000}"/>
    <cellStyle name="Normal 5 4 7 2 2 2" xfId="24328" xr:uid="{8F2D268B-C1A3-4085-8CE0-5F978C029498}"/>
    <cellStyle name="Normal 5 4 7 2 2 3" xfId="16707" xr:uid="{71AC1603-F0A9-4991-9575-021076599B01}"/>
    <cellStyle name="Normal 5 4 7 2 3" xfId="20115" xr:uid="{5A671614-7B7E-4EAF-8FE5-E59E47C05B86}"/>
    <cellStyle name="Normal 5 4 7 2 4" xfId="12494" xr:uid="{4A44F2AA-2B05-4B57-9E29-14D766E3F51F}"/>
    <cellStyle name="Normal 5 4 7 3" xfId="6067" xr:uid="{00000000-0005-0000-0000-0000451B0000}"/>
    <cellStyle name="Normal 5 4 7 3 2" xfId="22183" xr:uid="{34C32D72-3DAD-4DE2-AED2-EDD59A076AE8}"/>
    <cellStyle name="Normal 5 4 7 3 3" xfId="14562" xr:uid="{1C57404F-83C9-4004-87FC-07F966CBBBE7}"/>
    <cellStyle name="Normal 5 4 7 4" xfId="17970" xr:uid="{0F9D9255-B981-436A-98C1-B7CD66C893BB}"/>
    <cellStyle name="Normal 5 4 7 5" xfId="10349" xr:uid="{EA95C884-4450-4185-9BBC-AF930737C372}"/>
    <cellStyle name="Normal 5 4 8" xfId="2174" xr:uid="{00000000-0005-0000-0000-0000461B0000}"/>
    <cellStyle name="Normal 5 4 8 2" xfId="4403" xr:uid="{00000000-0005-0000-0000-0000471B0000}"/>
    <cellStyle name="Normal 5 4 8 2 2" xfId="8625" xr:uid="{00000000-0005-0000-0000-0000481B0000}"/>
    <cellStyle name="Normal 5 4 8 2 2 2" xfId="24741" xr:uid="{979412B4-990C-4F1D-B8EA-B781F76E55C1}"/>
    <cellStyle name="Normal 5 4 8 2 2 3" xfId="17120" xr:uid="{7006A72A-F9B1-4670-B7E9-533B9BC80299}"/>
    <cellStyle name="Normal 5 4 8 2 3" xfId="20528" xr:uid="{FC01CDB3-A992-49B7-8E3A-DA45DA349671}"/>
    <cellStyle name="Normal 5 4 8 2 4" xfId="12907" xr:uid="{517BC52E-0112-48DB-AF8E-30CC15BB4F4C}"/>
    <cellStyle name="Normal 5 4 8 3" xfId="6480" xr:uid="{00000000-0005-0000-0000-0000491B0000}"/>
    <cellStyle name="Normal 5 4 8 3 2" xfId="22596" xr:uid="{37D7CA16-1BB1-4E5D-AFFB-D4AC78EF98B2}"/>
    <cellStyle name="Normal 5 4 8 3 3" xfId="14975" xr:uid="{289F6EA5-AA9B-4F61-B670-7B26707753DE}"/>
    <cellStyle name="Normal 5 4 8 4" xfId="18383" xr:uid="{84391F73-2A85-4854-AB12-52216649BA60}"/>
    <cellStyle name="Normal 5 4 8 5" xfId="10762" xr:uid="{68C0DAF7-A209-494B-A3F9-AB4FDAEC0CF1}"/>
    <cellStyle name="Normal 5 4 9" xfId="2610" xr:uid="{00000000-0005-0000-0000-00004A1B0000}"/>
    <cellStyle name="Normal 5 4 9 2" xfId="6893" xr:uid="{00000000-0005-0000-0000-00004B1B0000}"/>
    <cellStyle name="Normal 5 4 9 2 2" xfId="23009" xr:uid="{C9B19C67-8445-44C8-BE94-D457FD5B1C80}"/>
    <cellStyle name="Normal 5 4 9 2 3" xfId="15388" xr:uid="{17925CA2-4C93-4003-A8B7-0651B52386E7}"/>
    <cellStyle name="Normal 5 4 9 3" xfId="18796" xr:uid="{8626E10E-594F-4CFB-B1D4-0927F71B6BC9}"/>
    <cellStyle name="Normal 5 4 9 4" xfId="11175" xr:uid="{7859DACE-8506-4571-8469-23A055C2FA92}"/>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23512" xr:uid="{BD5A3AD8-EEBC-4C7B-98D9-F0FB8F8F30E5}"/>
    <cellStyle name="Normal 5 5 2 2 2 2 2 3" xfId="15891" xr:uid="{FADB5811-F747-41D2-A88C-4B196A42D580}"/>
    <cellStyle name="Normal 5 5 2 2 2 2 3" xfId="19299" xr:uid="{AE02779D-66C3-493A-BF16-3F02BE1D744F}"/>
    <cellStyle name="Normal 5 5 2 2 2 2 4" xfId="11678" xr:uid="{E9884FF3-C2EA-4974-995A-725F61EAB8B3}"/>
    <cellStyle name="Normal 5 5 2 2 2 3" xfId="5251" xr:uid="{00000000-0005-0000-0000-0000521B0000}"/>
    <cellStyle name="Normal 5 5 2 2 2 3 2" xfId="21367" xr:uid="{C125892D-3EE4-4BEB-8499-DF0107A78EB8}"/>
    <cellStyle name="Normal 5 5 2 2 2 3 3" xfId="13746" xr:uid="{1D611725-B730-4CF9-8A5D-375A8D9BE1DB}"/>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23925" xr:uid="{23BDD8FA-F6DE-4947-962E-F4B4089A3BB3}"/>
    <cellStyle name="Normal 5 5 2 2 3 2 2 3" xfId="16304" xr:uid="{A42D46B2-9F92-4F7E-B539-9A0B5DE343E7}"/>
    <cellStyle name="Normal 5 5 2 2 3 2 3" xfId="19712" xr:uid="{3B74EB27-0D24-4B03-B1B8-691D5068F917}"/>
    <cellStyle name="Normal 5 5 2 2 3 2 4" xfId="12091" xr:uid="{47820AC1-D339-4CF7-93D5-01F47A28D999}"/>
    <cellStyle name="Normal 5 5 2 2 3 3" xfId="5664" xr:uid="{00000000-0005-0000-0000-0000561B0000}"/>
    <cellStyle name="Normal 5 5 2 2 3 3 2" xfId="21780" xr:uid="{165352C2-39D2-46B3-BC7E-25267517E971}"/>
    <cellStyle name="Normal 5 5 2 2 3 3 3" xfId="14159" xr:uid="{85D22EAD-EE16-48DC-9183-247C3237DCD3}"/>
    <cellStyle name="Normal 5 5 2 2 3 4" xfId="17567" xr:uid="{82F15867-80A5-4068-AE46-2BC57D6B65B4}"/>
    <cellStyle name="Normal 5 5 2 2 3 5" xfId="9946" xr:uid="{091D78C9-99AF-4506-96CA-844296F67DB0}"/>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24338" xr:uid="{8FF9FCD2-178B-4830-B148-2757DBEDD3FD}"/>
    <cellStyle name="Normal 5 5 2 2 4 2 2 3" xfId="16717" xr:uid="{3922A183-859F-40E4-923A-66484D588B7E}"/>
    <cellStyle name="Normal 5 5 2 2 4 2 3" xfId="20125" xr:uid="{DD1801A5-89E8-4F9A-B28F-13DF9D511E62}"/>
    <cellStyle name="Normal 5 5 2 2 4 2 4" xfId="12504" xr:uid="{4AB1D157-34BC-4A43-BB9C-70A9E9386B94}"/>
    <cellStyle name="Normal 5 5 2 2 4 3" xfId="6077" xr:uid="{00000000-0005-0000-0000-00005A1B0000}"/>
    <cellStyle name="Normal 5 5 2 2 4 3 2" xfId="22193" xr:uid="{C787E8D9-DF67-4F6B-907A-0B105ED1DDB5}"/>
    <cellStyle name="Normal 5 5 2 2 4 3 3" xfId="14572" xr:uid="{52447FF2-6771-4319-977D-66EF24B0B431}"/>
    <cellStyle name="Normal 5 5 2 2 4 4" xfId="17980" xr:uid="{E1B0B0F6-4F01-4AFE-8B62-6324EB7FF11F}"/>
    <cellStyle name="Normal 5 5 2 2 4 5" xfId="10359" xr:uid="{19403148-E2AA-40ED-8B55-6FF07B91AA20}"/>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24751" xr:uid="{4506F358-CE3B-40C8-B8DC-61A479FBE179}"/>
    <cellStyle name="Normal 5 5 2 2 5 2 2 3" xfId="17130" xr:uid="{30DD173C-1CB1-4AED-BD6A-3DE46B5BB416}"/>
    <cellStyle name="Normal 5 5 2 2 5 2 3" xfId="20538" xr:uid="{CFDB50DB-F36F-4F76-B96E-D1744C1BB9DA}"/>
    <cellStyle name="Normal 5 5 2 2 5 2 4" xfId="12917" xr:uid="{2AAB3A8C-0804-4318-A388-A01397CACDFA}"/>
    <cellStyle name="Normal 5 5 2 2 5 3" xfId="6490" xr:uid="{00000000-0005-0000-0000-00005E1B0000}"/>
    <cellStyle name="Normal 5 5 2 2 5 3 2" xfId="22606" xr:uid="{A0043C04-1E10-4442-BB16-F7135053E4A0}"/>
    <cellStyle name="Normal 5 5 2 2 5 3 3" xfId="14985" xr:uid="{38933AD7-BF8D-4F1B-8F28-C125267FC199}"/>
    <cellStyle name="Normal 5 5 2 2 5 4" xfId="18393" xr:uid="{D0C98DB5-69F3-42F3-9EB1-5BABAF5C6566}"/>
    <cellStyle name="Normal 5 5 2 2 5 5" xfId="10772" xr:uid="{3C18777D-E1D2-4476-A721-7758E41850D2}"/>
    <cellStyle name="Normal 5 5 2 2 6" xfId="2620" xr:uid="{00000000-0005-0000-0000-00005F1B0000}"/>
    <cellStyle name="Normal 5 5 2 2 6 2" xfId="6903" xr:uid="{00000000-0005-0000-0000-0000601B0000}"/>
    <cellStyle name="Normal 5 5 2 2 6 2 2" xfId="23019" xr:uid="{E619970B-9EA9-4813-9495-7D86D718AF78}"/>
    <cellStyle name="Normal 5 5 2 2 6 2 3" xfId="15398" xr:uid="{977898F0-766E-4EBD-B08A-9A4B675F4F44}"/>
    <cellStyle name="Normal 5 5 2 2 6 3" xfId="18806" xr:uid="{CA5AF96B-E3F3-4D1C-96E1-64BF00277B31}"/>
    <cellStyle name="Normal 5 5 2 2 6 4" xfId="11185" xr:uid="{D7808761-E375-4F83-BE86-1E7EDD0E8388}"/>
    <cellStyle name="Normal 5 5 2 2 7" xfId="4838" xr:uid="{00000000-0005-0000-0000-0000611B0000}"/>
    <cellStyle name="Normal 5 5 2 2 7 2" xfId="20954" xr:uid="{623B48EA-F19C-4923-B364-6222FB4654ED}"/>
    <cellStyle name="Normal 5 5 2 2 7 3" xfId="13333" xr:uid="{65D68AE6-4FFB-4592-93EA-8AFBB6A56EAE}"/>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2 2 2" xfId="23511" xr:uid="{C3774D36-7CC6-478E-BBB0-D1C4D4995877}"/>
    <cellStyle name="Normal 5 5 2 3 2 2 3" xfId="15890" xr:uid="{5DB76068-2553-4AEE-946F-90789C7A732D}"/>
    <cellStyle name="Normal 5 5 2 3 2 3" xfId="19298" xr:uid="{C54EAB1E-60CD-4836-BD4F-363A3EF0B89E}"/>
    <cellStyle name="Normal 5 5 2 3 2 4" xfId="11677" xr:uid="{88928411-62FD-45E9-93F6-2E73847BECE0}"/>
    <cellStyle name="Normal 5 5 2 3 3" xfId="5250" xr:uid="{00000000-0005-0000-0000-0000651B0000}"/>
    <cellStyle name="Normal 5 5 2 3 3 2" xfId="21366" xr:uid="{9E1828CE-B1EA-4C39-8947-513982DEC6AF}"/>
    <cellStyle name="Normal 5 5 2 3 3 3" xfId="13745" xr:uid="{AD63527C-5FC1-4FE8-92A5-07033D7FF46D}"/>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2 2 2" xfId="23924" xr:uid="{505DD6C7-D589-485A-A4D6-8A126870BA85}"/>
    <cellStyle name="Normal 5 5 2 4 2 2 3" xfId="16303" xr:uid="{39184D78-D6DD-41CB-9E95-3497B2077C6F}"/>
    <cellStyle name="Normal 5 5 2 4 2 3" xfId="19711" xr:uid="{721D44CF-9B2C-4C4B-91F9-DAD977423DDD}"/>
    <cellStyle name="Normal 5 5 2 4 2 4" xfId="12090" xr:uid="{2E180677-AFAD-461F-93C2-CF4D72165155}"/>
    <cellStyle name="Normal 5 5 2 4 3" xfId="5663" xr:uid="{00000000-0005-0000-0000-0000691B0000}"/>
    <cellStyle name="Normal 5 5 2 4 3 2" xfId="21779" xr:uid="{68E26ED9-0B3B-4DBF-B146-D44BA770BE43}"/>
    <cellStyle name="Normal 5 5 2 4 3 3" xfId="14158" xr:uid="{1D8B4533-EAA8-41A8-A431-C2FE0BD584C8}"/>
    <cellStyle name="Normal 5 5 2 4 4" xfId="17566" xr:uid="{AAC0FB33-DEE5-496D-9DC6-6C80E99394C1}"/>
    <cellStyle name="Normal 5 5 2 4 5" xfId="9945" xr:uid="{1A959FA1-08B8-470A-A69D-0644197FA3A1}"/>
    <cellStyle name="Normal 5 5 2 5" xfId="1769" xr:uid="{00000000-0005-0000-0000-00006A1B0000}"/>
    <cellStyle name="Normal 5 5 2 5 2" xfId="3999" xr:uid="{00000000-0005-0000-0000-00006B1B0000}"/>
    <cellStyle name="Normal 5 5 2 5 2 2" xfId="8221" xr:uid="{00000000-0005-0000-0000-00006C1B0000}"/>
    <cellStyle name="Normal 5 5 2 5 2 2 2" xfId="24337" xr:uid="{DCC45BCE-EF7C-4DEB-B228-DAA0F16C7048}"/>
    <cellStyle name="Normal 5 5 2 5 2 2 3" xfId="16716" xr:uid="{E4AECB53-8F87-4441-830C-4CB29C09D177}"/>
    <cellStyle name="Normal 5 5 2 5 2 3" xfId="20124" xr:uid="{9F92CA18-1781-47A5-B2AD-D91440DDBA00}"/>
    <cellStyle name="Normal 5 5 2 5 2 4" xfId="12503" xr:uid="{5677DDB9-FED2-4373-B392-99CEB368AFEF}"/>
    <cellStyle name="Normal 5 5 2 5 3" xfId="6076" xr:uid="{00000000-0005-0000-0000-00006D1B0000}"/>
    <cellStyle name="Normal 5 5 2 5 3 2" xfId="22192" xr:uid="{BF7D5952-1D55-4D61-9E2E-3F7F15F530A4}"/>
    <cellStyle name="Normal 5 5 2 5 3 3" xfId="14571" xr:uid="{3941E8A3-EEE8-47D9-A854-00247BDD1DEE}"/>
    <cellStyle name="Normal 5 5 2 5 4" xfId="17979" xr:uid="{EA304268-1805-423B-B326-8119E60142CD}"/>
    <cellStyle name="Normal 5 5 2 5 5" xfId="10358" xr:uid="{8070B77A-C3B3-492F-A476-3507625B5EEA}"/>
    <cellStyle name="Normal 5 5 2 6" xfId="2183" xr:uid="{00000000-0005-0000-0000-00006E1B0000}"/>
    <cellStyle name="Normal 5 5 2 6 2" xfId="4412" xr:uid="{00000000-0005-0000-0000-00006F1B0000}"/>
    <cellStyle name="Normal 5 5 2 6 2 2" xfId="8634" xr:uid="{00000000-0005-0000-0000-0000701B0000}"/>
    <cellStyle name="Normal 5 5 2 6 2 2 2" xfId="24750" xr:uid="{CCE60093-8796-4C23-8155-C6B2D2A40E4D}"/>
    <cellStyle name="Normal 5 5 2 6 2 2 3" xfId="17129" xr:uid="{4DBA8D90-101B-451F-97E9-6F1801F92C7E}"/>
    <cellStyle name="Normal 5 5 2 6 2 3" xfId="20537" xr:uid="{CE74961E-108E-4F3E-BD0E-20B0D91C0EB9}"/>
    <cellStyle name="Normal 5 5 2 6 2 4" xfId="12916" xr:uid="{5A1596F7-19FA-4EF9-8891-54FC9359E1B8}"/>
    <cellStyle name="Normal 5 5 2 6 3" xfId="6489" xr:uid="{00000000-0005-0000-0000-0000711B0000}"/>
    <cellStyle name="Normal 5 5 2 6 3 2" xfId="22605" xr:uid="{5F1CEC71-1410-4E6B-AB44-CB4E78C49811}"/>
    <cellStyle name="Normal 5 5 2 6 3 3" xfId="14984" xr:uid="{024255A4-91DD-4153-8E2B-8DE4731AAB09}"/>
    <cellStyle name="Normal 5 5 2 6 4" xfId="18392" xr:uid="{0A244CFB-E210-4BBC-99D8-55098A87C152}"/>
    <cellStyle name="Normal 5 5 2 6 5" xfId="10771" xr:uid="{20E22E53-5875-44A8-8D85-E31286D35BC3}"/>
    <cellStyle name="Normal 5 5 2 7" xfId="2619" xr:uid="{00000000-0005-0000-0000-0000721B0000}"/>
    <cellStyle name="Normal 5 5 2 7 2" xfId="6902" xr:uid="{00000000-0005-0000-0000-0000731B0000}"/>
    <cellStyle name="Normal 5 5 2 7 2 2" xfId="23018" xr:uid="{AC3FA485-9EBB-4177-83B7-B36038DCF4B3}"/>
    <cellStyle name="Normal 5 5 2 7 2 3" xfId="15397" xr:uid="{231C3276-A771-4CC7-87BE-BCBB885DF8C5}"/>
    <cellStyle name="Normal 5 5 2 7 3" xfId="18805" xr:uid="{BAE5AAEC-7678-4737-BE0E-41347C03A0BC}"/>
    <cellStyle name="Normal 5 5 2 7 4" xfId="11184" xr:uid="{195CAF92-457C-46A5-9368-4D9A0BBF3A5C}"/>
    <cellStyle name="Normal 5 5 2 8" xfId="4837" xr:uid="{00000000-0005-0000-0000-0000741B0000}"/>
    <cellStyle name="Normal 5 5 2 8 2" xfId="20953" xr:uid="{00C7895F-4987-49B6-A388-DCA2DEC8F944}"/>
    <cellStyle name="Normal 5 5 2 8 3" xfId="13332" xr:uid="{A0DBA741-2FF3-4A82-A23C-96B72532EEB2}"/>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23513" xr:uid="{7C48AAC8-1C07-4120-8E45-5FEDBC3A7570}"/>
    <cellStyle name="Normal 5 5 3 2 2 2 3" xfId="15892" xr:uid="{0DF77287-92AB-4DAB-918D-2DDEBF4DE46E}"/>
    <cellStyle name="Normal 5 5 3 2 2 3" xfId="19300" xr:uid="{9821A2D9-DAB2-4509-9636-43C3DD898269}"/>
    <cellStyle name="Normal 5 5 3 2 2 4" xfId="11679" xr:uid="{B0FB0FAC-25B3-4CCF-BFBE-E6726E297A29}"/>
    <cellStyle name="Normal 5 5 3 2 3" xfId="5252" xr:uid="{00000000-0005-0000-0000-0000791B0000}"/>
    <cellStyle name="Normal 5 5 3 2 3 2" xfId="21368" xr:uid="{6326FDC5-0DE1-4FDE-94FC-8D8BD31FD792}"/>
    <cellStyle name="Normal 5 5 3 2 3 3" xfId="13747" xr:uid="{5A5694F0-9855-4C4F-AB0D-420EB335C93A}"/>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2 2 2" xfId="23926" xr:uid="{4ECA6C12-7BC1-4EA6-AAC1-57F904F02293}"/>
    <cellStyle name="Normal 5 5 3 3 2 2 3" xfId="16305" xr:uid="{0A1C296F-8631-48BC-A8DF-44A7B8B61C8E}"/>
    <cellStyle name="Normal 5 5 3 3 2 3" xfId="19713" xr:uid="{FFDBFA05-83B8-43A4-A0D4-6ECC73A3447D}"/>
    <cellStyle name="Normal 5 5 3 3 2 4" xfId="12092" xr:uid="{1474F5BE-F2EB-468F-90E2-A75891F8C9E3}"/>
    <cellStyle name="Normal 5 5 3 3 3" xfId="5665" xr:uid="{00000000-0005-0000-0000-00007D1B0000}"/>
    <cellStyle name="Normal 5 5 3 3 3 2" xfId="21781" xr:uid="{ECB3CED7-C837-4F5B-85DC-888DF6D56D10}"/>
    <cellStyle name="Normal 5 5 3 3 3 3" xfId="14160" xr:uid="{7C3DFC37-118C-45CF-909B-64450CDD70BF}"/>
    <cellStyle name="Normal 5 5 3 3 4" xfId="17568" xr:uid="{4880328A-0C53-45C8-B1D1-D565F39140D1}"/>
    <cellStyle name="Normal 5 5 3 3 5" xfId="9947" xr:uid="{7BE518E4-64F0-4FDE-B169-85CE3D897D36}"/>
    <cellStyle name="Normal 5 5 3 4" xfId="1771" xr:uid="{00000000-0005-0000-0000-00007E1B0000}"/>
    <cellStyle name="Normal 5 5 3 4 2" xfId="4001" xr:uid="{00000000-0005-0000-0000-00007F1B0000}"/>
    <cellStyle name="Normal 5 5 3 4 2 2" xfId="8223" xr:uid="{00000000-0005-0000-0000-0000801B0000}"/>
    <cellStyle name="Normal 5 5 3 4 2 2 2" xfId="24339" xr:uid="{3DCFD445-20DC-48D2-B9E7-729BA3287378}"/>
    <cellStyle name="Normal 5 5 3 4 2 2 3" xfId="16718" xr:uid="{1DE79E52-3828-45AB-93DE-25088F1B9E4E}"/>
    <cellStyle name="Normal 5 5 3 4 2 3" xfId="20126" xr:uid="{E5B07DA2-50AD-45F7-BFBA-DD61D77D7390}"/>
    <cellStyle name="Normal 5 5 3 4 2 4" xfId="12505" xr:uid="{3F469EB7-8E9E-4D92-90AA-A3BAF722E49B}"/>
    <cellStyle name="Normal 5 5 3 4 3" xfId="6078" xr:uid="{00000000-0005-0000-0000-0000811B0000}"/>
    <cellStyle name="Normal 5 5 3 4 3 2" xfId="22194" xr:uid="{4463F8C0-CFDF-4D81-9DE6-33493D968B95}"/>
    <cellStyle name="Normal 5 5 3 4 3 3" xfId="14573" xr:uid="{2E5EC83E-5A15-426B-B184-7923E7CD29A0}"/>
    <cellStyle name="Normal 5 5 3 4 4" xfId="17981" xr:uid="{69366B70-2E72-4FC1-B39C-31C095056243}"/>
    <cellStyle name="Normal 5 5 3 4 5" xfId="10360" xr:uid="{705FCE51-D991-40BB-9133-CBD1C25D1655}"/>
    <cellStyle name="Normal 5 5 3 5" xfId="2185" xr:uid="{00000000-0005-0000-0000-0000821B0000}"/>
    <cellStyle name="Normal 5 5 3 5 2" xfId="4414" xr:uid="{00000000-0005-0000-0000-0000831B0000}"/>
    <cellStyle name="Normal 5 5 3 5 2 2" xfId="8636" xr:uid="{00000000-0005-0000-0000-0000841B0000}"/>
    <cellStyle name="Normal 5 5 3 5 2 2 2" xfId="24752" xr:uid="{D09F37AB-D50C-4BC9-81D3-74951E0B337B}"/>
    <cellStyle name="Normal 5 5 3 5 2 2 3" xfId="17131" xr:uid="{F2FA6D1C-FE51-46F7-8EF3-F71AC906D1CF}"/>
    <cellStyle name="Normal 5 5 3 5 2 3" xfId="20539" xr:uid="{137724EC-9B6C-4566-9878-96262309F321}"/>
    <cellStyle name="Normal 5 5 3 5 2 4" xfId="12918" xr:uid="{B8C93D8A-5E4C-435D-B8D8-D0696DE9603C}"/>
    <cellStyle name="Normal 5 5 3 5 3" xfId="6491" xr:uid="{00000000-0005-0000-0000-0000851B0000}"/>
    <cellStyle name="Normal 5 5 3 5 3 2" xfId="22607" xr:uid="{F2CB708B-ED84-4E9F-AFB8-324473066D8C}"/>
    <cellStyle name="Normal 5 5 3 5 3 3" xfId="14986" xr:uid="{38464471-184C-4240-B2B4-5704B783169C}"/>
    <cellStyle name="Normal 5 5 3 5 4" xfId="18394" xr:uid="{8732544D-5345-44EB-AB8C-C4CEB8B6F36B}"/>
    <cellStyle name="Normal 5 5 3 5 5" xfId="10773" xr:uid="{A969B4D8-A141-4D34-BE75-70C6B994FF9A}"/>
    <cellStyle name="Normal 5 5 3 6" xfId="2621" xr:uid="{00000000-0005-0000-0000-0000861B0000}"/>
    <cellStyle name="Normal 5 5 3 6 2" xfId="6904" xr:uid="{00000000-0005-0000-0000-0000871B0000}"/>
    <cellStyle name="Normal 5 5 3 6 2 2" xfId="23020" xr:uid="{87ABC45E-69BC-4AB8-9648-6381C1608486}"/>
    <cellStyle name="Normal 5 5 3 6 2 3" xfId="15399" xr:uid="{EAAC3BA5-2B4A-4991-AE3D-6FD7A5605316}"/>
    <cellStyle name="Normal 5 5 3 6 3" xfId="18807" xr:uid="{DE2643D0-33E8-4B2E-BEAC-F71694B3B907}"/>
    <cellStyle name="Normal 5 5 3 6 4" xfId="11186" xr:uid="{E74327EE-62BE-44BF-A622-0E62248DDD83}"/>
    <cellStyle name="Normal 5 5 3 7" xfId="4839" xr:uid="{00000000-0005-0000-0000-0000881B0000}"/>
    <cellStyle name="Normal 5 5 3 7 2" xfId="20955" xr:uid="{4B424814-B465-4B1E-9D7D-196D3CAF316F}"/>
    <cellStyle name="Normal 5 5 3 7 3" xfId="13334" xr:uid="{334F6977-8DAF-4240-BDF4-2F50577DC808}"/>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2 2 2" xfId="23510" xr:uid="{4D139B28-61B0-478C-A512-78768CB228A9}"/>
    <cellStyle name="Normal 5 5 4 2 2 3" xfId="15889" xr:uid="{45817463-6DF7-4936-A784-489032C771C8}"/>
    <cellStyle name="Normal 5 5 4 2 3" xfId="19297" xr:uid="{8654717E-93E4-4FF0-8364-D0E7396EB831}"/>
    <cellStyle name="Normal 5 5 4 2 4" xfId="11676" xr:uid="{F3384BBB-62ED-4A82-AD68-B1AEB39D5932}"/>
    <cellStyle name="Normal 5 5 4 3" xfId="5249" xr:uid="{00000000-0005-0000-0000-00008C1B0000}"/>
    <cellStyle name="Normal 5 5 4 3 2" xfId="21365" xr:uid="{3D346F2C-92FE-49E3-9801-F678BFDFB605}"/>
    <cellStyle name="Normal 5 5 4 3 3" xfId="13744" xr:uid="{0F287B54-6524-48C5-A12B-BF7CB12F663C}"/>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2 2 2" xfId="23923" xr:uid="{F47F2428-A212-44BF-A8A2-99666313CE74}"/>
    <cellStyle name="Normal 5 5 5 2 2 3" xfId="16302" xr:uid="{5FB54ED1-2F29-4301-B3BE-F8386B9342D6}"/>
    <cellStyle name="Normal 5 5 5 2 3" xfId="19710" xr:uid="{DEBC76DD-49F3-422B-A549-0F5D8FC5D0D8}"/>
    <cellStyle name="Normal 5 5 5 2 4" xfId="12089" xr:uid="{C2F7A17C-050F-4DA7-8DC1-E8C9D1B3C836}"/>
    <cellStyle name="Normal 5 5 5 3" xfId="5662" xr:uid="{00000000-0005-0000-0000-0000901B0000}"/>
    <cellStyle name="Normal 5 5 5 3 2" xfId="21778" xr:uid="{84DA7659-14DE-47D3-9FD9-1FA05A95D9AB}"/>
    <cellStyle name="Normal 5 5 5 3 3" xfId="14157" xr:uid="{30DE5DCE-7564-4244-B9A8-623D0096577E}"/>
    <cellStyle name="Normal 5 5 5 4" xfId="17565" xr:uid="{8C02F279-59B9-4651-9B63-C59893D21C4C}"/>
    <cellStyle name="Normal 5 5 5 5" xfId="9944" xr:uid="{35204920-9974-470B-84F9-2378E67C0119}"/>
    <cellStyle name="Normal 5 5 6" xfId="1768" xr:uid="{00000000-0005-0000-0000-0000911B0000}"/>
    <cellStyle name="Normal 5 5 6 2" xfId="3998" xr:uid="{00000000-0005-0000-0000-0000921B0000}"/>
    <cellStyle name="Normal 5 5 6 2 2" xfId="8220" xr:uid="{00000000-0005-0000-0000-0000931B0000}"/>
    <cellStyle name="Normal 5 5 6 2 2 2" xfId="24336" xr:uid="{6B638363-2664-4F34-B7A2-F495BBDD2794}"/>
    <cellStyle name="Normal 5 5 6 2 2 3" xfId="16715" xr:uid="{AAAFB34C-6972-48B3-ABA1-FB2A6EB88EF7}"/>
    <cellStyle name="Normal 5 5 6 2 3" xfId="20123" xr:uid="{2DB3F576-87CF-4BA3-BACF-CF1D4B7A5474}"/>
    <cellStyle name="Normal 5 5 6 2 4" xfId="12502" xr:uid="{FC8F824D-8E01-4AEB-98EA-8703AD35ADCC}"/>
    <cellStyle name="Normal 5 5 6 3" xfId="6075" xr:uid="{00000000-0005-0000-0000-0000941B0000}"/>
    <cellStyle name="Normal 5 5 6 3 2" xfId="22191" xr:uid="{935838C3-D225-4DE1-AEE8-46B24E651E22}"/>
    <cellStyle name="Normal 5 5 6 3 3" xfId="14570" xr:uid="{B11D591E-B9F6-4240-ADD2-3BB7F4272A18}"/>
    <cellStyle name="Normal 5 5 6 4" xfId="17978" xr:uid="{119F2352-7EB3-45BE-BF46-670BC3DC19BC}"/>
    <cellStyle name="Normal 5 5 6 5" xfId="10357" xr:uid="{6548F464-D7D6-40CF-8BD7-6E3E0F768F29}"/>
    <cellStyle name="Normal 5 5 7" xfId="2182" xr:uid="{00000000-0005-0000-0000-0000951B0000}"/>
    <cellStyle name="Normal 5 5 7 2" xfId="4411" xr:uid="{00000000-0005-0000-0000-0000961B0000}"/>
    <cellStyle name="Normal 5 5 7 2 2" xfId="8633" xr:uid="{00000000-0005-0000-0000-0000971B0000}"/>
    <cellStyle name="Normal 5 5 7 2 2 2" xfId="24749" xr:uid="{F495451B-451A-429A-9983-CFFAA2CFDB63}"/>
    <cellStyle name="Normal 5 5 7 2 2 3" xfId="17128" xr:uid="{C3D360F9-C7F0-4BBF-8648-9DECD37B93F0}"/>
    <cellStyle name="Normal 5 5 7 2 3" xfId="20536" xr:uid="{6F391119-EC9E-421D-BEBE-984B39D35C78}"/>
    <cellStyle name="Normal 5 5 7 2 4" xfId="12915" xr:uid="{9EEC3EEC-409E-4485-9216-3992D3ED2A31}"/>
    <cellStyle name="Normal 5 5 7 3" xfId="6488" xr:uid="{00000000-0005-0000-0000-0000981B0000}"/>
    <cellStyle name="Normal 5 5 7 3 2" xfId="22604" xr:uid="{CB16F713-5BD2-4035-9526-38DB7AEB3C9F}"/>
    <cellStyle name="Normal 5 5 7 3 3" xfId="14983" xr:uid="{3915A372-8869-44E8-B122-8773647ADBA9}"/>
    <cellStyle name="Normal 5 5 7 4" xfId="18391" xr:uid="{E1CF8FAC-7284-467C-9A94-4B7974C4FFD3}"/>
    <cellStyle name="Normal 5 5 7 5" xfId="10770" xr:uid="{61DE3C77-C40C-47BF-8653-E4311A63E776}"/>
    <cellStyle name="Normal 5 5 8" xfId="2618" xr:uid="{00000000-0005-0000-0000-0000991B0000}"/>
    <cellStyle name="Normal 5 5 8 2" xfId="6901" xr:uid="{00000000-0005-0000-0000-00009A1B0000}"/>
    <cellStyle name="Normal 5 5 8 2 2" xfId="23017" xr:uid="{DE5EEC37-B8F7-4AD2-8215-875EC0C97826}"/>
    <cellStyle name="Normal 5 5 8 2 3" xfId="15396" xr:uid="{A712C85C-8E23-436C-A21A-7ED536B1C3D1}"/>
    <cellStyle name="Normal 5 5 8 3" xfId="18804" xr:uid="{2CAEC1AD-BECB-439B-903B-118BF5C7629B}"/>
    <cellStyle name="Normal 5 5 8 4" xfId="11183" xr:uid="{F7FB7754-6FA7-44A6-A2A7-0DBFEB6C81ED}"/>
    <cellStyle name="Normal 5 5 9" xfId="4836" xr:uid="{00000000-0005-0000-0000-00009B1B0000}"/>
    <cellStyle name="Normal 5 5 9 2" xfId="20952" xr:uid="{FF9DC7B1-B9FF-48C7-89CB-132F47C7AD31}"/>
    <cellStyle name="Normal 5 5 9 3" xfId="13331" xr:uid="{93A73284-FCCD-407B-BA1A-1D74FD29263D}"/>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23515" xr:uid="{F2190885-2C8A-4704-B536-FF91D88EFB88}"/>
    <cellStyle name="Normal 5 6 2 2 2 2 3" xfId="15894" xr:uid="{F8F8C603-2FCE-455E-AC50-50F495AF87E7}"/>
    <cellStyle name="Normal 5 6 2 2 2 3" xfId="19302" xr:uid="{B1DEA0D4-EB6A-4813-8280-C8E1C7E7749A}"/>
    <cellStyle name="Normal 5 6 2 2 2 4" xfId="11681" xr:uid="{92B214C8-A852-42B6-A10D-D43578C4A2DB}"/>
    <cellStyle name="Normal 5 6 2 2 3" xfId="5254" xr:uid="{00000000-0005-0000-0000-0000A11B0000}"/>
    <cellStyle name="Normal 5 6 2 2 3 2" xfId="21370" xr:uid="{E0F169CA-0272-4345-A2E9-9F27FD01017E}"/>
    <cellStyle name="Normal 5 6 2 2 3 3" xfId="13749" xr:uid="{A441FE6E-7C79-46B1-963D-DBD02CCAD261}"/>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2 2 2" xfId="23928" xr:uid="{3CD9C84A-E649-40B2-AB2D-57259B4B36F9}"/>
    <cellStyle name="Normal 5 6 2 3 2 2 3" xfId="16307" xr:uid="{66AD9082-0764-41D8-B064-C3858D0C015B}"/>
    <cellStyle name="Normal 5 6 2 3 2 3" xfId="19715" xr:uid="{02637320-97A1-4F3A-B6DB-2E5F35CD4EFF}"/>
    <cellStyle name="Normal 5 6 2 3 2 4" xfId="12094" xr:uid="{EC785080-5D5A-4C79-BFDF-9BF22854E1A5}"/>
    <cellStyle name="Normal 5 6 2 3 3" xfId="5667" xr:uid="{00000000-0005-0000-0000-0000A51B0000}"/>
    <cellStyle name="Normal 5 6 2 3 3 2" xfId="21783" xr:uid="{4A58B2BC-F194-4345-8C98-0BB7DCAE5702}"/>
    <cellStyle name="Normal 5 6 2 3 3 3" xfId="14162" xr:uid="{55468157-0769-414A-AACC-7197F6E6EFC9}"/>
    <cellStyle name="Normal 5 6 2 3 4" xfId="17570" xr:uid="{7753B31D-5EF5-419D-AF45-B72FB254CC38}"/>
    <cellStyle name="Normal 5 6 2 3 5" xfId="9949" xr:uid="{663424E3-E7E2-45DF-B8A9-417061338CAB}"/>
    <cellStyle name="Normal 5 6 2 4" xfId="1773" xr:uid="{00000000-0005-0000-0000-0000A61B0000}"/>
    <cellStyle name="Normal 5 6 2 4 2" xfId="4003" xr:uid="{00000000-0005-0000-0000-0000A71B0000}"/>
    <cellStyle name="Normal 5 6 2 4 2 2" xfId="8225" xr:uid="{00000000-0005-0000-0000-0000A81B0000}"/>
    <cellStyle name="Normal 5 6 2 4 2 2 2" xfId="24341" xr:uid="{E61B208B-E3D3-4D38-9FE4-2102AA6DF4D3}"/>
    <cellStyle name="Normal 5 6 2 4 2 2 3" xfId="16720" xr:uid="{4F5511CB-7914-4AED-923A-7BB731D69FAC}"/>
    <cellStyle name="Normal 5 6 2 4 2 3" xfId="20128" xr:uid="{DB008359-2DC6-4DDA-B31A-D620266A9BB3}"/>
    <cellStyle name="Normal 5 6 2 4 2 4" xfId="12507" xr:uid="{727DA4BA-3309-4700-9FE0-244FE479DF2C}"/>
    <cellStyle name="Normal 5 6 2 4 3" xfId="6080" xr:uid="{00000000-0005-0000-0000-0000A91B0000}"/>
    <cellStyle name="Normal 5 6 2 4 3 2" xfId="22196" xr:uid="{08BBC3BE-ACEF-41CD-9EE7-16845A43AB94}"/>
    <cellStyle name="Normal 5 6 2 4 3 3" xfId="14575" xr:uid="{F15C84C2-4942-4B2A-A743-D4223B87A824}"/>
    <cellStyle name="Normal 5 6 2 4 4" xfId="17983" xr:uid="{ED7F7B4E-6121-4D0E-A5A9-345F96B96458}"/>
    <cellStyle name="Normal 5 6 2 4 5" xfId="10362" xr:uid="{5C899DE3-1A1C-411E-9622-679371E54C33}"/>
    <cellStyle name="Normal 5 6 2 5" xfId="2187" xr:uid="{00000000-0005-0000-0000-0000AA1B0000}"/>
    <cellStyle name="Normal 5 6 2 5 2" xfId="4416" xr:uid="{00000000-0005-0000-0000-0000AB1B0000}"/>
    <cellStyle name="Normal 5 6 2 5 2 2" xfId="8638" xr:uid="{00000000-0005-0000-0000-0000AC1B0000}"/>
    <cellStyle name="Normal 5 6 2 5 2 2 2" xfId="24754" xr:uid="{34D75E8F-7339-461D-826D-71A72B534658}"/>
    <cellStyle name="Normal 5 6 2 5 2 2 3" xfId="17133" xr:uid="{A48FCF48-A8C8-4819-A681-1755F11BAE06}"/>
    <cellStyle name="Normal 5 6 2 5 2 3" xfId="20541" xr:uid="{0BF0F67B-C9B7-472B-897C-B3AC0020F706}"/>
    <cellStyle name="Normal 5 6 2 5 2 4" xfId="12920" xr:uid="{04DC52C9-A5C8-4F04-AE7A-0E3BC64B5CAC}"/>
    <cellStyle name="Normal 5 6 2 5 3" xfId="6493" xr:uid="{00000000-0005-0000-0000-0000AD1B0000}"/>
    <cellStyle name="Normal 5 6 2 5 3 2" xfId="22609" xr:uid="{AB0E1FB4-5415-43A0-9131-CA6F4215720A}"/>
    <cellStyle name="Normal 5 6 2 5 3 3" xfId="14988" xr:uid="{E1A8A9A1-E19C-4DFC-B722-68AA0DBB2188}"/>
    <cellStyle name="Normal 5 6 2 5 4" xfId="18396" xr:uid="{C059794D-50A7-47EA-A0B3-9A07FC3DC521}"/>
    <cellStyle name="Normal 5 6 2 5 5" xfId="10775" xr:uid="{E6D734C2-DDB8-4E2A-8FA5-B5856B2E3A73}"/>
    <cellStyle name="Normal 5 6 2 6" xfId="2623" xr:uid="{00000000-0005-0000-0000-0000AE1B0000}"/>
    <cellStyle name="Normal 5 6 2 6 2" xfId="6906" xr:uid="{00000000-0005-0000-0000-0000AF1B0000}"/>
    <cellStyle name="Normal 5 6 2 6 2 2" xfId="23022" xr:uid="{2F0B92CE-0995-4572-BE97-D17723C2C794}"/>
    <cellStyle name="Normal 5 6 2 6 2 3" xfId="15401" xr:uid="{3BF01065-D906-4B1F-8EC4-FDD1FDB4991F}"/>
    <cellStyle name="Normal 5 6 2 6 3" xfId="18809" xr:uid="{72CE8309-23E2-4F30-BA9A-2C0869D9DA67}"/>
    <cellStyle name="Normal 5 6 2 6 4" xfId="11188" xr:uid="{B4A6BC6A-4874-4826-B14D-60884198FE0E}"/>
    <cellStyle name="Normal 5 6 2 7" xfId="4841" xr:uid="{00000000-0005-0000-0000-0000B01B0000}"/>
    <cellStyle name="Normal 5 6 2 7 2" xfId="20957" xr:uid="{8684FBF7-1BA2-4B6B-98CD-4B0EEDBEA423}"/>
    <cellStyle name="Normal 5 6 2 7 3" xfId="13336" xr:uid="{6581F786-C298-46D8-AF68-F5C09C45C3A7}"/>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2 2 2" xfId="23514" xr:uid="{3E1CFBB5-083C-46B6-A1E9-0023A1E5651E}"/>
    <cellStyle name="Normal 5 6 3 2 2 3" xfId="15893" xr:uid="{FCCE61EE-0008-486E-B8DC-091B83FC0905}"/>
    <cellStyle name="Normal 5 6 3 2 3" xfId="19301" xr:uid="{3A515A91-FF91-4A9C-AC7E-02BA43903089}"/>
    <cellStyle name="Normal 5 6 3 2 4" xfId="11680" xr:uid="{A034984D-F6D3-44C9-9307-D3EC736F498F}"/>
    <cellStyle name="Normal 5 6 3 3" xfId="5253" xr:uid="{00000000-0005-0000-0000-0000B41B0000}"/>
    <cellStyle name="Normal 5 6 3 3 2" xfId="21369" xr:uid="{8F230E7B-3FF5-4C3A-8219-C1C85370707B}"/>
    <cellStyle name="Normal 5 6 3 3 3" xfId="13748" xr:uid="{8DBE02C2-FEDD-46F3-B259-EB6F3B446033}"/>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2 2 2" xfId="23927" xr:uid="{E8655EC8-AA83-4AF5-81D2-DCE1AD5A0AE2}"/>
    <cellStyle name="Normal 5 6 4 2 2 3" xfId="16306" xr:uid="{D93723D1-A293-4AD0-B0A7-57172903A3A6}"/>
    <cellStyle name="Normal 5 6 4 2 3" xfId="19714" xr:uid="{0FBB5BC5-363A-48E8-B4B5-366776D9D0DD}"/>
    <cellStyle name="Normal 5 6 4 2 4" xfId="12093" xr:uid="{3476A4F2-C10E-4F19-B681-F7E37FB04852}"/>
    <cellStyle name="Normal 5 6 4 3" xfId="5666" xr:uid="{00000000-0005-0000-0000-0000B81B0000}"/>
    <cellStyle name="Normal 5 6 4 3 2" xfId="21782" xr:uid="{5AF75D2E-ACAE-4508-97DB-621398C70249}"/>
    <cellStyle name="Normal 5 6 4 3 3" xfId="14161" xr:uid="{38001523-D1F2-414C-A01E-F308BF68F0A4}"/>
    <cellStyle name="Normal 5 6 4 4" xfId="17569" xr:uid="{02FA0615-ADA0-4C41-A876-7A800FE04D23}"/>
    <cellStyle name="Normal 5 6 4 5" xfId="9948" xr:uid="{6E250A02-1A46-468A-A6D8-412759C54086}"/>
    <cellStyle name="Normal 5 6 5" xfId="1772" xr:uid="{00000000-0005-0000-0000-0000B91B0000}"/>
    <cellStyle name="Normal 5 6 5 2" xfId="4002" xr:uid="{00000000-0005-0000-0000-0000BA1B0000}"/>
    <cellStyle name="Normal 5 6 5 2 2" xfId="8224" xr:uid="{00000000-0005-0000-0000-0000BB1B0000}"/>
    <cellStyle name="Normal 5 6 5 2 2 2" xfId="24340" xr:uid="{7C9DA381-D789-40A4-9CE2-1DF61784A913}"/>
    <cellStyle name="Normal 5 6 5 2 2 3" xfId="16719" xr:uid="{E900B037-A538-40F0-B446-B45E58F46A1E}"/>
    <cellStyle name="Normal 5 6 5 2 3" xfId="20127" xr:uid="{8B5D53FC-452B-4BC3-9DEC-70274C7BBAF0}"/>
    <cellStyle name="Normal 5 6 5 2 4" xfId="12506" xr:uid="{EF6809FD-BC98-4096-A295-7AFAE9A9B078}"/>
    <cellStyle name="Normal 5 6 5 3" xfId="6079" xr:uid="{00000000-0005-0000-0000-0000BC1B0000}"/>
    <cellStyle name="Normal 5 6 5 3 2" xfId="22195" xr:uid="{A9F2BF17-08C3-4C11-9B04-7A8F9C136552}"/>
    <cellStyle name="Normal 5 6 5 3 3" xfId="14574" xr:uid="{DA45067C-1A35-41D0-B4E3-8F5D0278747D}"/>
    <cellStyle name="Normal 5 6 5 4" xfId="17982" xr:uid="{D86AF712-1D4F-4A33-8BAC-2AD50949576F}"/>
    <cellStyle name="Normal 5 6 5 5" xfId="10361" xr:uid="{140BA504-9E39-4D0B-A529-6B00140AEC03}"/>
    <cellStyle name="Normal 5 6 6" xfId="2186" xr:uid="{00000000-0005-0000-0000-0000BD1B0000}"/>
    <cellStyle name="Normal 5 6 6 2" xfId="4415" xr:uid="{00000000-0005-0000-0000-0000BE1B0000}"/>
    <cellStyle name="Normal 5 6 6 2 2" xfId="8637" xr:uid="{00000000-0005-0000-0000-0000BF1B0000}"/>
    <cellStyle name="Normal 5 6 6 2 2 2" xfId="24753" xr:uid="{60AD46D4-0F6A-4466-8C06-6A269AEC3BE1}"/>
    <cellStyle name="Normal 5 6 6 2 2 3" xfId="17132" xr:uid="{906655E5-8C4D-4626-BD44-35C0D87B5308}"/>
    <cellStyle name="Normal 5 6 6 2 3" xfId="20540" xr:uid="{3A2D7CC6-F5C4-433D-9EBA-0FDCCBA16830}"/>
    <cellStyle name="Normal 5 6 6 2 4" xfId="12919" xr:uid="{28C78F27-A12E-47CF-BB54-44270006B0B3}"/>
    <cellStyle name="Normal 5 6 6 3" xfId="6492" xr:uid="{00000000-0005-0000-0000-0000C01B0000}"/>
    <cellStyle name="Normal 5 6 6 3 2" xfId="22608" xr:uid="{53632563-C20E-4E71-A52F-9DFAFCD9E1F1}"/>
    <cellStyle name="Normal 5 6 6 3 3" xfId="14987" xr:uid="{5925CC9E-8CC1-4F23-A7D7-CCF7B50B10B4}"/>
    <cellStyle name="Normal 5 6 6 4" xfId="18395" xr:uid="{2B1281BD-BE87-4F45-BE70-B6EAA6E612D7}"/>
    <cellStyle name="Normal 5 6 6 5" xfId="10774" xr:uid="{CEAE3F3C-AC0C-4BF3-80A1-A34A30710831}"/>
    <cellStyle name="Normal 5 6 7" xfId="2622" xr:uid="{00000000-0005-0000-0000-0000C11B0000}"/>
    <cellStyle name="Normal 5 6 7 2" xfId="6905" xr:uid="{00000000-0005-0000-0000-0000C21B0000}"/>
    <cellStyle name="Normal 5 6 7 2 2" xfId="23021" xr:uid="{4D9D64A5-7FD1-46F1-BA53-0D88766C37F9}"/>
    <cellStyle name="Normal 5 6 7 2 3" xfId="15400" xr:uid="{58B24DEA-48F3-4C35-901A-916A00C78E75}"/>
    <cellStyle name="Normal 5 6 7 3" xfId="18808" xr:uid="{5045936E-D07E-428F-8175-DC43BA70D22B}"/>
    <cellStyle name="Normal 5 6 7 4" xfId="11187" xr:uid="{E14A8135-6F54-400B-A4E0-544E9EB09921}"/>
    <cellStyle name="Normal 5 6 8" xfId="4840" xr:uid="{00000000-0005-0000-0000-0000C31B0000}"/>
    <cellStyle name="Normal 5 6 8 2" xfId="20956" xr:uid="{A12F9969-1686-4B89-B699-9A358C645CAF}"/>
    <cellStyle name="Normal 5 6 8 3" xfId="13335" xr:uid="{B7CB1DD9-FDD6-4F65-A2B0-BE8D65E5A094}"/>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23516" xr:uid="{06C1DFF5-8F35-4157-BA9B-051225D1BA9E}"/>
    <cellStyle name="Normal 5 7 2 2 2 3" xfId="15895" xr:uid="{0DEC96E5-1517-4569-A341-B9734C9F0196}"/>
    <cellStyle name="Normal 5 7 2 2 3" xfId="19303" xr:uid="{BBC71808-08A0-4252-901D-6A4F0F74A0A7}"/>
    <cellStyle name="Normal 5 7 2 2 4" xfId="11682" xr:uid="{5D8A9E42-BE5C-494A-A484-31FAEF7A6D51}"/>
    <cellStyle name="Normal 5 7 2 3" xfId="5255" xr:uid="{00000000-0005-0000-0000-0000C81B0000}"/>
    <cellStyle name="Normal 5 7 2 3 2" xfId="21371" xr:uid="{C7BC8339-6046-42CA-BBEC-642C1C9ABD64}"/>
    <cellStyle name="Normal 5 7 2 3 3" xfId="13750" xr:uid="{0D2582B2-F1D1-44EE-8C5A-977AE6CB575F}"/>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2 2 2" xfId="23929" xr:uid="{291BA4FF-B36D-484B-928C-FE204C039E11}"/>
    <cellStyle name="Normal 5 7 3 2 2 3" xfId="16308" xr:uid="{56B1F9EF-04CA-439F-AFC0-48A7B0113A1A}"/>
    <cellStyle name="Normal 5 7 3 2 3" xfId="19716" xr:uid="{61B4F85F-1ED7-40C4-9C92-B6012E125E0E}"/>
    <cellStyle name="Normal 5 7 3 2 4" xfId="12095" xr:uid="{786C9874-C28D-4CD5-888D-B74C9DD7246C}"/>
    <cellStyle name="Normal 5 7 3 3" xfId="5668" xr:uid="{00000000-0005-0000-0000-0000CC1B0000}"/>
    <cellStyle name="Normal 5 7 3 3 2" xfId="21784" xr:uid="{C6DB5444-2AF1-44BA-AF34-D5114010BC90}"/>
    <cellStyle name="Normal 5 7 3 3 3" xfId="14163" xr:uid="{F4A43331-6C8F-4E60-9AF3-C5EFAE162BFF}"/>
    <cellStyle name="Normal 5 7 3 4" xfId="17571" xr:uid="{773084CD-248F-4E2E-B4C2-18DB5F604935}"/>
    <cellStyle name="Normal 5 7 3 5" xfId="9950" xr:uid="{6D185CB5-9587-415F-81E3-DED4CE92D02E}"/>
    <cellStyle name="Normal 5 7 4" xfId="1774" xr:uid="{00000000-0005-0000-0000-0000CD1B0000}"/>
    <cellStyle name="Normal 5 7 4 2" xfId="4004" xr:uid="{00000000-0005-0000-0000-0000CE1B0000}"/>
    <cellStyle name="Normal 5 7 4 2 2" xfId="8226" xr:uid="{00000000-0005-0000-0000-0000CF1B0000}"/>
    <cellStyle name="Normal 5 7 4 2 2 2" xfId="24342" xr:uid="{E37FD325-8645-4D3B-A02E-468C50C2B53E}"/>
    <cellStyle name="Normal 5 7 4 2 2 3" xfId="16721" xr:uid="{2F563854-A1DC-476A-ABB4-486B0FD8FB5B}"/>
    <cellStyle name="Normal 5 7 4 2 3" xfId="20129" xr:uid="{FA29E1EB-534A-4CA8-9212-18F0659BC7C6}"/>
    <cellStyle name="Normal 5 7 4 2 4" xfId="12508" xr:uid="{CC7DFA16-5083-4974-B242-078AAE27157E}"/>
    <cellStyle name="Normal 5 7 4 3" xfId="6081" xr:uid="{00000000-0005-0000-0000-0000D01B0000}"/>
    <cellStyle name="Normal 5 7 4 3 2" xfId="22197" xr:uid="{B3D415C1-306F-4685-AC9C-1A5FDD434742}"/>
    <cellStyle name="Normal 5 7 4 3 3" xfId="14576" xr:uid="{6B5B1B37-8266-4167-A879-1801AC1C6BE0}"/>
    <cellStyle name="Normal 5 7 4 4" xfId="17984" xr:uid="{A0CE7C74-CFF9-437F-8F7A-56044AD5E4AD}"/>
    <cellStyle name="Normal 5 7 4 5" xfId="10363" xr:uid="{0190DF8A-91B9-4872-8748-080E980F759A}"/>
    <cellStyle name="Normal 5 7 5" xfId="2188" xr:uid="{00000000-0005-0000-0000-0000D11B0000}"/>
    <cellStyle name="Normal 5 7 5 2" xfId="4417" xr:uid="{00000000-0005-0000-0000-0000D21B0000}"/>
    <cellStyle name="Normal 5 7 5 2 2" xfId="8639" xr:uid="{00000000-0005-0000-0000-0000D31B0000}"/>
    <cellStyle name="Normal 5 7 5 2 2 2" xfId="24755" xr:uid="{DA2A779C-52A2-4540-8EF5-AB7F105665F2}"/>
    <cellStyle name="Normal 5 7 5 2 2 3" xfId="17134" xr:uid="{A444EA61-4FAF-4203-AA02-9DF827B17E27}"/>
    <cellStyle name="Normal 5 7 5 2 3" xfId="20542" xr:uid="{6FF4B360-F3E0-4A5E-B52B-35D2277E1F97}"/>
    <cellStyle name="Normal 5 7 5 2 4" xfId="12921" xr:uid="{57634313-E06C-4234-9C5C-EA9F32E76DDC}"/>
    <cellStyle name="Normal 5 7 5 3" xfId="6494" xr:uid="{00000000-0005-0000-0000-0000D41B0000}"/>
    <cellStyle name="Normal 5 7 5 3 2" xfId="22610" xr:uid="{ED71D227-8C47-4E4D-9AC7-DEE50E66DD8A}"/>
    <cellStyle name="Normal 5 7 5 3 3" xfId="14989" xr:uid="{D8AC5F2A-C927-43AB-8BF6-E759EC6ACCA2}"/>
    <cellStyle name="Normal 5 7 5 4" xfId="18397" xr:uid="{9D9C5E02-BAD7-4274-A982-89106C6B5FED}"/>
    <cellStyle name="Normal 5 7 5 5" xfId="10776" xr:uid="{065C5EEA-0C3A-43DE-AE54-1057DE11B031}"/>
    <cellStyle name="Normal 5 7 6" xfId="2624" xr:uid="{00000000-0005-0000-0000-0000D51B0000}"/>
    <cellStyle name="Normal 5 7 6 2" xfId="6907" xr:uid="{00000000-0005-0000-0000-0000D61B0000}"/>
    <cellStyle name="Normal 5 7 6 2 2" xfId="23023" xr:uid="{1C4A0FA4-E489-4C47-8ABB-09630F10B6F3}"/>
    <cellStyle name="Normal 5 7 6 2 3" xfId="15402" xr:uid="{DFDA1822-2C28-4510-818C-35D3CECB7C3F}"/>
    <cellStyle name="Normal 5 7 6 3" xfId="18810" xr:uid="{D5657D94-652C-42A0-A600-90FF25C0C37B}"/>
    <cellStyle name="Normal 5 7 6 4" xfId="11189" xr:uid="{B3FDAC2D-B92E-46DD-AD2C-1F06661950B3}"/>
    <cellStyle name="Normal 5 7 7" xfId="4842" xr:uid="{00000000-0005-0000-0000-0000D71B0000}"/>
    <cellStyle name="Normal 5 7 7 2" xfId="20958" xr:uid="{0E9E87A5-CBC7-4E82-8456-882712B8D837}"/>
    <cellStyle name="Normal 5 7 7 3" xfId="13337" xr:uid="{66884C71-B746-4073-866B-88954DF8AB2A}"/>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2 2 2" xfId="23453" xr:uid="{EC3F5880-0DA0-46B7-BC77-F2AA339FA2F4}"/>
    <cellStyle name="Normal 5 8 2 2 3" xfId="15832" xr:uid="{CE938F73-1CE6-4E02-AFBE-880719E63AAB}"/>
    <cellStyle name="Normal 5 8 2 3" xfId="19240" xr:uid="{36FEF24F-0F35-447A-9AA1-389345FD1495}"/>
    <cellStyle name="Normal 5 8 2 4" xfId="11619" xr:uid="{CD63555D-52BA-4763-845D-F344B47D346A}"/>
    <cellStyle name="Normal 5 8 3" xfId="5192" xr:uid="{00000000-0005-0000-0000-0000DB1B0000}"/>
    <cellStyle name="Normal 5 8 3 2" xfId="21308" xr:uid="{8D69BACC-FAE0-4B0C-92F4-8B2D9036D347}"/>
    <cellStyle name="Normal 5 8 3 3" xfId="13687" xr:uid="{87211232-4CB0-4D05-A291-05DECF1068CD}"/>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2 2 2" xfId="23866" xr:uid="{16DDD9AE-A86F-412C-91D6-902EFEB6808D}"/>
    <cellStyle name="Normal 5 9 2 2 3" xfId="16245" xr:uid="{A83969EB-53D5-4025-9DA4-F32AE7F433D1}"/>
    <cellStyle name="Normal 5 9 2 3" xfId="19653" xr:uid="{8E3BFDD3-34BF-40D7-BFF3-09DAC7C6D3C5}"/>
    <cellStyle name="Normal 5 9 2 4" xfId="12032" xr:uid="{010F82C9-9C66-4340-9068-205383AAC4DD}"/>
    <cellStyle name="Normal 5 9 3" xfId="5605" xr:uid="{00000000-0005-0000-0000-0000DF1B0000}"/>
    <cellStyle name="Normal 5 9 3 2" xfId="21721" xr:uid="{4AA89701-D663-4847-A6A5-0A0C4C589A5F}"/>
    <cellStyle name="Normal 5 9 3 3" xfId="14100" xr:uid="{015E7BFF-9FF2-40A0-84FC-C8D3E60C3A1C}"/>
    <cellStyle name="Normal 5 9 4" xfId="17508" xr:uid="{A5B08525-5FE0-4168-A651-B60B373B6344}"/>
    <cellStyle name="Normal 5 9 5" xfId="9887" xr:uid="{54820F83-0AD0-4332-9128-566FBB36AFEE}"/>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24756" xr:uid="{0C33E2D9-827E-469D-8792-5ECD8DF952BE}"/>
    <cellStyle name="Normal 8 10 2 2 3" xfId="17135" xr:uid="{66DF5ECA-827B-4AF1-BB1C-242219BE57F1}"/>
    <cellStyle name="Normal 8 10 2 3" xfId="20543" xr:uid="{CF7A1CBD-DC30-47E2-AC57-F9F5F10A14E4}"/>
    <cellStyle name="Normal 8 10 2 4" xfId="12922" xr:uid="{22014FAA-0C05-47D3-8B8F-8B4E90A5C7D9}"/>
    <cellStyle name="Normal 8 10 3" xfId="6495" xr:uid="{00000000-0005-0000-0000-0000EB1B0000}"/>
    <cellStyle name="Normal 8 10 3 2" xfId="22611" xr:uid="{3D0A9A28-0CCA-43A3-A16B-30AE599E6892}"/>
    <cellStyle name="Normal 8 10 3 3" xfId="14990" xr:uid="{26866C91-3679-4723-88DD-4F14E0CE497A}"/>
    <cellStyle name="Normal 8 10 4" xfId="18398" xr:uid="{84580AB1-9554-48AB-8C4E-287906A5DB9D}"/>
    <cellStyle name="Normal 8 10 5" xfId="10777" xr:uid="{CB8085C3-C91F-4E9B-BDD4-F442BD2C860E}"/>
    <cellStyle name="Normal 8 11" xfId="2625" xr:uid="{00000000-0005-0000-0000-0000EC1B0000}"/>
    <cellStyle name="Normal 8 11 2" xfId="6908" xr:uid="{00000000-0005-0000-0000-0000ED1B0000}"/>
    <cellStyle name="Normal 8 11 2 2" xfId="23024" xr:uid="{1348EE90-D168-4E47-87E2-445C117B8766}"/>
    <cellStyle name="Normal 8 11 2 3" xfId="15403" xr:uid="{59C14FFC-89F6-4490-944E-959A65617161}"/>
    <cellStyle name="Normal 8 11 3" xfId="18811" xr:uid="{6658D485-9285-47D1-8284-381DB449A1BD}"/>
    <cellStyle name="Normal 8 11 4" xfId="11190" xr:uid="{CBF02ED0-27BF-49D4-8BE7-F3CA6896BA12}"/>
    <cellStyle name="Normal 8 12" xfId="4843" xr:uid="{00000000-0005-0000-0000-0000EE1B0000}"/>
    <cellStyle name="Normal 8 12 2" xfId="20959" xr:uid="{67D08BB3-79AF-4299-932F-8B2486EAB02A}"/>
    <cellStyle name="Normal 8 12 3" xfId="13338" xr:uid="{20421CBD-0B94-409E-A5BA-2AE87D937DA9}"/>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0 2 2" xfId="23025" xr:uid="{E0C3379E-4F3E-4C83-BCBA-417418B0745B}"/>
    <cellStyle name="Normal 8 2 10 2 3" xfId="15404" xr:uid="{E7A09C71-B005-4467-9356-8B529C3B8D47}"/>
    <cellStyle name="Normal 8 2 10 3" xfId="18812" xr:uid="{8D01DADF-7602-42B5-8D55-830797CFDAFD}"/>
    <cellStyle name="Normal 8 2 10 4" xfId="11191" xr:uid="{7D73AA4C-39F7-4B8E-86C4-A199FA03C300}"/>
    <cellStyle name="Normal 8 2 11" xfId="4844" xr:uid="{00000000-0005-0000-0000-0000F21B0000}"/>
    <cellStyle name="Normal 8 2 11 2" xfId="20960" xr:uid="{722B0D4A-20CA-4B27-963F-A43918249C23}"/>
    <cellStyle name="Normal 8 2 11 3" xfId="13339" xr:uid="{073207E5-FB7A-49C7-867F-91B0E9FED9A5}"/>
    <cellStyle name="Normal 8 2 12" xfId="8751" xr:uid="{476D0553-3387-4D9F-B05B-56EC7A36F7A1}"/>
    <cellStyle name="Normal 8 2 2" xfId="480" xr:uid="{00000000-0005-0000-0000-0000F31B0000}"/>
    <cellStyle name="Normal 8 2 2 10" xfId="4845" xr:uid="{00000000-0005-0000-0000-0000F41B0000}"/>
    <cellStyle name="Normal 8 2 2 10 2" xfId="20961" xr:uid="{6C70652A-4A78-4500-A1A7-D95E69432C6D}"/>
    <cellStyle name="Normal 8 2 2 10 3" xfId="13340" xr:uid="{FEC91C95-246C-4FE5-B412-6989E80E8BFE}"/>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23522" xr:uid="{E3CAE6FF-2D7D-4407-A75F-17BE8B5C3630}"/>
    <cellStyle name="Normal 8 2 2 2 2 2 2 2 2 3" xfId="15901" xr:uid="{635C5BB9-B42E-4034-8A56-FBD9EF163E83}"/>
    <cellStyle name="Normal 8 2 2 2 2 2 2 2 3" xfId="19309" xr:uid="{2A238611-EAC0-4BB3-B030-89FE148C7F47}"/>
    <cellStyle name="Normal 8 2 2 2 2 2 2 2 4" xfId="11688" xr:uid="{1CB08558-A752-4308-BF0F-DD2D780CD526}"/>
    <cellStyle name="Normal 8 2 2 2 2 2 2 3" xfId="5261" xr:uid="{00000000-0005-0000-0000-0000FB1B0000}"/>
    <cellStyle name="Normal 8 2 2 2 2 2 2 3 2" xfId="21377" xr:uid="{F57F58D4-093E-4C68-814E-A67C86AAF850}"/>
    <cellStyle name="Normal 8 2 2 2 2 2 2 3 3" xfId="13756" xr:uid="{8846083D-7236-40EC-9138-C9CDBA9DF702}"/>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23935" xr:uid="{9DC5A2F5-29B3-4368-B1FC-E193978994BB}"/>
    <cellStyle name="Normal 8 2 2 2 2 2 3 2 2 3" xfId="16314" xr:uid="{8127E609-12D8-4211-9BA4-3580D25286E3}"/>
    <cellStyle name="Normal 8 2 2 2 2 2 3 2 3" xfId="19722" xr:uid="{40806342-D22D-4BE2-891B-388AA8BA6A1F}"/>
    <cellStyle name="Normal 8 2 2 2 2 2 3 2 4" xfId="12101" xr:uid="{8A565E17-D03C-4E4E-9C20-3133AD31E5FF}"/>
    <cellStyle name="Normal 8 2 2 2 2 2 3 3" xfId="5674" xr:uid="{00000000-0005-0000-0000-0000FF1B0000}"/>
    <cellStyle name="Normal 8 2 2 2 2 2 3 3 2" xfId="21790" xr:uid="{BC61191B-79C1-4D9E-A041-83698852C8A5}"/>
    <cellStyle name="Normal 8 2 2 2 2 2 3 3 3" xfId="14169" xr:uid="{EB3F881C-D96A-4109-832E-914F723C9E4D}"/>
    <cellStyle name="Normal 8 2 2 2 2 2 3 4" xfId="17577" xr:uid="{4589A611-42C1-4CE8-9C19-9A1A3F517735}"/>
    <cellStyle name="Normal 8 2 2 2 2 2 3 5" xfId="9956" xr:uid="{E20E080D-AA38-4A6F-B55B-245C42B989F3}"/>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24348" xr:uid="{6712FF14-3A1A-48ED-A6BB-CF4C80F70E78}"/>
    <cellStyle name="Normal 8 2 2 2 2 2 4 2 2 3" xfId="16727" xr:uid="{638FF019-A36D-4AF3-A889-BBA6084D7531}"/>
    <cellStyle name="Normal 8 2 2 2 2 2 4 2 3" xfId="20135" xr:uid="{689977E1-3D4C-496C-8A5C-43074DF1BFC0}"/>
    <cellStyle name="Normal 8 2 2 2 2 2 4 2 4" xfId="12514" xr:uid="{8B51629C-C0F3-4FBE-8299-3104E81D55B1}"/>
    <cellStyle name="Normal 8 2 2 2 2 2 4 3" xfId="6087" xr:uid="{00000000-0005-0000-0000-0000031C0000}"/>
    <cellStyle name="Normal 8 2 2 2 2 2 4 3 2" xfId="22203" xr:uid="{716C336A-422A-496A-9CD3-8374F97481F3}"/>
    <cellStyle name="Normal 8 2 2 2 2 2 4 3 3" xfId="14582" xr:uid="{BEFC9315-A724-4E2D-9135-0514FE224650}"/>
    <cellStyle name="Normal 8 2 2 2 2 2 4 4" xfId="17990" xr:uid="{01DF6B94-D20C-4A5B-AC22-7FA27C7B735E}"/>
    <cellStyle name="Normal 8 2 2 2 2 2 4 5" xfId="10369" xr:uid="{3D265741-F0EC-42AC-8618-45C674F78064}"/>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24761" xr:uid="{7CFAD535-B42A-4241-A58C-A3812C5319E6}"/>
    <cellStyle name="Normal 8 2 2 2 2 2 5 2 2 3" xfId="17140" xr:uid="{1D657830-47A1-41A7-AA1A-826FF93E7F37}"/>
    <cellStyle name="Normal 8 2 2 2 2 2 5 2 3" xfId="20548" xr:uid="{47093105-E0A2-4392-A47C-725442E53721}"/>
    <cellStyle name="Normal 8 2 2 2 2 2 5 2 4" xfId="12927" xr:uid="{741CED49-7A07-4142-B2EA-C7FB2C50C886}"/>
    <cellStyle name="Normal 8 2 2 2 2 2 5 3" xfId="6500" xr:uid="{00000000-0005-0000-0000-0000071C0000}"/>
    <cellStyle name="Normal 8 2 2 2 2 2 5 3 2" xfId="22616" xr:uid="{D997570C-945C-4525-970F-CC886E74700F}"/>
    <cellStyle name="Normal 8 2 2 2 2 2 5 3 3" xfId="14995" xr:uid="{164DB54A-4CEB-4FE0-80D4-458E53E5B79F}"/>
    <cellStyle name="Normal 8 2 2 2 2 2 5 4" xfId="18403" xr:uid="{81B555AE-0E97-49B0-80BA-8D8DCFEB6CD0}"/>
    <cellStyle name="Normal 8 2 2 2 2 2 5 5" xfId="10782" xr:uid="{9181A014-8965-4D41-8F1A-2955CDDB4E77}"/>
    <cellStyle name="Normal 8 2 2 2 2 2 6" xfId="2630" xr:uid="{00000000-0005-0000-0000-0000081C0000}"/>
    <cellStyle name="Normal 8 2 2 2 2 2 6 2" xfId="6913" xr:uid="{00000000-0005-0000-0000-0000091C0000}"/>
    <cellStyle name="Normal 8 2 2 2 2 2 6 2 2" xfId="23029" xr:uid="{23FA4B33-4B7E-4514-BA36-FA525B02F5B0}"/>
    <cellStyle name="Normal 8 2 2 2 2 2 6 2 3" xfId="15408" xr:uid="{548CF2FB-CBFC-4D06-A652-83BFF7D5C1F7}"/>
    <cellStyle name="Normal 8 2 2 2 2 2 6 3" xfId="18816" xr:uid="{2B477FE3-F654-43F9-AE0F-6F00A19E58C3}"/>
    <cellStyle name="Normal 8 2 2 2 2 2 6 4" xfId="11195" xr:uid="{49B37C36-C412-41D6-86D6-5551175B4E8D}"/>
    <cellStyle name="Normal 8 2 2 2 2 2 7" xfId="4848" xr:uid="{00000000-0005-0000-0000-00000A1C0000}"/>
    <cellStyle name="Normal 8 2 2 2 2 2 7 2" xfId="20964" xr:uid="{955AB4E0-497C-46CF-85F3-22E85FC229CC}"/>
    <cellStyle name="Normal 8 2 2 2 2 2 7 3" xfId="13343" xr:uid="{09F943A6-4E01-4331-A7BB-98CD7EE30E09}"/>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23521" xr:uid="{726C35AD-45E2-4DC4-806F-BF7EA7187549}"/>
    <cellStyle name="Normal 8 2 2 2 2 3 2 2 3" xfId="15900" xr:uid="{9738DF45-95E2-40A9-909A-61780F3E9B0B}"/>
    <cellStyle name="Normal 8 2 2 2 2 3 2 3" xfId="19308" xr:uid="{F861E66B-5AC9-405C-8B6B-3B0F60FBE8C8}"/>
    <cellStyle name="Normal 8 2 2 2 2 3 2 4" xfId="11687" xr:uid="{9AA88025-B18C-4034-8141-30990D2AD596}"/>
    <cellStyle name="Normal 8 2 2 2 2 3 3" xfId="5260" xr:uid="{00000000-0005-0000-0000-00000E1C0000}"/>
    <cellStyle name="Normal 8 2 2 2 2 3 3 2" xfId="21376" xr:uid="{C5A8D168-0A6F-4B5C-9687-2F1CCF9E74D3}"/>
    <cellStyle name="Normal 8 2 2 2 2 3 3 3" xfId="13755" xr:uid="{F07E0DCA-1756-4640-8B54-291A15D9A03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23934" xr:uid="{58F864F7-9BB8-4C14-A2C4-DA556C79F789}"/>
    <cellStyle name="Normal 8 2 2 2 2 4 2 2 3" xfId="16313" xr:uid="{7629B7B0-5139-419B-B866-C15BEA1DB6B8}"/>
    <cellStyle name="Normal 8 2 2 2 2 4 2 3" xfId="19721" xr:uid="{4E056304-D67C-44D2-BF77-B30BBD488E32}"/>
    <cellStyle name="Normal 8 2 2 2 2 4 2 4" xfId="12100" xr:uid="{73ECF1E7-987E-4181-9416-2E556BFFE8C5}"/>
    <cellStyle name="Normal 8 2 2 2 2 4 3" xfId="5673" xr:uid="{00000000-0005-0000-0000-0000121C0000}"/>
    <cellStyle name="Normal 8 2 2 2 2 4 3 2" xfId="21789" xr:uid="{1A246EF9-83A5-4FCF-8A20-AF0FB60287C4}"/>
    <cellStyle name="Normal 8 2 2 2 2 4 3 3" xfId="14168" xr:uid="{368D3F6E-F88C-4840-B187-C8F5084FD263}"/>
    <cellStyle name="Normal 8 2 2 2 2 4 4" xfId="17576" xr:uid="{1CD5C381-7A5E-4717-9BFE-9FC80603772C}"/>
    <cellStyle name="Normal 8 2 2 2 2 4 5" xfId="9955" xr:uid="{ED9ABDC9-7367-4A2F-B59C-0E72F34C7CC4}"/>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24347" xr:uid="{67F58D81-AFD4-4A3B-A040-ED42A5B96CB4}"/>
    <cellStyle name="Normal 8 2 2 2 2 5 2 2 3" xfId="16726" xr:uid="{531A9C23-2C51-4FCD-AF4A-99B0014A4B1B}"/>
    <cellStyle name="Normal 8 2 2 2 2 5 2 3" xfId="20134" xr:uid="{2D197980-6658-495E-B4E0-241889E76FC5}"/>
    <cellStyle name="Normal 8 2 2 2 2 5 2 4" xfId="12513" xr:uid="{3F416C23-E78E-4049-881B-76D9F4EDDB2C}"/>
    <cellStyle name="Normal 8 2 2 2 2 5 3" xfId="6086" xr:uid="{00000000-0005-0000-0000-0000161C0000}"/>
    <cellStyle name="Normal 8 2 2 2 2 5 3 2" xfId="22202" xr:uid="{9CEC3A7C-FD56-4B2D-BDAA-6B44F6365D62}"/>
    <cellStyle name="Normal 8 2 2 2 2 5 3 3" xfId="14581" xr:uid="{1B623CC7-3CA8-4BF9-B754-A37A18CB4BE2}"/>
    <cellStyle name="Normal 8 2 2 2 2 5 4" xfId="17989" xr:uid="{23253EB7-711E-4756-9CA1-279FFED4DDD8}"/>
    <cellStyle name="Normal 8 2 2 2 2 5 5" xfId="10368" xr:uid="{72EC17E2-242F-464A-9DCD-6B8A8E809033}"/>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24760" xr:uid="{DF425059-3FCC-4F5A-8CD4-A408F389F9BE}"/>
    <cellStyle name="Normal 8 2 2 2 2 6 2 2 3" xfId="17139" xr:uid="{3390858F-3DA9-4858-885E-118CE6583FFD}"/>
    <cellStyle name="Normal 8 2 2 2 2 6 2 3" xfId="20547" xr:uid="{56C3E130-3110-41A8-9313-3CEA46424D63}"/>
    <cellStyle name="Normal 8 2 2 2 2 6 2 4" xfId="12926" xr:uid="{264F2F96-2779-4DF3-8B33-F12B320286A8}"/>
    <cellStyle name="Normal 8 2 2 2 2 6 3" xfId="6499" xr:uid="{00000000-0005-0000-0000-00001A1C0000}"/>
    <cellStyle name="Normal 8 2 2 2 2 6 3 2" xfId="22615" xr:uid="{3854AA43-F0EB-4C9C-B3E5-17BD12F7936E}"/>
    <cellStyle name="Normal 8 2 2 2 2 6 3 3" xfId="14994" xr:uid="{98655A56-047E-42B1-BD12-EDF0482F61A0}"/>
    <cellStyle name="Normal 8 2 2 2 2 6 4" xfId="18402" xr:uid="{EAD3434F-E72F-4050-A9C3-16560898DF4E}"/>
    <cellStyle name="Normal 8 2 2 2 2 6 5" xfId="10781" xr:uid="{344386D1-0BF9-4432-9E67-363FA74625D8}"/>
    <cellStyle name="Normal 8 2 2 2 2 7" xfId="2629" xr:uid="{00000000-0005-0000-0000-00001B1C0000}"/>
    <cellStyle name="Normal 8 2 2 2 2 7 2" xfId="6912" xr:uid="{00000000-0005-0000-0000-00001C1C0000}"/>
    <cellStyle name="Normal 8 2 2 2 2 7 2 2" xfId="23028" xr:uid="{AB3BBD0B-A268-467B-84C5-EC0F51E445FE}"/>
    <cellStyle name="Normal 8 2 2 2 2 7 2 3" xfId="15407" xr:uid="{406AC109-1017-47B5-A245-76A6D99A2338}"/>
    <cellStyle name="Normal 8 2 2 2 2 7 3" xfId="18815" xr:uid="{A5156785-F582-4417-847A-AA10248FA7FE}"/>
    <cellStyle name="Normal 8 2 2 2 2 7 4" xfId="11194" xr:uid="{69C5B9AB-2C0E-48CE-8A6B-1CC7C81F9C37}"/>
    <cellStyle name="Normal 8 2 2 2 2 8" xfId="4847" xr:uid="{00000000-0005-0000-0000-00001D1C0000}"/>
    <cellStyle name="Normal 8 2 2 2 2 8 2" xfId="20963" xr:uid="{1303D6B5-1372-48F9-9D15-DE1ED9A1E503}"/>
    <cellStyle name="Normal 8 2 2 2 2 8 3" xfId="13342" xr:uid="{83F69677-92E2-4E26-85B3-CE465E70992C}"/>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23523" xr:uid="{C5EDD05E-48BC-4F86-A9D4-76918ADB384D}"/>
    <cellStyle name="Normal 8 2 2 2 3 2 2 2 3" xfId="15902" xr:uid="{BFF4779A-B447-47E9-8781-041A9CC5AA39}"/>
    <cellStyle name="Normal 8 2 2 2 3 2 2 3" xfId="19310" xr:uid="{222B034F-CF15-4750-8C60-BE0C1E46B2EF}"/>
    <cellStyle name="Normal 8 2 2 2 3 2 2 4" xfId="11689" xr:uid="{1666B92A-A19E-4F50-AB53-B360D8F7AC9F}"/>
    <cellStyle name="Normal 8 2 2 2 3 2 3" xfId="5262" xr:uid="{00000000-0005-0000-0000-0000221C0000}"/>
    <cellStyle name="Normal 8 2 2 2 3 2 3 2" xfId="21378" xr:uid="{6295C102-F20B-4200-8763-AD4EDCD6F5BB}"/>
    <cellStyle name="Normal 8 2 2 2 3 2 3 3" xfId="13757" xr:uid="{544E7D60-EBF5-47D0-9FDA-C4239CBF5173}"/>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23936" xr:uid="{B5B15186-259A-4837-B095-B129445774DB}"/>
    <cellStyle name="Normal 8 2 2 2 3 3 2 2 3" xfId="16315" xr:uid="{C870E74F-8302-4ACC-B542-94AB5DCE292B}"/>
    <cellStyle name="Normal 8 2 2 2 3 3 2 3" xfId="19723" xr:uid="{53B36C65-F5E8-4158-B366-E2D0B82933B4}"/>
    <cellStyle name="Normal 8 2 2 2 3 3 2 4" xfId="12102" xr:uid="{A106C1BF-48C7-4602-B176-0D1FB20D50A8}"/>
    <cellStyle name="Normal 8 2 2 2 3 3 3" xfId="5675" xr:uid="{00000000-0005-0000-0000-0000261C0000}"/>
    <cellStyle name="Normal 8 2 2 2 3 3 3 2" xfId="21791" xr:uid="{7450126D-1DB5-4D87-AF85-6AF44B65DC8E}"/>
    <cellStyle name="Normal 8 2 2 2 3 3 3 3" xfId="14170" xr:uid="{B5CE4DD3-5EA3-4927-ADBE-1C9F974790CC}"/>
    <cellStyle name="Normal 8 2 2 2 3 3 4" xfId="17578" xr:uid="{F4A53925-32BF-47A1-80D5-DE6EE9396ED5}"/>
    <cellStyle name="Normal 8 2 2 2 3 3 5" xfId="9957" xr:uid="{524EBFC4-F4A6-43DB-8F0A-0B265A32ED32}"/>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24349" xr:uid="{E9F0D7BE-AB1E-4C19-8955-3D6CAA9274DA}"/>
    <cellStyle name="Normal 8 2 2 2 3 4 2 2 3" xfId="16728" xr:uid="{5C94FCEE-8C6A-491C-AC00-89AB5D6DBD15}"/>
    <cellStyle name="Normal 8 2 2 2 3 4 2 3" xfId="20136" xr:uid="{4CD0C3E6-7DD1-4571-8BE8-231A3BDA19C9}"/>
    <cellStyle name="Normal 8 2 2 2 3 4 2 4" xfId="12515" xr:uid="{050CA750-B524-43C9-8E35-5C3AE7F512EA}"/>
    <cellStyle name="Normal 8 2 2 2 3 4 3" xfId="6088" xr:uid="{00000000-0005-0000-0000-00002A1C0000}"/>
    <cellStyle name="Normal 8 2 2 2 3 4 3 2" xfId="22204" xr:uid="{2FFD769A-C34A-4FF1-AAF9-79C83FC4D72C}"/>
    <cellStyle name="Normal 8 2 2 2 3 4 3 3" xfId="14583" xr:uid="{3F12E542-3221-479C-A76F-05F2D2EFB4E2}"/>
    <cellStyle name="Normal 8 2 2 2 3 4 4" xfId="17991" xr:uid="{97B535FE-2078-4EB5-AE9D-88A66FAAE93E}"/>
    <cellStyle name="Normal 8 2 2 2 3 4 5" xfId="10370" xr:uid="{D6AA4F2C-4505-4B61-9D97-0DA720162AFE}"/>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24762" xr:uid="{E883AE96-E488-420E-ABA3-68E0C2A04148}"/>
    <cellStyle name="Normal 8 2 2 2 3 5 2 2 3" xfId="17141" xr:uid="{4D68191A-AD90-479C-9757-029E41914124}"/>
    <cellStyle name="Normal 8 2 2 2 3 5 2 3" xfId="20549" xr:uid="{22AC3CC1-8C5D-4D97-8D16-EBE80A72D46C}"/>
    <cellStyle name="Normal 8 2 2 2 3 5 2 4" xfId="12928" xr:uid="{53C9E467-55CC-4166-A4BA-1302B01CD641}"/>
    <cellStyle name="Normal 8 2 2 2 3 5 3" xfId="6501" xr:uid="{00000000-0005-0000-0000-00002E1C0000}"/>
    <cellStyle name="Normal 8 2 2 2 3 5 3 2" xfId="22617" xr:uid="{C75F6C7B-04A9-4113-9039-4823E86057A8}"/>
    <cellStyle name="Normal 8 2 2 2 3 5 3 3" xfId="14996" xr:uid="{483CBC0C-2E25-4EAA-A349-E312C66878E6}"/>
    <cellStyle name="Normal 8 2 2 2 3 5 4" xfId="18404" xr:uid="{8261A8AE-61A6-4D8C-B44D-5F03DBA42820}"/>
    <cellStyle name="Normal 8 2 2 2 3 5 5" xfId="10783" xr:uid="{8C04E9BC-2A87-457F-893B-0A6A142AA034}"/>
    <cellStyle name="Normal 8 2 2 2 3 6" xfId="2631" xr:uid="{00000000-0005-0000-0000-00002F1C0000}"/>
    <cellStyle name="Normal 8 2 2 2 3 6 2" xfId="6914" xr:uid="{00000000-0005-0000-0000-0000301C0000}"/>
    <cellStyle name="Normal 8 2 2 2 3 6 2 2" xfId="23030" xr:uid="{77051C14-2D43-452E-8D5A-8C30CAEC27E6}"/>
    <cellStyle name="Normal 8 2 2 2 3 6 2 3" xfId="15409" xr:uid="{6C1BBBA7-6F47-4736-91A3-11FEF4A1DE74}"/>
    <cellStyle name="Normal 8 2 2 2 3 6 3" xfId="18817" xr:uid="{AB5A1CC3-9265-4D8D-934D-1C286A1111C2}"/>
    <cellStyle name="Normal 8 2 2 2 3 6 4" xfId="11196" xr:uid="{98A70A45-0430-46FF-9C47-C108C160180A}"/>
    <cellStyle name="Normal 8 2 2 2 3 7" xfId="4849" xr:uid="{00000000-0005-0000-0000-0000311C0000}"/>
    <cellStyle name="Normal 8 2 2 2 3 7 2" xfId="20965" xr:uid="{3FB03A95-A0A4-4CDE-A998-05DFAA04850E}"/>
    <cellStyle name="Normal 8 2 2 2 3 7 3" xfId="13344" xr:uid="{21618DC4-D64E-4CA7-86AB-2F52E47F7BF5}"/>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23520" xr:uid="{7443B09A-5CAA-467E-8A39-B39617D01AAF}"/>
    <cellStyle name="Normal 8 2 2 2 4 2 2 3" xfId="15899" xr:uid="{437210D0-C701-42F8-8727-D62648E60CF2}"/>
    <cellStyle name="Normal 8 2 2 2 4 2 3" xfId="19307" xr:uid="{99A890FD-5F30-4883-BF43-4A19D71E84FB}"/>
    <cellStyle name="Normal 8 2 2 2 4 2 4" xfId="11686" xr:uid="{702B3AD8-0F40-485F-B9AF-FE57F1A03041}"/>
    <cellStyle name="Normal 8 2 2 2 4 3" xfId="5259" xr:uid="{00000000-0005-0000-0000-0000351C0000}"/>
    <cellStyle name="Normal 8 2 2 2 4 3 2" xfId="21375" xr:uid="{AB34C3AC-0A00-405B-A632-88539F6D81C5}"/>
    <cellStyle name="Normal 8 2 2 2 4 3 3" xfId="13754" xr:uid="{627488C7-D0D6-4228-ADA2-FAF6DDCDF921}"/>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23933" xr:uid="{8F834DD6-6383-47F4-BC24-7CC1121F2B0D}"/>
    <cellStyle name="Normal 8 2 2 2 5 2 2 3" xfId="16312" xr:uid="{FB0B7B84-F656-4815-95A7-07B64DB16972}"/>
    <cellStyle name="Normal 8 2 2 2 5 2 3" xfId="19720" xr:uid="{8A25706D-5053-4622-9349-4D460E8F129F}"/>
    <cellStyle name="Normal 8 2 2 2 5 2 4" xfId="12099" xr:uid="{3FFDE180-1A59-48C2-A148-FFBAEF885FE1}"/>
    <cellStyle name="Normal 8 2 2 2 5 3" xfId="5672" xr:uid="{00000000-0005-0000-0000-0000391C0000}"/>
    <cellStyle name="Normal 8 2 2 2 5 3 2" xfId="21788" xr:uid="{DCF35169-0668-4ED9-ABCB-92F69548E387}"/>
    <cellStyle name="Normal 8 2 2 2 5 3 3" xfId="14167" xr:uid="{DA7BCE2E-D65F-420E-8D81-50F7898AB196}"/>
    <cellStyle name="Normal 8 2 2 2 5 4" xfId="17575" xr:uid="{022624A4-C87A-4A2E-9B7B-BAD78298679A}"/>
    <cellStyle name="Normal 8 2 2 2 5 5" xfId="9954" xr:uid="{2B08DEF4-A3FF-49A4-80FB-DE267C2722E5}"/>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24346" xr:uid="{759732F2-9D1A-420D-89A1-9B01E908BF7E}"/>
    <cellStyle name="Normal 8 2 2 2 6 2 2 3" xfId="16725" xr:uid="{1D7C64F2-5E02-4408-A030-BEA8D004B54B}"/>
    <cellStyle name="Normal 8 2 2 2 6 2 3" xfId="20133" xr:uid="{23DDAA1A-CCD0-4B18-BE1B-BAAD8B9041EB}"/>
    <cellStyle name="Normal 8 2 2 2 6 2 4" xfId="12512" xr:uid="{57E250DF-627B-4C15-9A95-F42EB029FD8D}"/>
    <cellStyle name="Normal 8 2 2 2 6 3" xfId="6085" xr:uid="{00000000-0005-0000-0000-00003D1C0000}"/>
    <cellStyle name="Normal 8 2 2 2 6 3 2" xfId="22201" xr:uid="{BD8879F4-3C1C-4690-A298-308D77A0E81B}"/>
    <cellStyle name="Normal 8 2 2 2 6 3 3" xfId="14580" xr:uid="{89BC26BD-8018-4BD2-B847-4AD36AD2D456}"/>
    <cellStyle name="Normal 8 2 2 2 6 4" xfId="17988" xr:uid="{5231C376-BCFE-4C4F-9A43-20F0F0568EDB}"/>
    <cellStyle name="Normal 8 2 2 2 6 5" xfId="10367" xr:uid="{D3EBA197-CAD7-4485-89F7-F4F5905DC399}"/>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24759" xr:uid="{EA45CAA2-C0D7-46F6-BCA7-ED4C1BF01B12}"/>
    <cellStyle name="Normal 8 2 2 2 7 2 2 3" xfId="17138" xr:uid="{DA99079D-7339-4884-A949-92E7E4333D16}"/>
    <cellStyle name="Normal 8 2 2 2 7 2 3" xfId="20546" xr:uid="{1A2C6E9A-1D90-4664-96DA-EA060A1AB41F}"/>
    <cellStyle name="Normal 8 2 2 2 7 2 4" xfId="12925" xr:uid="{2471EE28-FAB3-4E0E-85CD-CE9AD8202E07}"/>
    <cellStyle name="Normal 8 2 2 2 7 3" xfId="6498" xr:uid="{00000000-0005-0000-0000-0000411C0000}"/>
    <cellStyle name="Normal 8 2 2 2 7 3 2" xfId="22614" xr:uid="{73446B36-BAFB-4D8B-B28F-F9A1EFA84DF3}"/>
    <cellStyle name="Normal 8 2 2 2 7 3 3" xfId="14993" xr:uid="{D84E1065-1035-4D4F-8AF0-4CE635DAD7C7}"/>
    <cellStyle name="Normal 8 2 2 2 7 4" xfId="18401" xr:uid="{646936D1-2B97-410B-BBB9-B913E004CE5D}"/>
    <cellStyle name="Normal 8 2 2 2 7 5" xfId="10780" xr:uid="{94266BC3-E4B9-4201-8394-24AA56504D20}"/>
    <cellStyle name="Normal 8 2 2 2 8" xfId="2628" xr:uid="{00000000-0005-0000-0000-0000421C0000}"/>
    <cellStyle name="Normal 8 2 2 2 8 2" xfId="6911" xr:uid="{00000000-0005-0000-0000-0000431C0000}"/>
    <cellStyle name="Normal 8 2 2 2 8 2 2" xfId="23027" xr:uid="{8F4F4CD4-B082-4132-8F20-46E57833C977}"/>
    <cellStyle name="Normal 8 2 2 2 8 2 3" xfId="15406" xr:uid="{47CD1605-5DD0-4E44-84C7-D6A31C9F1133}"/>
    <cellStyle name="Normal 8 2 2 2 8 3" xfId="18814" xr:uid="{FF3348B1-81DE-4568-A0BB-C1EE98E2ACF1}"/>
    <cellStyle name="Normal 8 2 2 2 8 4" xfId="11193" xr:uid="{1ECAA933-5201-4E76-B4AC-1AA3704AC79E}"/>
    <cellStyle name="Normal 8 2 2 2 9" xfId="4846" xr:uid="{00000000-0005-0000-0000-0000441C0000}"/>
    <cellStyle name="Normal 8 2 2 2 9 2" xfId="20962" xr:uid="{4F61F62E-38A0-41D3-B78E-5C461BD964A6}"/>
    <cellStyle name="Normal 8 2 2 2 9 3" xfId="13341" xr:uid="{A96C4B9E-18BA-4EA9-BC58-F859D95B1589}"/>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23525" xr:uid="{5052125A-A7C5-43B0-A4F3-474B42A87886}"/>
    <cellStyle name="Normal 8 2 2 3 2 2 2 2 3" xfId="15904" xr:uid="{F5D3CE0F-0E94-4E5D-9830-2055C67DC6BC}"/>
    <cellStyle name="Normal 8 2 2 3 2 2 2 3" xfId="19312" xr:uid="{5F90422B-501C-4B48-8165-059406B3F57C}"/>
    <cellStyle name="Normal 8 2 2 3 2 2 2 4" xfId="11691" xr:uid="{DE3D9149-6F49-483A-BF98-DE9AEEDC2496}"/>
    <cellStyle name="Normal 8 2 2 3 2 2 3" xfId="5264" xr:uid="{00000000-0005-0000-0000-00004A1C0000}"/>
    <cellStyle name="Normal 8 2 2 3 2 2 3 2" xfId="21380" xr:uid="{157A1D33-DF5B-4542-9561-B55768093826}"/>
    <cellStyle name="Normal 8 2 2 3 2 2 3 3" xfId="13759" xr:uid="{81519BA8-9BB8-4707-B6FC-90AA2048F2C8}"/>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23938" xr:uid="{E6A85D9D-1B84-4DEC-BD38-71DB87C1DEF2}"/>
    <cellStyle name="Normal 8 2 2 3 2 3 2 2 3" xfId="16317" xr:uid="{836E4634-EBE8-4B05-9BA7-8B0946723461}"/>
    <cellStyle name="Normal 8 2 2 3 2 3 2 3" xfId="19725" xr:uid="{A1905263-1491-4646-8451-F65A66F2E6D6}"/>
    <cellStyle name="Normal 8 2 2 3 2 3 2 4" xfId="12104" xr:uid="{281E4935-71E2-4D43-9FFF-CDC95389E048}"/>
    <cellStyle name="Normal 8 2 2 3 2 3 3" xfId="5677" xr:uid="{00000000-0005-0000-0000-00004E1C0000}"/>
    <cellStyle name="Normal 8 2 2 3 2 3 3 2" xfId="21793" xr:uid="{67F59DDF-3596-4F82-B71B-00A3F0C938C4}"/>
    <cellStyle name="Normal 8 2 2 3 2 3 3 3" xfId="14172" xr:uid="{D98C1E85-B85A-49E9-B14A-109FE15C92BA}"/>
    <cellStyle name="Normal 8 2 2 3 2 3 4" xfId="17580" xr:uid="{BED3C413-AE94-4E14-957D-BA9499BBF2DE}"/>
    <cellStyle name="Normal 8 2 2 3 2 3 5" xfId="9959" xr:uid="{C4934FE9-707A-4EC0-8E83-780D22602B7C}"/>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24351" xr:uid="{B1BE1CA2-9563-4838-B8FC-F2B43258551F}"/>
    <cellStyle name="Normal 8 2 2 3 2 4 2 2 3" xfId="16730" xr:uid="{9640FDFE-622D-43A6-BF9C-AC52D02CE549}"/>
    <cellStyle name="Normal 8 2 2 3 2 4 2 3" xfId="20138" xr:uid="{7FA83E24-C4D5-43C5-97CE-6581CB23C4AC}"/>
    <cellStyle name="Normal 8 2 2 3 2 4 2 4" xfId="12517" xr:uid="{259A5506-39CD-42A3-A3A6-C715D3740268}"/>
    <cellStyle name="Normal 8 2 2 3 2 4 3" xfId="6090" xr:uid="{00000000-0005-0000-0000-0000521C0000}"/>
    <cellStyle name="Normal 8 2 2 3 2 4 3 2" xfId="22206" xr:uid="{D7F3D2A5-4AEA-4FE8-B270-95CFF14CDE08}"/>
    <cellStyle name="Normal 8 2 2 3 2 4 3 3" xfId="14585" xr:uid="{A22D69CC-B75D-4540-B4E3-D8BAE444A789}"/>
    <cellStyle name="Normal 8 2 2 3 2 4 4" xfId="17993" xr:uid="{8BB93D21-DBAE-4EC3-B182-CCED981259B5}"/>
    <cellStyle name="Normal 8 2 2 3 2 4 5" xfId="10372" xr:uid="{28C55F8C-9A90-49C2-B0C3-354D406B71DE}"/>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24764" xr:uid="{5BFBA769-B18E-4322-BDCD-500A1F105820}"/>
    <cellStyle name="Normal 8 2 2 3 2 5 2 2 3" xfId="17143" xr:uid="{1FB02D99-C19C-4DA5-BA15-B6C90DF07B95}"/>
    <cellStyle name="Normal 8 2 2 3 2 5 2 3" xfId="20551" xr:uid="{462BA98D-D190-40C5-AE6B-BFF5C1630DFF}"/>
    <cellStyle name="Normal 8 2 2 3 2 5 2 4" xfId="12930" xr:uid="{9A8DE6D3-93B1-4EAC-BCDC-EA88B0C28FB4}"/>
    <cellStyle name="Normal 8 2 2 3 2 5 3" xfId="6503" xr:uid="{00000000-0005-0000-0000-0000561C0000}"/>
    <cellStyle name="Normal 8 2 2 3 2 5 3 2" xfId="22619" xr:uid="{45779B4B-FADF-4E69-B8E5-6F2B4BE37A72}"/>
    <cellStyle name="Normal 8 2 2 3 2 5 3 3" xfId="14998" xr:uid="{822CE92B-0A45-46B0-9415-3B2F392EF431}"/>
    <cellStyle name="Normal 8 2 2 3 2 5 4" xfId="18406" xr:uid="{316B3704-C342-4C1F-AA50-8063F116C4FD}"/>
    <cellStyle name="Normal 8 2 2 3 2 5 5" xfId="10785" xr:uid="{1F7C1041-C031-41B7-8668-6F0CDB883F16}"/>
    <cellStyle name="Normal 8 2 2 3 2 6" xfId="2633" xr:uid="{00000000-0005-0000-0000-0000571C0000}"/>
    <cellStyle name="Normal 8 2 2 3 2 6 2" xfId="6916" xr:uid="{00000000-0005-0000-0000-0000581C0000}"/>
    <cellStyle name="Normal 8 2 2 3 2 6 2 2" xfId="23032" xr:uid="{917DAEBD-6A02-440F-B757-B39450238795}"/>
    <cellStyle name="Normal 8 2 2 3 2 6 2 3" xfId="15411" xr:uid="{F47CCAEA-21DF-4F92-8432-B02E47FAA889}"/>
    <cellStyle name="Normal 8 2 2 3 2 6 3" xfId="18819" xr:uid="{997EE6DB-B352-4002-BE31-FE4FF5BB4CD3}"/>
    <cellStyle name="Normal 8 2 2 3 2 6 4" xfId="11198" xr:uid="{9F4A4263-EF3B-4287-8EBF-CDAE11CA22DE}"/>
    <cellStyle name="Normal 8 2 2 3 2 7" xfId="4851" xr:uid="{00000000-0005-0000-0000-0000591C0000}"/>
    <cellStyle name="Normal 8 2 2 3 2 7 2" xfId="20967" xr:uid="{7283A601-305A-4C3C-A8BF-B223F75F1848}"/>
    <cellStyle name="Normal 8 2 2 3 2 7 3" xfId="13346" xr:uid="{FD566DA8-D602-4225-A57A-D297366F3BE8}"/>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23524" xr:uid="{169A3728-9FAE-4A70-ADBD-3525C1D5BC54}"/>
    <cellStyle name="Normal 8 2 2 3 3 2 2 3" xfId="15903" xr:uid="{118C3A2B-4108-4E50-8237-E3F33F31DD38}"/>
    <cellStyle name="Normal 8 2 2 3 3 2 3" xfId="19311" xr:uid="{577D4479-E789-4D9A-9F41-695BF626790E}"/>
    <cellStyle name="Normal 8 2 2 3 3 2 4" xfId="11690" xr:uid="{3C6AD951-3EE0-4EDC-BFD6-F7E733038D20}"/>
    <cellStyle name="Normal 8 2 2 3 3 3" xfId="5263" xr:uid="{00000000-0005-0000-0000-00005D1C0000}"/>
    <cellStyle name="Normal 8 2 2 3 3 3 2" xfId="21379" xr:uid="{E7B705DC-44F3-4B7E-A9AC-505E5A2A4DDD}"/>
    <cellStyle name="Normal 8 2 2 3 3 3 3" xfId="13758" xr:uid="{243EF98E-E29A-43D9-BA7E-168909CC69DD}"/>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23937" xr:uid="{F398D9DE-1ECC-40AE-AEF9-BFD71D2B4997}"/>
    <cellStyle name="Normal 8 2 2 3 4 2 2 3" xfId="16316" xr:uid="{BD7A47C5-C831-4D3D-B609-52D51A3BE822}"/>
    <cellStyle name="Normal 8 2 2 3 4 2 3" xfId="19724" xr:uid="{3230E87A-43A0-4A85-B92E-19AE19C0002E}"/>
    <cellStyle name="Normal 8 2 2 3 4 2 4" xfId="12103" xr:uid="{A81FC976-E752-4508-B013-4AB724524442}"/>
    <cellStyle name="Normal 8 2 2 3 4 3" xfId="5676" xr:uid="{00000000-0005-0000-0000-0000611C0000}"/>
    <cellStyle name="Normal 8 2 2 3 4 3 2" xfId="21792" xr:uid="{F0A83264-1EAE-4224-9CD5-365B21E3D45E}"/>
    <cellStyle name="Normal 8 2 2 3 4 3 3" xfId="14171" xr:uid="{4F934AE5-B4DC-4524-B263-44DE749A99C0}"/>
    <cellStyle name="Normal 8 2 2 3 4 4" xfId="17579" xr:uid="{55ED7B04-0994-48D4-AE96-FB7E680E3CC2}"/>
    <cellStyle name="Normal 8 2 2 3 4 5" xfId="9958" xr:uid="{9F121A72-7532-470E-BF1A-76FCC842D9FB}"/>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24350" xr:uid="{03C22F09-4E95-46E6-8DE4-C9F655869BD3}"/>
    <cellStyle name="Normal 8 2 2 3 5 2 2 3" xfId="16729" xr:uid="{91730403-10EB-49E7-B925-DA8B0E5A1D60}"/>
    <cellStyle name="Normal 8 2 2 3 5 2 3" xfId="20137" xr:uid="{46942E57-48E7-4C7C-A219-3D17DF0712B0}"/>
    <cellStyle name="Normal 8 2 2 3 5 2 4" xfId="12516" xr:uid="{7C8E03E3-AE2A-4560-9BCC-47528885BBE5}"/>
    <cellStyle name="Normal 8 2 2 3 5 3" xfId="6089" xr:uid="{00000000-0005-0000-0000-0000651C0000}"/>
    <cellStyle name="Normal 8 2 2 3 5 3 2" xfId="22205" xr:uid="{5F8F34E8-0FE3-432F-9A6D-B3523ED2A8A6}"/>
    <cellStyle name="Normal 8 2 2 3 5 3 3" xfId="14584" xr:uid="{DC40C153-C15A-4293-B126-0AA5BD51AA34}"/>
    <cellStyle name="Normal 8 2 2 3 5 4" xfId="17992" xr:uid="{4C373197-5682-47BA-A040-09E4CA1E84F2}"/>
    <cellStyle name="Normal 8 2 2 3 5 5" xfId="10371" xr:uid="{3FE557D5-497E-4ECA-94C5-740A200D7119}"/>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24763" xr:uid="{1D7D50D6-7A3E-4F67-A159-1F947AF2F585}"/>
    <cellStyle name="Normal 8 2 2 3 6 2 2 3" xfId="17142" xr:uid="{B7E59C9F-2F1F-49A0-88E9-ACB876B5CBEA}"/>
    <cellStyle name="Normal 8 2 2 3 6 2 3" xfId="20550" xr:uid="{4B39D63E-F5B5-4478-9EEA-17F9C7005C62}"/>
    <cellStyle name="Normal 8 2 2 3 6 2 4" xfId="12929" xr:uid="{47F43A5F-651F-4F43-9127-2723EE0633B8}"/>
    <cellStyle name="Normal 8 2 2 3 6 3" xfId="6502" xr:uid="{00000000-0005-0000-0000-0000691C0000}"/>
    <cellStyle name="Normal 8 2 2 3 6 3 2" xfId="22618" xr:uid="{BDD2A48B-31CB-40BE-A608-2AD0597D1302}"/>
    <cellStyle name="Normal 8 2 2 3 6 3 3" xfId="14997" xr:uid="{43FBD4D5-2028-4F28-AC57-B848E4321FC1}"/>
    <cellStyle name="Normal 8 2 2 3 6 4" xfId="18405" xr:uid="{6DD780FB-5857-4E50-92C5-B3EA225CB1BE}"/>
    <cellStyle name="Normal 8 2 2 3 6 5" xfId="10784" xr:uid="{1B8A9892-F94E-4026-BE10-C988935665F5}"/>
    <cellStyle name="Normal 8 2 2 3 7" xfId="2632" xr:uid="{00000000-0005-0000-0000-00006A1C0000}"/>
    <cellStyle name="Normal 8 2 2 3 7 2" xfId="6915" xr:uid="{00000000-0005-0000-0000-00006B1C0000}"/>
    <cellStyle name="Normal 8 2 2 3 7 2 2" xfId="23031" xr:uid="{598D4164-E3B2-438D-A350-703BFA79A577}"/>
    <cellStyle name="Normal 8 2 2 3 7 2 3" xfId="15410" xr:uid="{F803C3CD-7C23-4023-8E30-BFE5C19EF4FC}"/>
    <cellStyle name="Normal 8 2 2 3 7 3" xfId="18818" xr:uid="{05338183-146B-4DC2-A8FD-9647D6A9E417}"/>
    <cellStyle name="Normal 8 2 2 3 7 4" xfId="11197" xr:uid="{695C9003-1267-43E1-AB0B-60799B2C460C}"/>
    <cellStyle name="Normal 8 2 2 3 8" xfId="4850" xr:uid="{00000000-0005-0000-0000-00006C1C0000}"/>
    <cellStyle name="Normal 8 2 2 3 8 2" xfId="20966" xr:uid="{0345EF43-6DC9-4E4A-8F4F-DAD59E26E730}"/>
    <cellStyle name="Normal 8 2 2 3 8 3" xfId="13345" xr:uid="{972976AD-387C-45CF-A311-B99D6D7F10C2}"/>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23526" xr:uid="{D87CFC51-FD77-477D-8FB4-2054DF00A3CE}"/>
    <cellStyle name="Normal 8 2 2 4 2 2 2 3" xfId="15905" xr:uid="{1FF24255-33B9-4E48-9094-7A1355102D0E}"/>
    <cellStyle name="Normal 8 2 2 4 2 2 3" xfId="19313" xr:uid="{217A65C7-00B2-45D7-B6A5-50F5DA227E5D}"/>
    <cellStyle name="Normal 8 2 2 4 2 2 4" xfId="11692" xr:uid="{56F1B5AE-190E-4B7F-B36D-317D1DBCCAF3}"/>
    <cellStyle name="Normal 8 2 2 4 2 3" xfId="5265" xr:uid="{00000000-0005-0000-0000-0000711C0000}"/>
    <cellStyle name="Normal 8 2 2 4 2 3 2" xfId="21381" xr:uid="{098E948B-4E50-4CFA-9D23-7DCC991EBD74}"/>
    <cellStyle name="Normal 8 2 2 4 2 3 3" xfId="13760" xr:uid="{A94D7A88-C094-4C01-BE74-6041FBED309C}"/>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23939" xr:uid="{0E14750C-EB33-4D25-BE64-7417C0BA86CE}"/>
    <cellStyle name="Normal 8 2 2 4 3 2 2 3" xfId="16318" xr:uid="{60763553-4A71-4E00-94C0-C60642ED8528}"/>
    <cellStyle name="Normal 8 2 2 4 3 2 3" xfId="19726" xr:uid="{50612D02-AE24-445E-BDAF-F729CDF79EA4}"/>
    <cellStyle name="Normal 8 2 2 4 3 2 4" xfId="12105" xr:uid="{AE98A48E-2E69-41CD-9DEA-B3E8F2CBE946}"/>
    <cellStyle name="Normal 8 2 2 4 3 3" xfId="5678" xr:uid="{00000000-0005-0000-0000-0000751C0000}"/>
    <cellStyle name="Normal 8 2 2 4 3 3 2" xfId="21794" xr:uid="{1FB054DD-A7B4-4782-82D3-0B03F1056DA3}"/>
    <cellStyle name="Normal 8 2 2 4 3 3 3" xfId="14173" xr:uid="{C4A56124-B88A-4205-AFB1-EFE7922BA633}"/>
    <cellStyle name="Normal 8 2 2 4 3 4" xfId="17581" xr:uid="{ECEE8984-DC12-4540-89B9-9848F0706A06}"/>
    <cellStyle name="Normal 8 2 2 4 3 5" xfId="9960" xr:uid="{BE37BDF4-4845-4A8F-AA19-9E63B91FFCA5}"/>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24352" xr:uid="{137BA399-FC00-479C-8720-972A2577FA3B}"/>
    <cellStyle name="Normal 8 2 2 4 4 2 2 3" xfId="16731" xr:uid="{3465D00F-59EC-4279-A72B-B38F294D6ECF}"/>
    <cellStyle name="Normal 8 2 2 4 4 2 3" xfId="20139" xr:uid="{A2045D06-24CB-440D-BBA3-F40BBC86E66D}"/>
    <cellStyle name="Normal 8 2 2 4 4 2 4" xfId="12518" xr:uid="{64BF286C-5E90-4DD5-A0DB-A2C944196801}"/>
    <cellStyle name="Normal 8 2 2 4 4 3" xfId="6091" xr:uid="{00000000-0005-0000-0000-0000791C0000}"/>
    <cellStyle name="Normal 8 2 2 4 4 3 2" xfId="22207" xr:uid="{186BF07C-F02B-48BE-8A11-8160ED245A7D}"/>
    <cellStyle name="Normal 8 2 2 4 4 3 3" xfId="14586" xr:uid="{72E29FB0-3E60-456E-A051-0F930D24DB70}"/>
    <cellStyle name="Normal 8 2 2 4 4 4" xfId="17994" xr:uid="{5C9A8DDF-18F9-40A5-B152-4E6D9A3966D8}"/>
    <cellStyle name="Normal 8 2 2 4 4 5" xfId="10373" xr:uid="{2407CAFA-8210-47D4-8FCF-C7DCF7D50D40}"/>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24765" xr:uid="{8D90D77A-7CDC-4AFF-BBA7-022A1D70022E}"/>
    <cellStyle name="Normal 8 2 2 4 5 2 2 3" xfId="17144" xr:uid="{769522C5-2619-437A-AAF8-EECE4E1A77AC}"/>
    <cellStyle name="Normal 8 2 2 4 5 2 3" xfId="20552" xr:uid="{EB4922D3-6F81-48A8-B891-2EC6B03DC5B5}"/>
    <cellStyle name="Normal 8 2 2 4 5 2 4" xfId="12931" xr:uid="{7C79C244-B6EF-4A57-847C-DEFB75C5FF25}"/>
    <cellStyle name="Normal 8 2 2 4 5 3" xfId="6504" xr:uid="{00000000-0005-0000-0000-00007D1C0000}"/>
    <cellStyle name="Normal 8 2 2 4 5 3 2" xfId="22620" xr:uid="{6829F6E4-1CFC-4769-96E0-7F3A7596BC77}"/>
    <cellStyle name="Normal 8 2 2 4 5 3 3" xfId="14999" xr:uid="{0FB8BBB7-7464-4A8A-A05D-F5E4B7D272D4}"/>
    <cellStyle name="Normal 8 2 2 4 5 4" xfId="18407" xr:uid="{319F57EB-7E6F-42FC-9771-6094C7A448BB}"/>
    <cellStyle name="Normal 8 2 2 4 5 5" xfId="10786" xr:uid="{5B198761-99C0-419B-8B04-AD641C3C6304}"/>
    <cellStyle name="Normal 8 2 2 4 6" xfId="2634" xr:uid="{00000000-0005-0000-0000-00007E1C0000}"/>
    <cellStyle name="Normal 8 2 2 4 6 2" xfId="6917" xr:uid="{00000000-0005-0000-0000-00007F1C0000}"/>
    <cellStyle name="Normal 8 2 2 4 6 2 2" xfId="23033" xr:uid="{B86E74BD-AD95-4DAA-9A16-7EA5782C65D7}"/>
    <cellStyle name="Normal 8 2 2 4 6 2 3" xfId="15412" xr:uid="{C362BC43-2E18-4536-BA61-E471A4974F8D}"/>
    <cellStyle name="Normal 8 2 2 4 6 3" xfId="18820" xr:uid="{53D49E2F-3FD0-4D76-B5F7-9C66F96DAE96}"/>
    <cellStyle name="Normal 8 2 2 4 6 4" xfId="11199" xr:uid="{1D764060-CF65-4B24-BC2F-5130FF6E092F}"/>
    <cellStyle name="Normal 8 2 2 4 7" xfId="4852" xr:uid="{00000000-0005-0000-0000-0000801C0000}"/>
    <cellStyle name="Normal 8 2 2 4 7 2" xfId="20968" xr:uid="{5F65BE2F-CB8B-42F5-90C0-7B99C68EB6C4}"/>
    <cellStyle name="Normal 8 2 2 4 7 3" xfId="13347" xr:uid="{BD8A4A46-E0A8-4DCD-8700-11A2FB89477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2 2 2" xfId="23519" xr:uid="{9335EDF5-D751-4548-AE89-8DF2B40A638A}"/>
    <cellStyle name="Normal 8 2 2 5 2 2 3" xfId="15898" xr:uid="{DE3F37C5-5720-4099-BD3D-0937E47624C5}"/>
    <cellStyle name="Normal 8 2 2 5 2 3" xfId="19306" xr:uid="{6FD70817-9822-4C0D-90A3-1C6FF155AF8B}"/>
    <cellStyle name="Normal 8 2 2 5 2 4" xfId="11685" xr:uid="{3AE00BA5-BB7B-4E60-9CFD-88D425B02C0B}"/>
    <cellStyle name="Normal 8 2 2 5 3" xfId="5258" xr:uid="{00000000-0005-0000-0000-0000841C0000}"/>
    <cellStyle name="Normal 8 2 2 5 3 2" xfId="21374" xr:uid="{E7405C40-8A69-4FCA-B0DC-E25DAED1D6C7}"/>
    <cellStyle name="Normal 8 2 2 5 3 3" xfId="13753" xr:uid="{8222C4D0-1EA8-48A0-9655-0E51EEACB5C1}"/>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2 2 2" xfId="23932" xr:uid="{44B0B1B3-31FE-476A-BB6A-D44C9E3FAEB2}"/>
    <cellStyle name="Normal 8 2 2 6 2 2 3" xfId="16311" xr:uid="{8F2A3CD0-CE2B-40CD-BBA9-4FCEF24F8A42}"/>
    <cellStyle name="Normal 8 2 2 6 2 3" xfId="19719" xr:uid="{59C80D0B-0A94-453E-843E-FBED58F9EB6F}"/>
    <cellStyle name="Normal 8 2 2 6 2 4" xfId="12098" xr:uid="{86E346BF-77E3-42E3-89DE-3F8CD8630E31}"/>
    <cellStyle name="Normal 8 2 2 6 3" xfId="5671" xr:uid="{00000000-0005-0000-0000-0000881C0000}"/>
    <cellStyle name="Normal 8 2 2 6 3 2" xfId="21787" xr:uid="{95E276EF-738D-4F16-964D-7EE736F9A330}"/>
    <cellStyle name="Normal 8 2 2 6 3 3" xfId="14166" xr:uid="{4BF1F55C-FDC1-4B6E-A3F4-C4E6E99C6506}"/>
    <cellStyle name="Normal 8 2 2 6 4" xfId="17574" xr:uid="{2B421439-C7F8-4423-B01B-D99218BF0AA0}"/>
    <cellStyle name="Normal 8 2 2 6 5" xfId="9953" xr:uid="{4BEACB1A-1CB9-45E1-BD1A-FB6FA1D057F9}"/>
    <cellStyle name="Normal 8 2 2 7" xfId="1777" xr:uid="{00000000-0005-0000-0000-0000891C0000}"/>
    <cellStyle name="Normal 8 2 2 7 2" xfId="4007" xr:uid="{00000000-0005-0000-0000-00008A1C0000}"/>
    <cellStyle name="Normal 8 2 2 7 2 2" xfId="8229" xr:uid="{00000000-0005-0000-0000-00008B1C0000}"/>
    <cellStyle name="Normal 8 2 2 7 2 2 2" xfId="24345" xr:uid="{CEF1032B-25B8-4ACA-B97E-07E46C1B8343}"/>
    <cellStyle name="Normal 8 2 2 7 2 2 3" xfId="16724" xr:uid="{0B751BCB-F881-483D-AB0F-9BCD27CE88DB}"/>
    <cellStyle name="Normal 8 2 2 7 2 3" xfId="20132" xr:uid="{13FD7253-BD86-4013-94E2-F1710ABECC3F}"/>
    <cellStyle name="Normal 8 2 2 7 2 4" xfId="12511" xr:uid="{AAC18A42-0D87-4594-B338-7CC41BCDF3AE}"/>
    <cellStyle name="Normal 8 2 2 7 3" xfId="6084" xr:uid="{00000000-0005-0000-0000-00008C1C0000}"/>
    <cellStyle name="Normal 8 2 2 7 3 2" xfId="22200" xr:uid="{1CCB055D-E9D8-4DAF-BDC4-560470963699}"/>
    <cellStyle name="Normal 8 2 2 7 3 3" xfId="14579" xr:uid="{6B619D63-E2D4-4D50-B4FD-D739E89B13EC}"/>
    <cellStyle name="Normal 8 2 2 7 4" xfId="17987" xr:uid="{AE84BED8-277B-480C-8C2E-0F08B95F688D}"/>
    <cellStyle name="Normal 8 2 2 7 5" xfId="10366" xr:uid="{0F910C19-E971-4835-9D84-CCC910CBD224}"/>
    <cellStyle name="Normal 8 2 2 8" xfId="2191" xr:uid="{00000000-0005-0000-0000-00008D1C0000}"/>
    <cellStyle name="Normal 8 2 2 8 2" xfId="4420" xr:uid="{00000000-0005-0000-0000-00008E1C0000}"/>
    <cellStyle name="Normal 8 2 2 8 2 2" xfId="8642" xr:uid="{00000000-0005-0000-0000-00008F1C0000}"/>
    <cellStyle name="Normal 8 2 2 8 2 2 2" xfId="24758" xr:uid="{E220114A-789D-4CEA-89A1-6CDB80A8BD09}"/>
    <cellStyle name="Normal 8 2 2 8 2 2 3" xfId="17137" xr:uid="{3F9FB8DB-BD0B-4B31-AF95-9937B03F6BDA}"/>
    <cellStyle name="Normal 8 2 2 8 2 3" xfId="20545" xr:uid="{E6D0683F-8FA5-4E1B-BE35-D8586E5A89D5}"/>
    <cellStyle name="Normal 8 2 2 8 2 4" xfId="12924" xr:uid="{648A6640-B17E-4FF7-B66C-5BB98267E8A3}"/>
    <cellStyle name="Normal 8 2 2 8 3" xfId="6497" xr:uid="{00000000-0005-0000-0000-0000901C0000}"/>
    <cellStyle name="Normal 8 2 2 8 3 2" xfId="22613" xr:uid="{DE3B258D-BB96-41C1-98B1-C0DFA7BFE519}"/>
    <cellStyle name="Normal 8 2 2 8 3 3" xfId="14992" xr:uid="{3D985E8E-7FFB-408F-9946-935CE05C1484}"/>
    <cellStyle name="Normal 8 2 2 8 4" xfId="18400" xr:uid="{02159256-E990-4C4E-9E05-E6CEDCC35F0C}"/>
    <cellStyle name="Normal 8 2 2 8 5" xfId="10779" xr:uid="{814C3181-68F2-4A6A-A9B0-FEC9A61949C9}"/>
    <cellStyle name="Normal 8 2 2 9" xfId="2627" xr:uid="{00000000-0005-0000-0000-0000911C0000}"/>
    <cellStyle name="Normal 8 2 2 9 2" xfId="6910" xr:uid="{00000000-0005-0000-0000-0000921C0000}"/>
    <cellStyle name="Normal 8 2 2 9 2 2" xfId="23026" xr:uid="{805421F8-76EB-444F-8639-63CE21B66FD4}"/>
    <cellStyle name="Normal 8 2 2 9 2 3" xfId="15405" xr:uid="{22AFD875-3423-4625-BD0F-7341AE4687EA}"/>
    <cellStyle name="Normal 8 2 2 9 3" xfId="18813" xr:uid="{24D84544-7EF6-4385-B160-B9CDCD440226}"/>
    <cellStyle name="Normal 8 2 2 9 4" xfId="11192" xr:uid="{5A6447C2-526C-4A65-A5C2-6EBD4C6132EE}"/>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23529" xr:uid="{EB35B4D6-9781-45EE-84BD-D9933AAE3A3F}"/>
    <cellStyle name="Normal 8 2 3 2 2 2 2 2 3" xfId="15908" xr:uid="{7AA10EC4-7969-41E7-B70B-FEA366F90A27}"/>
    <cellStyle name="Normal 8 2 3 2 2 2 2 3" xfId="19316" xr:uid="{761A7791-9923-4505-92D6-292A6BFC57F9}"/>
    <cellStyle name="Normal 8 2 3 2 2 2 2 4" xfId="11695" xr:uid="{1497C607-42EB-4880-9CA9-E2B82DB16D12}"/>
    <cellStyle name="Normal 8 2 3 2 2 2 3" xfId="5268" xr:uid="{00000000-0005-0000-0000-0000991C0000}"/>
    <cellStyle name="Normal 8 2 3 2 2 2 3 2" xfId="21384" xr:uid="{C9874DDC-0A1F-4375-8691-542441275783}"/>
    <cellStyle name="Normal 8 2 3 2 2 2 3 3" xfId="13763" xr:uid="{7E26DF62-BDDC-4B68-8955-0F351CAC2D41}"/>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23942" xr:uid="{2A306DB9-AB39-466A-9AD6-BA140F36D7FF}"/>
    <cellStyle name="Normal 8 2 3 2 2 3 2 2 3" xfId="16321" xr:uid="{50D1D5BA-FBE3-43BA-9767-92E1C307D875}"/>
    <cellStyle name="Normal 8 2 3 2 2 3 2 3" xfId="19729" xr:uid="{22AB3A30-5A90-43F8-B3F4-43C0755F239F}"/>
    <cellStyle name="Normal 8 2 3 2 2 3 2 4" xfId="12108" xr:uid="{B43C8278-2284-4039-9730-5AE3C6D39B7E}"/>
    <cellStyle name="Normal 8 2 3 2 2 3 3" xfId="5681" xr:uid="{00000000-0005-0000-0000-00009D1C0000}"/>
    <cellStyle name="Normal 8 2 3 2 2 3 3 2" xfId="21797" xr:uid="{2CEDA0EE-E0A6-418D-976D-131B660E4647}"/>
    <cellStyle name="Normal 8 2 3 2 2 3 3 3" xfId="14176" xr:uid="{5519AE3D-DB5C-49C9-BD08-B0754ED3F848}"/>
    <cellStyle name="Normal 8 2 3 2 2 3 4" xfId="17584" xr:uid="{0ECEE797-EDF9-4FB1-B984-EE25699D2E0A}"/>
    <cellStyle name="Normal 8 2 3 2 2 3 5" xfId="9963" xr:uid="{6984161A-1E6A-4599-90FB-4158CBA90875}"/>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24355" xr:uid="{6CEBD144-6746-4CD7-AB5A-A502F90BAEA4}"/>
    <cellStyle name="Normal 8 2 3 2 2 4 2 2 3" xfId="16734" xr:uid="{0FBE9219-3D44-413A-B465-EB652C3B6EDB}"/>
    <cellStyle name="Normal 8 2 3 2 2 4 2 3" xfId="20142" xr:uid="{698638C6-7189-4EC7-82D2-E8109360FB30}"/>
    <cellStyle name="Normal 8 2 3 2 2 4 2 4" xfId="12521" xr:uid="{C75660A6-8D03-492D-9728-99FF2F95C309}"/>
    <cellStyle name="Normal 8 2 3 2 2 4 3" xfId="6094" xr:uid="{00000000-0005-0000-0000-0000A11C0000}"/>
    <cellStyle name="Normal 8 2 3 2 2 4 3 2" xfId="22210" xr:uid="{646B4DA2-E6BA-486D-ABBE-558004851AED}"/>
    <cellStyle name="Normal 8 2 3 2 2 4 3 3" xfId="14589" xr:uid="{77689F7E-0C99-4F2B-8F9D-CA3CE9DCCD3C}"/>
    <cellStyle name="Normal 8 2 3 2 2 4 4" xfId="17997" xr:uid="{2C37471C-5868-498A-B5A2-E353B946C04C}"/>
    <cellStyle name="Normal 8 2 3 2 2 4 5" xfId="10376" xr:uid="{10D27892-9132-4CF1-991F-16DE3413D408}"/>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24768" xr:uid="{5F7E71A1-4107-4195-A1B4-22E497618020}"/>
    <cellStyle name="Normal 8 2 3 2 2 5 2 2 3" xfId="17147" xr:uid="{D448D311-2073-4521-A343-0834A3A29596}"/>
    <cellStyle name="Normal 8 2 3 2 2 5 2 3" xfId="20555" xr:uid="{61B9E8F5-E97C-40B9-915E-CAD1F3A68943}"/>
    <cellStyle name="Normal 8 2 3 2 2 5 2 4" xfId="12934" xr:uid="{E81BE629-78C0-41FA-B9EC-751A7CB832D0}"/>
    <cellStyle name="Normal 8 2 3 2 2 5 3" xfId="6507" xr:uid="{00000000-0005-0000-0000-0000A51C0000}"/>
    <cellStyle name="Normal 8 2 3 2 2 5 3 2" xfId="22623" xr:uid="{6229DA2E-13E9-4A81-A1F7-1B99C3AFC9E7}"/>
    <cellStyle name="Normal 8 2 3 2 2 5 3 3" xfId="15002" xr:uid="{451ADAD2-3D71-4BCE-B56F-4EF80DE75BD0}"/>
    <cellStyle name="Normal 8 2 3 2 2 5 4" xfId="18410" xr:uid="{DDDBB34F-FF15-4E56-828C-F78C7922836F}"/>
    <cellStyle name="Normal 8 2 3 2 2 5 5" xfId="10789" xr:uid="{283C6FEF-0002-4427-8519-C187B59E1C5E}"/>
    <cellStyle name="Normal 8 2 3 2 2 6" xfId="2637" xr:uid="{00000000-0005-0000-0000-0000A61C0000}"/>
    <cellStyle name="Normal 8 2 3 2 2 6 2" xfId="6920" xr:uid="{00000000-0005-0000-0000-0000A71C0000}"/>
    <cellStyle name="Normal 8 2 3 2 2 6 2 2" xfId="23036" xr:uid="{C14543C2-B70C-4D95-AF8C-FF8EB7D942AD}"/>
    <cellStyle name="Normal 8 2 3 2 2 6 2 3" xfId="15415" xr:uid="{1BEB4AAD-0111-4F6C-BE4C-EEA8A5172105}"/>
    <cellStyle name="Normal 8 2 3 2 2 6 3" xfId="18823" xr:uid="{D4D08385-D78E-440C-8B39-59698CEFE95F}"/>
    <cellStyle name="Normal 8 2 3 2 2 6 4" xfId="11202" xr:uid="{28A2CEA5-4F72-4FD5-ABE9-E05FD5FFF34D}"/>
    <cellStyle name="Normal 8 2 3 2 2 7" xfId="4855" xr:uid="{00000000-0005-0000-0000-0000A81C0000}"/>
    <cellStyle name="Normal 8 2 3 2 2 7 2" xfId="20971" xr:uid="{E18BFE89-3DB9-48FD-AC41-11B8CF12F9F7}"/>
    <cellStyle name="Normal 8 2 3 2 2 7 3" xfId="13350" xr:uid="{6CA9A731-B4E3-4081-96BF-8FB26AA8325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23528" xr:uid="{2DD6B3D7-4B13-4A10-8D40-19E4E7185E5D}"/>
    <cellStyle name="Normal 8 2 3 2 3 2 2 3" xfId="15907" xr:uid="{C55BEEF6-55D1-40DC-B0ED-BD64A38806AA}"/>
    <cellStyle name="Normal 8 2 3 2 3 2 3" xfId="19315" xr:uid="{92E5BF0E-D4F6-429D-AC34-48CF4D4B9A2A}"/>
    <cellStyle name="Normal 8 2 3 2 3 2 4" xfId="11694" xr:uid="{81DB282D-8914-4D7A-84F2-6169A7278C12}"/>
    <cellStyle name="Normal 8 2 3 2 3 3" xfId="5267" xr:uid="{00000000-0005-0000-0000-0000AC1C0000}"/>
    <cellStyle name="Normal 8 2 3 2 3 3 2" xfId="21383" xr:uid="{B48D2BBD-4CA5-4B90-89DB-1D04A6CC1156}"/>
    <cellStyle name="Normal 8 2 3 2 3 3 3" xfId="13762" xr:uid="{56D1152E-0992-4399-A1C2-79155FACA657}"/>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23941" xr:uid="{B4960677-21EF-425C-B08D-18718881564B}"/>
    <cellStyle name="Normal 8 2 3 2 4 2 2 3" xfId="16320" xr:uid="{3358D369-1CBC-4766-86DB-953A7EF5B423}"/>
    <cellStyle name="Normal 8 2 3 2 4 2 3" xfId="19728" xr:uid="{62359F35-456A-457A-9687-FE4A88D7F3DA}"/>
    <cellStyle name="Normal 8 2 3 2 4 2 4" xfId="12107" xr:uid="{DF7C253A-2988-41F8-83FA-F48BA82A3F40}"/>
    <cellStyle name="Normal 8 2 3 2 4 3" xfId="5680" xr:uid="{00000000-0005-0000-0000-0000B01C0000}"/>
    <cellStyle name="Normal 8 2 3 2 4 3 2" xfId="21796" xr:uid="{A181CD61-0554-4E8B-B1AD-9363551265B0}"/>
    <cellStyle name="Normal 8 2 3 2 4 3 3" xfId="14175" xr:uid="{BAE63335-E3B9-4712-846B-7CE94E8BDE16}"/>
    <cellStyle name="Normal 8 2 3 2 4 4" xfId="17583" xr:uid="{0FAE3C28-4494-4AAF-979F-B66672CC1AFC}"/>
    <cellStyle name="Normal 8 2 3 2 4 5" xfId="9962" xr:uid="{8CCCBEB8-0A31-44FE-8FEF-9C735AD914AB}"/>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24354" xr:uid="{C793A691-B870-455F-9769-9C2473B5FAA4}"/>
    <cellStyle name="Normal 8 2 3 2 5 2 2 3" xfId="16733" xr:uid="{41B5B5BA-18F5-4DA4-842C-60AFD1461031}"/>
    <cellStyle name="Normal 8 2 3 2 5 2 3" xfId="20141" xr:uid="{26E3C157-3DC6-4383-8FBD-06715D9159F4}"/>
    <cellStyle name="Normal 8 2 3 2 5 2 4" xfId="12520" xr:uid="{44956C97-B6DE-4FC3-B893-663C2A17AE8C}"/>
    <cellStyle name="Normal 8 2 3 2 5 3" xfId="6093" xr:uid="{00000000-0005-0000-0000-0000B41C0000}"/>
    <cellStyle name="Normal 8 2 3 2 5 3 2" xfId="22209" xr:uid="{42D00E6F-0092-4AE1-A3EA-9511858FEC17}"/>
    <cellStyle name="Normal 8 2 3 2 5 3 3" xfId="14588" xr:uid="{C16BA305-1B5F-4124-8CBB-8B94906C37D2}"/>
    <cellStyle name="Normal 8 2 3 2 5 4" xfId="17996" xr:uid="{A9A09D50-325D-4DB4-B2FC-DB3E35BD3B31}"/>
    <cellStyle name="Normal 8 2 3 2 5 5" xfId="10375" xr:uid="{82EFBA77-D50B-425E-B15E-7271A066A354}"/>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24767" xr:uid="{DD6CE2F4-539D-495C-A6F3-830647CD192A}"/>
    <cellStyle name="Normal 8 2 3 2 6 2 2 3" xfId="17146" xr:uid="{CBDFB716-6AE0-4D4E-BBA1-1241827BE989}"/>
    <cellStyle name="Normal 8 2 3 2 6 2 3" xfId="20554" xr:uid="{00361CC0-4334-4930-A7D6-4319EF96D70C}"/>
    <cellStyle name="Normal 8 2 3 2 6 2 4" xfId="12933" xr:uid="{EC61B97C-BE6F-450D-B4D2-6113F21C0F16}"/>
    <cellStyle name="Normal 8 2 3 2 6 3" xfId="6506" xr:uid="{00000000-0005-0000-0000-0000B81C0000}"/>
    <cellStyle name="Normal 8 2 3 2 6 3 2" xfId="22622" xr:uid="{0BA605D0-1DF7-46D9-A728-0114926288CA}"/>
    <cellStyle name="Normal 8 2 3 2 6 3 3" xfId="15001" xr:uid="{9B7C1D31-83CB-463C-8C39-5316EA91D348}"/>
    <cellStyle name="Normal 8 2 3 2 6 4" xfId="18409" xr:uid="{FED7B712-ACCA-40ED-B103-1FDA3B58718C}"/>
    <cellStyle name="Normal 8 2 3 2 6 5" xfId="10788" xr:uid="{76126F92-2D07-4E5E-B2EB-375DFF64461F}"/>
    <cellStyle name="Normal 8 2 3 2 7" xfId="2636" xr:uid="{00000000-0005-0000-0000-0000B91C0000}"/>
    <cellStyle name="Normal 8 2 3 2 7 2" xfId="6919" xr:uid="{00000000-0005-0000-0000-0000BA1C0000}"/>
    <cellStyle name="Normal 8 2 3 2 7 2 2" xfId="23035" xr:uid="{5ADBBB9A-D3A6-49BC-9315-85D07A0F2033}"/>
    <cellStyle name="Normal 8 2 3 2 7 2 3" xfId="15414" xr:uid="{87E64F89-4412-41BD-991E-D73933C2F9DD}"/>
    <cellStyle name="Normal 8 2 3 2 7 3" xfId="18822" xr:uid="{003CC27E-96A6-4AD9-A2BB-CCEE8BFCAFD2}"/>
    <cellStyle name="Normal 8 2 3 2 7 4" xfId="11201" xr:uid="{481E5E83-DC0F-423A-AE7F-0C52CB5441F0}"/>
    <cellStyle name="Normal 8 2 3 2 8" xfId="4854" xr:uid="{00000000-0005-0000-0000-0000BB1C0000}"/>
    <cellStyle name="Normal 8 2 3 2 8 2" xfId="20970" xr:uid="{FF1CF7E7-01DF-40B5-92E6-4B11CE076CDA}"/>
    <cellStyle name="Normal 8 2 3 2 8 3" xfId="13349" xr:uid="{5103663E-AD43-4469-B513-9BC7D7D21C91}"/>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23530" xr:uid="{8C11811A-0FCE-4A44-8204-7DD9FF771539}"/>
    <cellStyle name="Normal 8 2 3 3 2 2 2 3" xfId="15909" xr:uid="{36A06D46-6AF2-4ED5-8CF5-5808E9BF10F2}"/>
    <cellStyle name="Normal 8 2 3 3 2 2 3" xfId="19317" xr:uid="{05D9EFE1-8A06-4424-A34D-28A6B0C9FB76}"/>
    <cellStyle name="Normal 8 2 3 3 2 2 4" xfId="11696" xr:uid="{02EDB71A-E821-42C7-9C7C-CF0005195D16}"/>
    <cellStyle name="Normal 8 2 3 3 2 3" xfId="5269" xr:uid="{00000000-0005-0000-0000-0000C01C0000}"/>
    <cellStyle name="Normal 8 2 3 3 2 3 2" xfId="21385" xr:uid="{E3C7FDBE-5F99-4A78-B2F0-E7D78D63BD30}"/>
    <cellStyle name="Normal 8 2 3 3 2 3 3" xfId="13764" xr:uid="{7ED4CEE4-4C06-4D09-8FA1-043E0D6CBE2C}"/>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23943" xr:uid="{BE33B14B-747C-4A84-B553-E3D07E7AB429}"/>
    <cellStyle name="Normal 8 2 3 3 3 2 2 3" xfId="16322" xr:uid="{C8571904-B9C1-4D94-BA5D-910C84A93FEF}"/>
    <cellStyle name="Normal 8 2 3 3 3 2 3" xfId="19730" xr:uid="{8CB6FE1C-FB76-43B9-A9F9-71C292DAA040}"/>
    <cellStyle name="Normal 8 2 3 3 3 2 4" xfId="12109" xr:uid="{85E9DA7E-FAFE-4190-971B-EA6E8DF45A70}"/>
    <cellStyle name="Normal 8 2 3 3 3 3" xfId="5682" xr:uid="{00000000-0005-0000-0000-0000C41C0000}"/>
    <cellStyle name="Normal 8 2 3 3 3 3 2" xfId="21798" xr:uid="{752EDA4E-9B9A-4587-B9A8-BE2C24732A9F}"/>
    <cellStyle name="Normal 8 2 3 3 3 3 3" xfId="14177" xr:uid="{03CB3982-75F8-4C84-AF37-AED00B5816BE}"/>
    <cellStyle name="Normal 8 2 3 3 3 4" xfId="17585" xr:uid="{39592CCF-B0A3-4156-87B9-91875D5DF95F}"/>
    <cellStyle name="Normal 8 2 3 3 3 5" xfId="9964" xr:uid="{AFF6DEF2-BFD4-4296-B436-785084D010AD}"/>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24356" xr:uid="{720C3C4C-3BC9-4848-A3F7-48AB0AF69885}"/>
    <cellStyle name="Normal 8 2 3 3 4 2 2 3" xfId="16735" xr:uid="{D0077CA9-F925-40FC-A1D9-45BC531E90D4}"/>
    <cellStyle name="Normal 8 2 3 3 4 2 3" xfId="20143" xr:uid="{4BE2D413-4B5A-4C27-8701-ECD74555E0EB}"/>
    <cellStyle name="Normal 8 2 3 3 4 2 4" xfId="12522" xr:uid="{0A5E3EF1-90DB-4DCA-B589-C5FD5309DE0A}"/>
    <cellStyle name="Normal 8 2 3 3 4 3" xfId="6095" xr:uid="{00000000-0005-0000-0000-0000C81C0000}"/>
    <cellStyle name="Normal 8 2 3 3 4 3 2" xfId="22211" xr:uid="{E1C24BBA-3FE3-4763-92C6-1310E44050CC}"/>
    <cellStyle name="Normal 8 2 3 3 4 3 3" xfId="14590" xr:uid="{AE292A9A-7CBB-47EF-833C-88F0C51EDD33}"/>
    <cellStyle name="Normal 8 2 3 3 4 4" xfId="17998" xr:uid="{7BC4AC8F-9EA0-4D2D-BDE7-6A4DA71AE49C}"/>
    <cellStyle name="Normal 8 2 3 3 4 5" xfId="10377" xr:uid="{CA6BA84B-2EDF-41CA-BCAE-7821C8E95035}"/>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24769" xr:uid="{72E70ED9-0EC9-4CF0-B7AE-B289810BBC98}"/>
    <cellStyle name="Normal 8 2 3 3 5 2 2 3" xfId="17148" xr:uid="{D346B4F7-7418-465F-A918-EC8A4AC10738}"/>
    <cellStyle name="Normal 8 2 3 3 5 2 3" xfId="20556" xr:uid="{1CAA9A75-E800-4A12-A246-BBE7CCBFC40C}"/>
    <cellStyle name="Normal 8 2 3 3 5 2 4" xfId="12935" xr:uid="{8ADD26DD-4E18-4806-B5B8-3E1EFE960E11}"/>
    <cellStyle name="Normal 8 2 3 3 5 3" xfId="6508" xr:uid="{00000000-0005-0000-0000-0000CC1C0000}"/>
    <cellStyle name="Normal 8 2 3 3 5 3 2" xfId="22624" xr:uid="{3126CD74-D724-4AAF-B597-20C9E8F8F561}"/>
    <cellStyle name="Normal 8 2 3 3 5 3 3" xfId="15003" xr:uid="{31D996E9-5B05-4919-86CB-732B1C47D74A}"/>
    <cellStyle name="Normal 8 2 3 3 5 4" xfId="18411" xr:uid="{6DE311C0-8408-42D6-801D-E07BDED55ED9}"/>
    <cellStyle name="Normal 8 2 3 3 5 5" xfId="10790" xr:uid="{7223359E-8DE9-49CC-820A-247CD814B4E0}"/>
    <cellStyle name="Normal 8 2 3 3 6" xfId="2638" xr:uid="{00000000-0005-0000-0000-0000CD1C0000}"/>
    <cellStyle name="Normal 8 2 3 3 6 2" xfId="6921" xr:uid="{00000000-0005-0000-0000-0000CE1C0000}"/>
    <cellStyle name="Normal 8 2 3 3 6 2 2" xfId="23037" xr:uid="{95194A48-C06E-42B1-8374-A3C1A7F61CFC}"/>
    <cellStyle name="Normal 8 2 3 3 6 2 3" xfId="15416" xr:uid="{2EE8C0EC-9C0B-471C-AF6C-C4E25262E438}"/>
    <cellStyle name="Normal 8 2 3 3 6 3" xfId="18824" xr:uid="{E109A608-8C86-4D73-9703-A5C194A32B0C}"/>
    <cellStyle name="Normal 8 2 3 3 6 4" xfId="11203" xr:uid="{6DB0CB8F-D236-4CB9-BB29-3B5E6F465101}"/>
    <cellStyle name="Normal 8 2 3 3 7" xfId="4856" xr:uid="{00000000-0005-0000-0000-0000CF1C0000}"/>
    <cellStyle name="Normal 8 2 3 3 7 2" xfId="20972" xr:uid="{4FE9246E-F413-47E0-B218-2BE2F216F690}"/>
    <cellStyle name="Normal 8 2 3 3 7 3" xfId="13351" xr:uid="{02ED9E20-50C3-4FF7-9E7B-B46C0894721E}"/>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2 2 2" xfId="23527" xr:uid="{42DC4644-0391-45AF-87FE-B0AB241032B2}"/>
    <cellStyle name="Normal 8 2 3 4 2 2 3" xfId="15906" xr:uid="{7FE60608-05D7-489E-92E7-F0E4FC2D4E17}"/>
    <cellStyle name="Normal 8 2 3 4 2 3" xfId="19314" xr:uid="{00C9CB1D-B5CB-4037-8F4F-78470F17E5DA}"/>
    <cellStyle name="Normal 8 2 3 4 2 4" xfId="11693" xr:uid="{834115E2-2082-41A2-9D4F-3447A47A1DCE}"/>
    <cellStyle name="Normal 8 2 3 4 3" xfId="5266" xr:uid="{00000000-0005-0000-0000-0000D31C0000}"/>
    <cellStyle name="Normal 8 2 3 4 3 2" xfId="21382" xr:uid="{A0C9D8B1-AAF4-4EA4-8F50-EAB28A0936FD}"/>
    <cellStyle name="Normal 8 2 3 4 3 3" xfId="13761" xr:uid="{26FCEEAC-80F5-4453-85F9-1FDBDBDAB8F1}"/>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2 2 2" xfId="23940" xr:uid="{246461F1-43D4-4C17-B85B-F957D8CEB00D}"/>
    <cellStyle name="Normal 8 2 3 5 2 2 3" xfId="16319" xr:uid="{F7A6A8D2-B9B8-457D-B37E-1A5CE0255CF3}"/>
    <cellStyle name="Normal 8 2 3 5 2 3" xfId="19727" xr:uid="{A9412FD0-87E6-4144-9DFD-CC5DFCFB4F91}"/>
    <cellStyle name="Normal 8 2 3 5 2 4" xfId="12106" xr:uid="{DDBCFBDC-8942-4802-86FB-B30F53E75DB8}"/>
    <cellStyle name="Normal 8 2 3 5 3" xfId="5679" xr:uid="{00000000-0005-0000-0000-0000D71C0000}"/>
    <cellStyle name="Normal 8 2 3 5 3 2" xfId="21795" xr:uid="{CACC91D6-5DC0-47A9-BF93-46D615DB07A3}"/>
    <cellStyle name="Normal 8 2 3 5 3 3" xfId="14174" xr:uid="{805352BC-A35B-404A-9921-7A6F024F5114}"/>
    <cellStyle name="Normal 8 2 3 5 4" xfId="17582" xr:uid="{CAE37575-9404-49C2-9AFD-F3236DF89585}"/>
    <cellStyle name="Normal 8 2 3 5 5" xfId="9961" xr:uid="{CFEFE142-9CBA-4A25-B2FA-F495510098DB}"/>
    <cellStyle name="Normal 8 2 3 6" xfId="1785" xr:uid="{00000000-0005-0000-0000-0000D81C0000}"/>
    <cellStyle name="Normal 8 2 3 6 2" xfId="4015" xr:uid="{00000000-0005-0000-0000-0000D91C0000}"/>
    <cellStyle name="Normal 8 2 3 6 2 2" xfId="8237" xr:uid="{00000000-0005-0000-0000-0000DA1C0000}"/>
    <cellStyle name="Normal 8 2 3 6 2 2 2" xfId="24353" xr:uid="{5FAC25A6-9E33-402A-B5F1-F803778B729C}"/>
    <cellStyle name="Normal 8 2 3 6 2 2 3" xfId="16732" xr:uid="{6DAF695F-8A59-4115-8048-37139DB40877}"/>
    <cellStyle name="Normal 8 2 3 6 2 3" xfId="20140" xr:uid="{3C7DC2B1-6F11-45DC-A080-552AFF981F73}"/>
    <cellStyle name="Normal 8 2 3 6 2 4" xfId="12519" xr:uid="{9D20C39E-E5C0-4381-ABE8-51CFF69A64A5}"/>
    <cellStyle name="Normal 8 2 3 6 3" xfId="6092" xr:uid="{00000000-0005-0000-0000-0000DB1C0000}"/>
    <cellStyle name="Normal 8 2 3 6 3 2" xfId="22208" xr:uid="{C84CAE4B-3AB4-4C49-B6CE-5C3100B56B8B}"/>
    <cellStyle name="Normal 8 2 3 6 3 3" xfId="14587" xr:uid="{7F667430-6108-4082-864D-FA04B2492CB4}"/>
    <cellStyle name="Normal 8 2 3 6 4" xfId="17995" xr:uid="{909E4631-576A-4DBA-8F4F-3057E7D8951D}"/>
    <cellStyle name="Normal 8 2 3 6 5" xfId="10374" xr:uid="{909CEB0E-4020-4E21-B3BE-2752E7EA0A7F}"/>
    <cellStyle name="Normal 8 2 3 7" xfId="2199" xr:uid="{00000000-0005-0000-0000-0000DC1C0000}"/>
    <cellStyle name="Normal 8 2 3 7 2" xfId="4428" xr:uid="{00000000-0005-0000-0000-0000DD1C0000}"/>
    <cellStyle name="Normal 8 2 3 7 2 2" xfId="8650" xr:uid="{00000000-0005-0000-0000-0000DE1C0000}"/>
    <cellStyle name="Normal 8 2 3 7 2 2 2" xfId="24766" xr:uid="{CAF3BCE4-7718-4064-A0CA-8A2790DB3F0C}"/>
    <cellStyle name="Normal 8 2 3 7 2 2 3" xfId="17145" xr:uid="{043A0812-1A20-4178-B3FA-48E7549B0083}"/>
    <cellStyle name="Normal 8 2 3 7 2 3" xfId="20553" xr:uid="{7A5C494F-9830-4ED8-B670-8B040E42BFEF}"/>
    <cellStyle name="Normal 8 2 3 7 2 4" xfId="12932" xr:uid="{DA11158E-5988-4E61-BDE2-577A39626C1E}"/>
    <cellStyle name="Normal 8 2 3 7 3" xfId="6505" xr:uid="{00000000-0005-0000-0000-0000DF1C0000}"/>
    <cellStyle name="Normal 8 2 3 7 3 2" xfId="22621" xr:uid="{ACBA19DF-C32A-4CDB-A27E-A010DB173E77}"/>
    <cellStyle name="Normal 8 2 3 7 3 3" xfId="15000" xr:uid="{CE0B25E1-4B85-46C0-AF23-6908C9B95095}"/>
    <cellStyle name="Normal 8 2 3 7 4" xfId="18408" xr:uid="{B7FBB3F8-F75F-47C4-A2E2-282CB2B6531B}"/>
    <cellStyle name="Normal 8 2 3 7 5" xfId="10787" xr:uid="{B336C5B9-6C39-4EB6-8D0F-41F424490B87}"/>
    <cellStyle name="Normal 8 2 3 8" xfId="2635" xr:uid="{00000000-0005-0000-0000-0000E01C0000}"/>
    <cellStyle name="Normal 8 2 3 8 2" xfId="6918" xr:uid="{00000000-0005-0000-0000-0000E11C0000}"/>
    <cellStyle name="Normal 8 2 3 8 2 2" xfId="23034" xr:uid="{EFE1382E-61D7-4675-98AF-4C32E988E095}"/>
    <cellStyle name="Normal 8 2 3 8 2 3" xfId="15413" xr:uid="{2BC30BEB-E81A-47BB-A439-8E52C819C93C}"/>
    <cellStyle name="Normal 8 2 3 8 3" xfId="18821" xr:uid="{7378CD05-798D-4672-8471-0D252AE1D5F0}"/>
    <cellStyle name="Normal 8 2 3 8 4" xfId="11200" xr:uid="{5C39BF1A-3B3B-40F5-8F42-C2EA0B71D403}"/>
    <cellStyle name="Normal 8 2 3 9" xfId="4853" xr:uid="{00000000-0005-0000-0000-0000E21C0000}"/>
    <cellStyle name="Normal 8 2 3 9 2" xfId="20969" xr:uid="{5318ACFE-9CDD-42F8-AC65-9415B1EEF544}"/>
    <cellStyle name="Normal 8 2 3 9 3" xfId="13348" xr:uid="{69EA32A4-B421-4E93-A873-B4C548C87BB1}"/>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23532" xr:uid="{7445C5C9-D998-4F43-BC8F-91252E30DAEA}"/>
    <cellStyle name="Normal 8 2 4 2 2 2 2 3" xfId="15911" xr:uid="{8FE91F3B-8DF1-4EB2-86D2-D1F6045CEAB4}"/>
    <cellStyle name="Normal 8 2 4 2 2 2 3" xfId="19319" xr:uid="{E036E99C-95A7-48D4-97DE-A51689520EA2}"/>
    <cellStyle name="Normal 8 2 4 2 2 2 4" xfId="11698" xr:uid="{2FCD0506-2CE9-4320-98E9-BBF70604C701}"/>
    <cellStyle name="Normal 8 2 4 2 2 3" xfId="5271" xr:uid="{00000000-0005-0000-0000-0000E81C0000}"/>
    <cellStyle name="Normal 8 2 4 2 2 3 2" xfId="21387" xr:uid="{A2FF4C00-882E-477E-845F-36887C560BC7}"/>
    <cellStyle name="Normal 8 2 4 2 2 3 3" xfId="13766" xr:uid="{92567FE4-84A0-4E18-B916-35D2DE31F49B}"/>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23945" xr:uid="{31738B8F-2719-46DE-9291-26A47C8AFD94}"/>
    <cellStyle name="Normal 8 2 4 2 3 2 2 3" xfId="16324" xr:uid="{E81C7A21-A027-4787-A23D-466744195B28}"/>
    <cellStyle name="Normal 8 2 4 2 3 2 3" xfId="19732" xr:uid="{828D4143-40E7-41DD-BABB-5A22F82980BF}"/>
    <cellStyle name="Normal 8 2 4 2 3 2 4" xfId="12111" xr:uid="{923B310C-D9EE-4CD3-960C-8D27F4108F4C}"/>
    <cellStyle name="Normal 8 2 4 2 3 3" xfId="5684" xr:uid="{00000000-0005-0000-0000-0000EC1C0000}"/>
    <cellStyle name="Normal 8 2 4 2 3 3 2" xfId="21800" xr:uid="{8BAD2994-78D5-4235-82E9-F80FE52FD14F}"/>
    <cellStyle name="Normal 8 2 4 2 3 3 3" xfId="14179" xr:uid="{A44498B6-90A0-494F-93FB-8E8F783AFD65}"/>
    <cellStyle name="Normal 8 2 4 2 3 4" xfId="17587" xr:uid="{DECB6FED-9EA7-42FC-A76B-9EE49A7CBAE0}"/>
    <cellStyle name="Normal 8 2 4 2 3 5" xfId="9966" xr:uid="{F37893C7-1416-4B54-AF3A-DF86D15A8D3A}"/>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24358" xr:uid="{4F5B32B9-B495-4A60-BAEC-83AA0DD5DF6B}"/>
    <cellStyle name="Normal 8 2 4 2 4 2 2 3" xfId="16737" xr:uid="{91DAD8B3-4ECE-4B1D-857B-673FF53827FD}"/>
    <cellStyle name="Normal 8 2 4 2 4 2 3" xfId="20145" xr:uid="{A9F8C751-63CF-4071-A00D-57ADA37BE208}"/>
    <cellStyle name="Normal 8 2 4 2 4 2 4" xfId="12524" xr:uid="{89DBF4D3-DB05-43C7-A810-903B019FC266}"/>
    <cellStyle name="Normal 8 2 4 2 4 3" xfId="6097" xr:uid="{00000000-0005-0000-0000-0000F01C0000}"/>
    <cellStyle name="Normal 8 2 4 2 4 3 2" xfId="22213" xr:uid="{0860217D-3AC4-4B2D-B344-D3481476C645}"/>
    <cellStyle name="Normal 8 2 4 2 4 3 3" xfId="14592" xr:uid="{C8B2A41C-0EFA-4DE5-8964-0182A9796226}"/>
    <cellStyle name="Normal 8 2 4 2 4 4" xfId="18000" xr:uid="{4140F057-7B16-4881-8C0F-5FD6757793AA}"/>
    <cellStyle name="Normal 8 2 4 2 4 5" xfId="10379" xr:uid="{805D673A-9E0C-4968-8FB9-C9E267CB8126}"/>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24771" xr:uid="{3B28E6F1-3363-4758-B0A8-807D1D0BE61C}"/>
    <cellStyle name="Normal 8 2 4 2 5 2 2 3" xfId="17150" xr:uid="{56AE5065-E80E-411D-BC65-AC399E2941FE}"/>
    <cellStyle name="Normal 8 2 4 2 5 2 3" xfId="20558" xr:uid="{EF4D6434-5B1D-48DF-8FE6-D2EF57B3E3AC}"/>
    <cellStyle name="Normal 8 2 4 2 5 2 4" xfId="12937" xr:uid="{D968BCC0-5ACC-42B3-BE9C-7264BE706277}"/>
    <cellStyle name="Normal 8 2 4 2 5 3" xfId="6510" xr:uid="{00000000-0005-0000-0000-0000F41C0000}"/>
    <cellStyle name="Normal 8 2 4 2 5 3 2" xfId="22626" xr:uid="{2E8B43A1-E666-41FD-B56A-5C45CDF2E737}"/>
    <cellStyle name="Normal 8 2 4 2 5 3 3" xfId="15005" xr:uid="{F84FE9A7-D42B-4FFE-8FC1-77C61D52142F}"/>
    <cellStyle name="Normal 8 2 4 2 5 4" xfId="18413" xr:uid="{BFCB9D00-806D-4B51-9D64-FA9750EF92DF}"/>
    <cellStyle name="Normal 8 2 4 2 5 5" xfId="10792" xr:uid="{556A8923-0200-48CE-BC72-3FA503938AB8}"/>
    <cellStyle name="Normal 8 2 4 2 6" xfId="2640" xr:uid="{00000000-0005-0000-0000-0000F51C0000}"/>
    <cellStyle name="Normal 8 2 4 2 6 2" xfId="6923" xr:uid="{00000000-0005-0000-0000-0000F61C0000}"/>
    <cellStyle name="Normal 8 2 4 2 6 2 2" xfId="23039" xr:uid="{5C9A238D-7648-47B3-B6C1-1F2D36A6D383}"/>
    <cellStyle name="Normal 8 2 4 2 6 2 3" xfId="15418" xr:uid="{619B828D-4A82-4183-AB1A-601F483DE977}"/>
    <cellStyle name="Normal 8 2 4 2 6 3" xfId="18826" xr:uid="{8F2981F6-EDF2-4834-BD03-EB8C8E10DFE0}"/>
    <cellStyle name="Normal 8 2 4 2 6 4" xfId="11205" xr:uid="{3C411DDA-1AC9-413C-BC81-4F74E5B66ADD}"/>
    <cellStyle name="Normal 8 2 4 2 7" xfId="4858" xr:uid="{00000000-0005-0000-0000-0000F71C0000}"/>
    <cellStyle name="Normal 8 2 4 2 7 2" xfId="20974" xr:uid="{9BBCD11D-BF56-4745-84D0-8E780D487F2A}"/>
    <cellStyle name="Normal 8 2 4 2 7 3" xfId="13353" xr:uid="{93ED91EC-1FB2-4A03-91B2-8A311C025776}"/>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2 2 2" xfId="23531" xr:uid="{2FCB42B3-AEF6-4227-874D-49C7F857D252}"/>
    <cellStyle name="Normal 8 2 4 3 2 2 3" xfId="15910" xr:uid="{51769E44-E144-49DC-B425-1A14FA6B27C5}"/>
    <cellStyle name="Normal 8 2 4 3 2 3" xfId="19318" xr:uid="{3D9D0092-5C18-47AA-87DD-B650BE0FC73C}"/>
    <cellStyle name="Normal 8 2 4 3 2 4" xfId="11697" xr:uid="{3DCF190F-8F21-48A9-8D26-65770463098A}"/>
    <cellStyle name="Normal 8 2 4 3 3" xfId="5270" xr:uid="{00000000-0005-0000-0000-0000FB1C0000}"/>
    <cellStyle name="Normal 8 2 4 3 3 2" xfId="21386" xr:uid="{FB2FC9AD-BECA-4D68-BC95-86738915C560}"/>
    <cellStyle name="Normal 8 2 4 3 3 3" xfId="13765" xr:uid="{B9F866FB-EC09-4253-82C8-91DC247590AD}"/>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2 2 2" xfId="23944" xr:uid="{BF7EBA86-36D1-48AC-A35D-7FFE4384A15F}"/>
    <cellStyle name="Normal 8 2 4 4 2 2 3" xfId="16323" xr:uid="{64B955C3-D6C7-44CD-B9F9-DB7C66134D7A}"/>
    <cellStyle name="Normal 8 2 4 4 2 3" xfId="19731" xr:uid="{A26C252D-AE8B-441E-A26B-C669D41E49F6}"/>
    <cellStyle name="Normal 8 2 4 4 2 4" xfId="12110" xr:uid="{4570DAEB-202D-414B-B7F7-F6E56E4EC9F1}"/>
    <cellStyle name="Normal 8 2 4 4 3" xfId="5683" xr:uid="{00000000-0005-0000-0000-0000FF1C0000}"/>
    <cellStyle name="Normal 8 2 4 4 3 2" xfId="21799" xr:uid="{F877ED73-2C8B-4C5F-B3F4-73CA904425CD}"/>
    <cellStyle name="Normal 8 2 4 4 3 3" xfId="14178" xr:uid="{752A02E0-F5E9-437B-AE39-ACD9A35DE414}"/>
    <cellStyle name="Normal 8 2 4 4 4" xfId="17586" xr:uid="{8113B832-0EA1-4735-92CE-53665A666D79}"/>
    <cellStyle name="Normal 8 2 4 4 5" xfId="9965" xr:uid="{AA29B14F-E9DF-47C9-82DD-2E46B266A3BC}"/>
    <cellStyle name="Normal 8 2 4 5" xfId="1789" xr:uid="{00000000-0005-0000-0000-0000001D0000}"/>
    <cellStyle name="Normal 8 2 4 5 2" xfId="4019" xr:uid="{00000000-0005-0000-0000-0000011D0000}"/>
    <cellStyle name="Normal 8 2 4 5 2 2" xfId="8241" xr:uid="{00000000-0005-0000-0000-0000021D0000}"/>
    <cellStyle name="Normal 8 2 4 5 2 2 2" xfId="24357" xr:uid="{58F718F1-A9D9-4580-8524-ADC6FE16350D}"/>
    <cellStyle name="Normal 8 2 4 5 2 2 3" xfId="16736" xr:uid="{2F8B0FC9-0320-40C1-9116-2312DF0C0415}"/>
    <cellStyle name="Normal 8 2 4 5 2 3" xfId="20144" xr:uid="{8537B51F-D76A-453A-8DA9-36183A560007}"/>
    <cellStyle name="Normal 8 2 4 5 2 4" xfId="12523" xr:uid="{5E2D6706-7D22-4DE6-8C7F-FB9E5A8A9C35}"/>
    <cellStyle name="Normal 8 2 4 5 3" xfId="6096" xr:uid="{00000000-0005-0000-0000-0000031D0000}"/>
    <cellStyle name="Normal 8 2 4 5 3 2" xfId="22212" xr:uid="{B63B5DB6-5C7D-4F3F-8EFC-8E31373A20F0}"/>
    <cellStyle name="Normal 8 2 4 5 3 3" xfId="14591" xr:uid="{E92568F1-9519-488F-9341-5378F44D5B83}"/>
    <cellStyle name="Normal 8 2 4 5 4" xfId="17999" xr:uid="{169F5CC4-464A-43A0-9C64-44A3B8FA8C2D}"/>
    <cellStyle name="Normal 8 2 4 5 5" xfId="10378" xr:uid="{785F8E23-59A5-43E1-B10B-1140EAC4519C}"/>
    <cellStyle name="Normal 8 2 4 6" xfId="2203" xr:uid="{00000000-0005-0000-0000-0000041D0000}"/>
    <cellStyle name="Normal 8 2 4 6 2" xfId="4432" xr:uid="{00000000-0005-0000-0000-0000051D0000}"/>
    <cellStyle name="Normal 8 2 4 6 2 2" xfId="8654" xr:uid="{00000000-0005-0000-0000-0000061D0000}"/>
    <cellStyle name="Normal 8 2 4 6 2 2 2" xfId="24770" xr:uid="{18613F08-7230-487B-B992-499B85FA3CDB}"/>
    <cellStyle name="Normal 8 2 4 6 2 2 3" xfId="17149" xr:uid="{29030CEF-BF9A-4BAC-98B1-4A1C2943A75B}"/>
    <cellStyle name="Normal 8 2 4 6 2 3" xfId="20557" xr:uid="{2B3DC93B-BB8C-43B5-8483-8C62974BB123}"/>
    <cellStyle name="Normal 8 2 4 6 2 4" xfId="12936" xr:uid="{40C54A30-9079-4710-AF9B-E1A66DAE5447}"/>
    <cellStyle name="Normal 8 2 4 6 3" xfId="6509" xr:uid="{00000000-0005-0000-0000-0000071D0000}"/>
    <cellStyle name="Normal 8 2 4 6 3 2" xfId="22625" xr:uid="{24C6AD21-6E11-477F-B6FE-DC35549B1D51}"/>
    <cellStyle name="Normal 8 2 4 6 3 3" xfId="15004" xr:uid="{3F474F23-1591-405A-94BD-887B64B5D75E}"/>
    <cellStyle name="Normal 8 2 4 6 4" xfId="18412" xr:uid="{075736C1-E5D4-4C7D-828D-ECA59747673B}"/>
    <cellStyle name="Normal 8 2 4 6 5" xfId="10791" xr:uid="{9F6B4E72-B43B-440D-8DEE-94395924335A}"/>
    <cellStyle name="Normal 8 2 4 7" xfId="2639" xr:uid="{00000000-0005-0000-0000-0000081D0000}"/>
    <cellStyle name="Normal 8 2 4 7 2" xfId="6922" xr:uid="{00000000-0005-0000-0000-0000091D0000}"/>
    <cellStyle name="Normal 8 2 4 7 2 2" xfId="23038" xr:uid="{422A12A5-921D-4244-9908-DEAA406AD704}"/>
    <cellStyle name="Normal 8 2 4 7 2 3" xfId="15417" xr:uid="{C8E4D04C-649E-4EF1-87F6-34884981DAA9}"/>
    <cellStyle name="Normal 8 2 4 7 3" xfId="18825" xr:uid="{4DAF96D5-3F4D-454A-9678-51255D73B10F}"/>
    <cellStyle name="Normal 8 2 4 7 4" xfId="11204" xr:uid="{6991A0DC-B4E0-4A37-9385-EE6C3E4DE0CD}"/>
    <cellStyle name="Normal 8 2 4 8" xfId="4857" xr:uid="{00000000-0005-0000-0000-00000A1D0000}"/>
    <cellStyle name="Normal 8 2 4 8 2" xfId="20973" xr:uid="{495D4168-1177-4BC8-807F-90347AD04529}"/>
    <cellStyle name="Normal 8 2 4 8 3" xfId="13352" xr:uid="{D235D2F0-FA8A-4B72-B88E-5C7ADD1D8C61}"/>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23533" xr:uid="{C6F3234F-FFBB-4A47-BB89-BE2196144197}"/>
    <cellStyle name="Normal 8 2 5 2 2 2 3" xfId="15912" xr:uid="{C0EBB523-28BD-4337-8BE5-1E560794118E}"/>
    <cellStyle name="Normal 8 2 5 2 2 3" xfId="19320" xr:uid="{63437727-DAD5-4BC9-BC58-03CC4F8B621A}"/>
    <cellStyle name="Normal 8 2 5 2 2 4" xfId="11699" xr:uid="{AE2D3C24-F3D2-4766-85EB-79110A0FA49C}"/>
    <cellStyle name="Normal 8 2 5 2 3" xfId="5272" xr:uid="{00000000-0005-0000-0000-00000F1D0000}"/>
    <cellStyle name="Normal 8 2 5 2 3 2" xfId="21388" xr:uid="{18CBD3B4-8B25-4BD1-B19D-CEDDA0DBB0EB}"/>
    <cellStyle name="Normal 8 2 5 2 3 3" xfId="13767" xr:uid="{BB9749D9-69F3-4920-B0AE-D18CC40E8542}"/>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2 2 2" xfId="23946" xr:uid="{593D00B3-0919-44EB-90C5-550BD5BAD500}"/>
    <cellStyle name="Normal 8 2 5 3 2 2 3" xfId="16325" xr:uid="{18B7D020-A88B-46B8-9D90-B6FF2CCFFFA6}"/>
    <cellStyle name="Normal 8 2 5 3 2 3" xfId="19733" xr:uid="{996A80D0-AE46-4827-A0AB-C524DF5DEC27}"/>
    <cellStyle name="Normal 8 2 5 3 2 4" xfId="12112" xr:uid="{19513CE7-0EF3-4877-8195-E63BCBE387DD}"/>
    <cellStyle name="Normal 8 2 5 3 3" xfId="5685" xr:uid="{00000000-0005-0000-0000-0000131D0000}"/>
    <cellStyle name="Normal 8 2 5 3 3 2" xfId="21801" xr:uid="{F83C2D9A-DEDD-45DC-B2C6-04D0463C1138}"/>
    <cellStyle name="Normal 8 2 5 3 3 3" xfId="14180" xr:uid="{A79E0B1C-ED7C-455F-8A74-17DE3AA6E927}"/>
    <cellStyle name="Normal 8 2 5 3 4" xfId="17588" xr:uid="{79B72BA6-9264-4B4F-BB46-8B43B1FF3F1F}"/>
    <cellStyle name="Normal 8 2 5 3 5" xfId="9967" xr:uid="{8DB9B335-5F93-4DFD-91EE-733513F1C0C1}"/>
    <cellStyle name="Normal 8 2 5 4" xfId="1791" xr:uid="{00000000-0005-0000-0000-0000141D0000}"/>
    <cellStyle name="Normal 8 2 5 4 2" xfId="4021" xr:uid="{00000000-0005-0000-0000-0000151D0000}"/>
    <cellStyle name="Normal 8 2 5 4 2 2" xfId="8243" xr:uid="{00000000-0005-0000-0000-0000161D0000}"/>
    <cellStyle name="Normal 8 2 5 4 2 2 2" xfId="24359" xr:uid="{F588AADD-A46F-45DF-B491-27F9880CBC1C}"/>
    <cellStyle name="Normal 8 2 5 4 2 2 3" xfId="16738" xr:uid="{8677512C-F50E-41C7-9808-713A98747C3B}"/>
    <cellStyle name="Normal 8 2 5 4 2 3" xfId="20146" xr:uid="{F9EBEAE5-8974-4184-BF9F-63CFB98E14B2}"/>
    <cellStyle name="Normal 8 2 5 4 2 4" xfId="12525" xr:uid="{F5F3723A-0197-481A-870C-4F0176CB1606}"/>
    <cellStyle name="Normal 8 2 5 4 3" xfId="6098" xr:uid="{00000000-0005-0000-0000-0000171D0000}"/>
    <cellStyle name="Normal 8 2 5 4 3 2" xfId="22214" xr:uid="{65A7EEB1-7874-47BA-8873-A978B07BE78B}"/>
    <cellStyle name="Normal 8 2 5 4 3 3" xfId="14593" xr:uid="{9BB42EC3-257C-4137-AD02-81F384EC92B8}"/>
    <cellStyle name="Normal 8 2 5 4 4" xfId="18001" xr:uid="{E1883409-0B2E-4977-8FFB-0B8729214B35}"/>
    <cellStyle name="Normal 8 2 5 4 5" xfId="10380" xr:uid="{48ABB413-47CF-48C5-9E5B-61DBC2E86521}"/>
    <cellStyle name="Normal 8 2 5 5" xfId="2205" xr:uid="{00000000-0005-0000-0000-0000181D0000}"/>
    <cellStyle name="Normal 8 2 5 5 2" xfId="4434" xr:uid="{00000000-0005-0000-0000-0000191D0000}"/>
    <cellStyle name="Normal 8 2 5 5 2 2" xfId="8656" xr:uid="{00000000-0005-0000-0000-00001A1D0000}"/>
    <cellStyle name="Normal 8 2 5 5 2 2 2" xfId="24772" xr:uid="{99372C5E-6603-419D-80C4-FB2EF7680DF5}"/>
    <cellStyle name="Normal 8 2 5 5 2 2 3" xfId="17151" xr:uid="{DB0F75A9-A218-4F9C-B1D0-5CD90D25C6EC}"/>
    <cellStyle name="Normal 8 2 5 5 2 3" xfId="20559" xr:uid="{71CBDDC1-6C71-4619-B011-00703C45C16D}"/>
    <cellStyle name="Normal 8 2 5 5 2 4" xfId="12938" xr:uid="{408283BB-9959-48A4-9015-0948BA381140}"/>
    <cellStyle name="Normal 8 2 5 5 3" xfId="6511" xr:uid="{00000000-0005-0000-0000-00001B1D0000}"/>
    <cellStyle name="Normal 8 2 5 5 3 2" xfId="22627" xr:uid="{F1836BF8-4B5D-4079-BA8C-42BB2B3D4C4B}"/>
    <cellStyle name="Normal 8 2 5 5 3 3" xfId="15006" xr:uid="{2838D2EF-7EF8-4251-9A89-FEEBDB5E3E1F}"/>
    <cellStyle name="Normal 8 2 5 5 4" xfId="18414" xr:uid="{03E08B2F-6D7B-4CC4-914F-A39FD57B3373}"/>
    <cellStyle name="Normal 8 2 5 5 5" xfId="10793" xr:uid="{FF0B46B5-EB77-453D-B50F-42E6091EF549}"/>
    <cellStyle name="Normal 8 2 5 6" xfId="2641" xr:uid="{00000000-0005-0000-0000-00001C1D0000}"/>
    <cellStyle name="Normal 8 2 5 6 2" xfId="6924" xr:uid="{00000000-0005-0000-0000-00001D1D0000}"/>
    <cellStyle name="Normal 8 2 5 6 2 2" xfId="23040" xr:uid="{988EE6A8-DE93-4205-8DA5-CD889CED9CA2}"/>
    <cellStyle name="Normal 8 2 5 6 2 3" xfId="15419" xr:uid="{F084D030-B4C2-4AA1-ABCF-2A9AC4D34C30}"/>
    <cellStyle name="Normal 8 2 5 6 3" xfId="18827" xr:uid="{BFD56B1E-5B7F-4322-B54C-6EBE2707E081}"/>
    <cellStyle name="Normal 8 2 5 6 4" xfId="11206" xr:uid="{B80AF2B3-F16A-479C-B651-A64E04386F1E}"/>
    <cellStyle name="Normal 8 2 5 7" xfId="4859" xr:uid="{00000000-0005-0000-0000-00001E1D0000}"/>
    <cellStyle name="Normal 8 2 5 7 2" xfId="20975" xr:uid="{DBEE20F7-D367-4448-8340-8D008ABFC1B3}"/>
    <cellStyle name="Normal 8 2 5 7 3" xfId="13354" xr:uid="{477F503D-73A5-4658-96A4-B5214FA5878B}"/>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2 2 2" xfId="23518" xr:uid="{780D3370-08D5-4ECA-A614-0F33794269B0}"/>
    <cellStyle name="Normal 8 2 6 2 2 3" xfId="15897" xr:uid="{77414EA7-8027-44CF-88E0-0C55949DCA9C}"/>
    <cellStyle name="Normal 8 2 6 2 3" xfId="19305" xr:uid="{BD8A387C-F0E0-46AA-A40A-5F4392DE5351}"/>
    <cellStyle name="Normal 8 2 6 2 4" xfId="11684" xr:uid="{63E6A816-2A91-4C22-83BF-E84FF5EECFDB}"/>
    <cellStyle name="Normal 8 2 6 3" xfId="5257" xr:uid="{00000000-0005-0000-0000-0000221D0000}"/>
    <cellStyle name="Normal 8 2 6 3 2" xfId="21373" xr:uid="{9DAF0CCA-BAE9-44F4-A0B9-5E477B05FFAA}"/>
    <cellStyle name="Normal 8 2 6 3 3" xfId="13752" xr:uid="{AFE7DBDF-2C38-40A2-8A86-E35CF7EBF1E3}"/>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2 2 2" xfId="23931" xr:uid="{71F1F018-E986-4D60-BF22-01547341F906}"/>
    <cellStyle name="Normal 8 2 7 2 2 3" xfId="16310" xr:uid="{C91A9C4A-2FC2-409D-AD3B-53136A85D396}"/>
    <cellStyle name="Normal 8 2 7 2 3" xfId="19718" xr:uid="{F3D59B07-5247-49DC-ADB8-C5E70D75FCC4}"/>
    <cellStyle name="Normal 8 2 7 2 4" xfId="12097" xr:uid="{B5033701-EB37-4168-B17C-28BF1E747E47}"/>
    <cellStyle name="Normal 8 2 7 3" xfId="5670" xr:uid="{00000000-0005-0000-0000-0000261D0000}"/>
    <cellStyle name="Normal 8 2 7 3 2" xfId="21786" xr:uid="{F8D2C648-726D-43C5-99DE-8E6AF6511B29}"/>
    <cellStyle name="Normal 8 2 7 3 3" xfId="14165" xr:uid="{2EDBDFF7-B4D5-4324-A882-185DE6808BF0}"/>
    <cellStyle name="Normal 8 2 7 4" xfId="17573" xr:uid="{39D47A9C-36B7-4C6F-A3B1-8A8800331F53}"/>
    <cellStyle name="Normal 8 2 7 5" xfId="9952" xr:uid="{0E595CE1-D12C-47EF-97CA-ADB614715671}"/>
    <cellStyle name="Normal 8 2 8" xfId="1776" xr:uid="{00000000-0005-0000-0000-0000271D0000}"/>
    <cellStyle name="Normal 8 2 8 2" xfId="4006" xr:uid="{00000000-0005-0000-0000-0000281D0000}"/>
    <cellStyle name="Normal 8 2 8 2 2" xfId="8228" xr:uid="{00000000-0005-0000-0000-0000291D0000}"/>
    <cellStyle name="Normal 8 2 8 2 2 2" xfId="24344" xr:uid="{8F1F7161-4BAE-498A-BFA6-6EB4D15FF358}"/>
    <cellStyle name="Normal 8 2 8 2 2 3" xfId="16723" xr:uid="{6CA2B2E2-27A0-4363-BC0F-ED954913EE1B}"/>
    <cellStyle name="Normal 8 2 8 2 3" xfId="20131" xr:uid="{E22D8FA2-716E-4044-9097-76895105F67B}"/>
    <cellStyle name="Normal 8 2 8 2 4" xfId="12510" xr:uid="{DB09F52E-466F-4AD7-8A09-0AE32F9E3F7A}"/>
    <cellStyle name="Normal 8 2 8 3" xfId="6083" xr:uid="{00000000-0005-0000-0000-00002A1D0000}"/>
    <cellStyle name="Normal 8 2 8 3 2" xfId="22199" xr:uid="{127F52AA-DA54-43B9-B609-3D257612527D}"/>
    <cellStyle name="Normal 8 2 8 3 3" xfId="14578" xr:uid="{36631D67-D70F-45EB-B8B5-ADC54446D0E9}"/>
    <cellStyle name="Normal 8 2 8 4" xfId="17986" xr:uid="{C5AB8757-729F-42AB-832D-3427A5E5EA90}"/>
    <cellStyle name="Normal 8 2 8 5" xfId="10365" xr:uid="{8663045C-D45A-4DDA-9087-DFAE8C347A63}"/>
    <cellStyle name="Normal 8 2 9" xfId="2190" xr:uid="{00000000-0005-0000-0000-00002B1D0000}"/>
    <cellStyle name="Normal 8 2 9 2" xfId="4419" xr:uid="{00000000-0005-0000-0000-00002C1D0000}"/>
    <cellStyle name="Normal 8 2 9 2 2" xfId="8641" xr:uid="{00000000-0005-0000-0000-00002D1D0000}"/>
    <cellStyle name="Normal 8 2 9 2 2 2" xfId="24757" xr:uid="{9FCEDD7E-4A95-421B-89A0-5DFB3A571D3A}"/>
    <cellStyle name="Normal 8 2 9 2 2 3" xfId="17136" xr:uid="{614D4D50-A649-4CFD-996B-94B88FF0A619}"/>
    <cellStyle name="Normal 8 2 9 2 3" xfId="20544" xr:uid="{82D596EB-9767-46B9-8B98-06A821DD3381}"/>
    <cellStyle name="Normal 8 2 9 2 4" xfId="12923" xr:uid="{9B33D4C6-1383-4D63-8B36-DC5D0931F937}"/>
    <cellStyle name="Normal 8 2 9 3" xfId="6496" xr:uid="{00000000-0005-0000-0000-00002E1D0000}"/>
    <cellStyle name="Normal 8 2 9 3 2" xfId="22612" xr:uid="{6D870AFA-A2A1-42A5-9C6D-A24B7954F7D9}"/>
    <cellStyle name="Normal 8 2 9 3 3" xfId="14991" xr:uid="{177EF389-87AB-49AF-BEA1-C0BFAD7604CA}"/>
    <cellStyle name="Normal 8 2 9 4" xfId="18399" xr:uid="{5E9C9B5A-F6C2-4C32-9A4A-ACE97C3CA422}"/>
    <cellStyle name="Normal 8 2 9 5" xfId="10778" xr:uid="{96AA149F-67E7-4943-ABD4-9167C0D3875D}"/>
    <cellStyle name="Normal 8 3" xfId="495" xr:uid="{00000000-0005-0000-0000-00002F1D0000}"/>
    <cellStyle name="Normal 8 3 10" xfId="4860" xr:uid="{00000000-0005-0000-0000-0000301D0000}"/>
    <cellStyle name="Normal 8 3 10 2" xfId="20976" xr:uid="{4E7F9530-4BB9-4471-B692-7041C26AA652}"/>
    <cellStyle name="Normal 8 3 10 3" xfId="13355" xr:uid="{269F04A3-465F-4A8D-B4AF-316FA43E12F8}"/>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23537" xr:uid="{9492EFE2-E3EA-438F-8254-0C00124A9E0D}"/>
    <cellStyle name="Normal 8 3 2 2 2 2 2 2 3" xfId="15916" xr:uid="{41DC458C-A84E-4651-9BDC-7405F5EFB032}"/>
    <cellStyle name="Normal 8 3 2 2 2 2 2 3" xfId="19324" xr:uid="{F6F3317A-248E-4BBD-8534-2928191FADBE}"/>
    <cellStyle name="Normal 8 3 2 2 2 2 2 4" xfId="11703" xr:uid="{80F80B8E-7577-48DB-9EB7-298579608CFA}"/>
    <cellStyle name="Normal 8 3 2 2 2 2 3" xfId="5276" xr:uid="{00000000-0005-0000-0000-0000371D0000}"/>
    <cellStyle name="Normal 8 3 2 2 2 2 3 2" xfId="21392" xr:uid="{1E0246B9-C10D-4F25-ACF0-EE5D3F6BEFC6}"/>
    <cellStyle name="Normal 8 3 2 2 2 2 3 3" xfId="13771" xr:uid="{B7DE49F3-87CE-4AB1-88FC-FA4FB8F2239E}"/>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23950" xr:uid="{57916D40-34AB-4A40-82D7-2705C712BD0E}"/>
    <cellStyle name="Normal 8 3 2 2 2 3 2 2 3" xfId="16329" xr:uid="{DEC415A1-AB65-418F-9A9C-06EA3267E78C}"/>
    <cellStyle name="Normal 8 3 2 2 2 3 2 3" xfId="19737" xr:uid="{6739F5EC-EDDB-4DCB-8F03-CC165ADC78C8}"/>
    <cellStyle name="Normal 8 3 2 2 2 3 2 4" xfId="12116" xr:uid="{76C04669-366E-4A3B-A79B-CA405C4F8359}"/>
    <cellStyle name="Normal 8 3 2 2 2 3 3" xfId="5689" xr:uid="{00000000-0005-0000-0000-00003B1D0000}"/>
    <cellStyle name="Normal 8 3 2 2 2 3 3 2" xfId="21805" xr:uid="{2AD979A8-F798-43DC-8BDF-BBE01999988E}"/>
    <cellStyle name="Normal 8 3 2 2 2 3 3 3" xfId="14184" xr:uid="{5665B163-CCDC-4989-A94C-9029F6B8BCF7}"/>
    <cellStyle name="Normal 8 3 2 2 2 3 4" xfId="17592" xr:uid="{3EE99C4B-0FD1-4254-8039-F25C0FF45D33}"/>
    <cellStyle name="Normal 8 3 2 2 2 3 5" xfId="9971" xr:uid="{B14E77F2-91E9-46D1-8359-656AE9D9B6C1}"/>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24363" xr:uid="{DBD9279A-7108-43C6-8608-8AE6FD1019B8}"/>
    <cellStyle name="Normal 8 3 2 2 2 4 2 2 3" xfId="16742" xr:uid="{1E48D636-D58A-4405-B465-96D3215CB06F}"/>
    <cellStyle name="Normal 8 3 2 2 2 4 2 3" xfId="20150" xr:uid="{1A974BBC-BE3D-4DE1-A819-8E2549E596F9}"/>
    <cellStyle name="Normal 8 3 2 2 2 4 2 4" xfId="12529" xr:uid="{0C6A1233-456B-4201-8EB8-BB9ED1DA92D9}"/>
    <cellStyle name="Normal 8 3 2 2 2 4 3" xfId="6102" xr:uid="{00000000-0005-0000-0000-00003F1D0000}"/>
    <cellStyle name="Normal 8 3 2 2 2 4 3 2" xfId="22218" xr:uid="{F43225C7-4C28-4C61-85ED-F132CEC22BEC}"/>
    <cellStyle name="Normal 8 3 2 2 2 4 3 3" xfId="14597" xr:uid="{077CDA49-EB8C-484C-82AC-E4B0202A8A3E}"/>
    <cellStyle name="Normal 8 3 2 2 2 4 4" xfId="18005" xr:uid="{6ED1BB95-347A-44D2-8254-0ACC250A73E0}"/>
    <cellStyle name="Normal 8 3 2 2 2 4 5" xfId="10384" xr:uid="{37ABC4BD-6E25-4E13-9ACA-A4776FC025EF}"/>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24776" xr:uid="{ABD1CEF7-315D-49FE-A141-29AD5F8B9105}"/>
    <cellStyle name="Normal 8 3 2 2 2 5 2 2 3" xfId="17155" xr:uid="{D520FCA9-9987-4FE1-868B-356C14EBE46B}"/>
    <cellStyle name="Normal 8 3 2 2 2 5 2 3" xfId="20563" xr:uid="{F9AA31A2-B48C-4F4E-9653-0495CA8642E6}"/>
    <cellStyle name="Normal 8 3 2 2 2 5 2 4" xfId="12942" xr:uid="{08DFDC51-9851-4334-AFB9-F46C390CC0A6}"/>
    <cellStyle name="Normal 8 3 2 2 2 5 3" xfId="6515" xr:uid="{00000000-0005-0000-0000-0000431D0000}"/>
    <cellStyle name="Normal 8 3 2 2 2 5 3 2" xfId="22631" xr:uid="{51C72853-DB07-4098-80B4-71268972811D}"/>
    <cellStyle name="Normal 8 3 2 2 2 5 3 3" xfId="15010" xr:uid="{98FA9F11-4029-4CDC-9699-36C5CEA70ECA}"/>
    <cellStyle name="Normal 8 3 2 2 2 5 4" xfId="18418" xr:uid="{3F125F48-44D7-467A-A8E0-80AE576F1E2B}"/>
    <cellStyle name="Normal 8 3 2 2 2 5 5" xfId="10797" xr:uid="{24A32CF1-E1D3-4406-BA20-04B4CE90BED2}"/>
    <cellStyle name="Normal 8 3 2 2 2 6" xfId="2645" xr:uid="{00000000-0005-0000-0000-0000441D0000}"/>
    <cellStyle name="Normal 8 3 2 2 2 6 2" xfId="6928" xr:uid="{00000000-0005-0000-0000-0000451D0000}"/>
    <cellStyle name="Normal 8 3 2 2 2 6 2 2" xfId="23044" xr:uid="{21BD84D2-30EE-4E68-B555-B1749E284FB0}"/>
    <cellStyle name="Normal 8 3 2 2 2 6 2 3" xfId="15423" xr:uid="{42395E1A-CE9F-4832-A589-9C35E41E7E60}"/>
    <cellStyle name="Normal 8 3 2 2 2 6 3" xfId="18831" xr:uid="{BF70F400-8E73-4C8F-8A03-A2E1E9FFAB19}"/>
    <cellStyle name="Normal 8 3 2 2 2 6 4" xfId="11210" xr:uid="{9B49FB66-0DBB-4264-BB02-11B11E0524CC}"/>
    <cellStyle name="Normal 8 3 2 2 2 7" xfId="4863" xr:uid="{00000000-0005-0000-0000-0000461D0000}"/>
    <cellStyle name="Normal 8 3 2 2 2 7 2" xfId="20979" xr:uid="{04ACF807-5F83-48F6-895E-98A961A7DE49}"/>
    <cellStyle name="Normal 8 3 2 2 2 7 3" xfId="13358" xr:uid="{285CFB6D-0D0D-459C-B6D2-76A625D96A38}"/>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23536" xr:uid="{A7A085F4-7928-440D-BFFF-F0D29A73FBEC}"/>
    <cellStyle name="Normal 8 3 2 2 3 2 2 3" xfId="15915" xr:uid="{B82D6941-E6D9-41E5-821A-565E97CCAAB0}"/>
    <cellStyle name="Normal 8 3 2 2 3 2 3" xfId="19323" xr:uid="{D4E4ADA2-50D4-499B-915D-9B59F91FB42A}"/>
    <cellStyle name="Normal 8 3 2 2 3 2 4" xfId="11702" xr:uid="{DF49C93B-7B8F-4000-93F4-22A2ACF1C35F}"/>
    <cellStyle name="Normal 8 3 2 2 3 3" xfId="5275" xr:uid="{00000000-0005-0000-0000-00004A1D0000}"/>
    <cellStyle name="Normal 8 3 2 2 3 3 2" xfId="21391" xr:uid="{C37B8E77-E387-4904-9F74-D9C5C9731E73}"/>
    <cellStyle name="Normal 8 3 2 2 3 3 3" xfId="13770" xr:uid="{E6BC2EAC-7F4D-4E17-B1B5-E9EF7D4DC594}"/>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23949" xr:uid="{FD3C1283-3BFE-4B7C-A931-E2EB65CA46CD}"/>
    <cellStyle name="Normal 8 3 2 2 4 2 2 3" xfId="16328" xr:uid="{33B2B9E1-D95B-499B-9FD7-17E336A3BC2B}"/>
    <cellStyle name="Normal 8 3 2 2 4 2 3" xfId="19736" xr:uid="{648A5FC0-A3D2-4777-98FB-BC20D1DB6FDF}"/>
    <cellStyle name="Normal 8 3 2 2 4 2 4" xfId="12115" xr:uid="{D4803608-5577-47C9-B63A-7876E8D76442}"/>
    <cellStyle name="Normal 8 3 2 2 4 3" xfId="5688" xr:uid="{00000000-0005-0000-0000-00004E1D0000}"/>
    <cellStyle name="Normal 8 3 2 2 4 3 2" xfId="21804" xr:uid="{7113D701-6425-4A9B-B860-E85DC66C5A0C}"/>
    <cellStyle name="Normal 8 3 2 2 4 3 3" xfId="14183" xr:uid="{DA7B06DB-E08C-4E40-852D-265A12FC698F}"/>
    <cellStyle name="Normal 8 3 2 2 4 4" xfId="17591" xr:uid="{511F653F-3C81-4085-B568-B7CAFA76F506}"/>
    <cellStyle name="Normal 8 3 2 2 4 5" xfId="9970" xr:uid="{C22F567C-5462-4191-9716-E0A06F120D42}"/>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24362" xr:uid="{6BF16A0D-7FEA-4F29-A6E3-AA2B9031FCC2}"/>
    <cellStyle name="Normal 8 3 2 2 5 2 2 3" xfId="16741" xr:uid="{9BECA158-BF7C-4A2F-A587-9B2FE7A0FE00}"/>
    <cellStyle name="Normal 8 3 2 2 5 2 3" xfId="20149" xr:uid="{E73FBDA2-A0C8-438D-9055-A9865E825E4B}"/>
    <cellStyle name="Normal 8 3 2 2 5 2 4" xfId="12528" xr:uid="{1152CFB1-B6AD-4FD6-B66A-5A4E39F9DC05}"/>
    <cellStyle name="Normal 8 3 2 2 5 3" xfId="6101" xr:uid="{00000000-0005-0000-0000-0000521D0000}"/>
    <cellStyle name="Normal 8 3 2 2 5 3 2" xfId="22217" xr:uid="{4B1BCD2B-0038-45AE-A1BB-5B040811FE33}"/>
    <cellStyle name="Normal 8 3 2 2 5 3 3" xfId="14596" xr:uid="{E9E98276-B6AD-4A8D-8F8B-82AC4E59D4E4}"/>
    <cellStyle name="Normal 8 3 2 2 5 4" xfId="18004" xr:uid="{21186F5E-8430-4DF7-A417-DEB5902CE339}"/>
    <cellStyle name="Normal 8 3 2 2 5 5" xfId="10383" xr:uid="{66A3F0AB-F517-4D0F-B735-360D1510F9D9}"/>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24775" xr:uid="{605FCA10-F1DA-44F0-8665-49BEDC2A9C0D}"/>
    <cellStyle name="Normal 8 3 2 2 6 2 2 3" xfId="17154" xr:uid="{203201F6-A319-49D6-8547-297E68190344}"/>
    <cellStyle name="Normal 8 3 2 2 6 2 3" xfId="20562" xr:uid="{64434024-FF09-4688-B950-5064D347C923}"/>
    <cellStyle name="Normal 8 3 2 2 6 2 4" xfId="12941" xr:uid="{CF0C4CBE-6425-4A46-8BC5-B24B44C9A1F2}"/>
    <cellStyle name="Normal 8 3 2 2 6 3" xfId="6514" xr:uid="{00000000-0005-0000-0000-0000561D0000}"/>
    <cellStyle name="Normal 8 3 2 2 6 3 2" xfId="22630" xr:uid="{4C9A541A-E01A-461D-9EF8-67FFAE74E8E3}"/>
    <cellStyle name="Normal 8 3 2 2 6 3 3" xfId="15009" xr:uid="{8FD13FC0-3D13-4C7C-BB29-5050EB391722}"/>
    <cellStyle name="Normal 8 3 2 2 6 4" xfId="18417" xr:uid="{CE378B7E-29A1-4861-803B-7B7EF98B195D}"/>
    <cellStyle name="Normal 8 3 2 2 6 5" xfId="10796" xr:uid="{44302C45-8B39-458B-8B26-6DE082125CD1}"/>
    <cellStyle name="Normal 8 3 2 2 7" xfId="2644" xr:uid="{00000000-0005-0000-0000-0000571D0000}"/>
    <cellStyle name="Normal 8 3 2 2 7 2" xfId="6927" xr:uid="{00000000-0005-0000-0000-0000581D0000}"/>
    <cellStyle name="Normal 8 3 2 2 7 2 2" xfId="23043" xr:uid="{DDB47BED-650A-4B8E-A104-CCC1D0F1F74A}"/>
    <cellStyle name="Normal 8 3 2 2 7 2 3" xfId="15422" xr:uid="{6780777A-2A03-4B3F-9B1C-E533119B51C0}"/>
    <cellStyle name="Normal 8 3 2 2 7 3" xfId="18830" xr:uid="{D93ACBD8-A0BC-4AB4-B5AC-C7D45C8B0D09}"/>
    <cellStyle name="Normal 8 3 2 2 7 4" xfId="11209" xr:uid="{AEF89FE7-2FBF-44E8-8BAE-125065FBA7BD}"/>
    <cellStyle name="Normal 8 3 2 2 8" xfId="4862" xr:uid="{00000000-0005-0000-0000-0000591D0000}"/>
    <cellStyle name="Normal 8 3 2 2 8 2" xfId="20978" xr:uid="{EEEC884B-D60A-4CEC-BD82-8E56C59E3484}"/>
    <cellStyle name="Normal 8 3 2 2 8 3" xfId="13357" xr:uid="{70676A76-2844-46EC-B1BA-D9F2EE358E8E}"/>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23538" xr:uid="{2642FC6F-265B-4B2C-B9BC-19051224E27C}"/>
    <cellStyle name="Normal 8 3 2 3 2 2 2 3" xfId="15917" xr:uid="{893A5C04-81A6-4348-B628-6ABD3871F6B7}"/>
    <cellStyle name="Normal 8 3 2 3 2 2 3" xfId="19325" xr:uid="{AC01A0B1-B1C0-4FAF-B8B4-58E8C3A39FEA}"/>
    <cellStyle name="Normal 8 3 2 3 2 2 4" xfId="11704" xr:uid="{5B93C46E-B52D-4F48-BA1D-1F457638A990}"/>
    <cellStyle name="Normal 8 3 2 3 2 3" xfId="5277" xr:uid="{00000000-0005-0000-0000-00005E1D0000}"/>
    <cellStyle name="Normal 8 3 2 3 2 3 2" xfId="21393" xr:uid="{806E8DF7-7782-4815-B0FB-6821E4138A8D}"/>
    <cellStyle name="Normal 8 3 2 3 2 3 3" xfId="13772" xr:uid="{4CD0F1AC-4590-4DF3-A331-09D12D426AB9}"/>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23951" xr:uid="{C2D2FE4D-0483-4668-872E-8FD491DA23CA}"/>
    <cellStyle name="Normal 8 3 2 3 3 2 2 3" xfId="16330" xr:uid="{80D363AD-3F0E-4462-B9A8-6DDA8A1E8582}"/>
    <cellStyle name="Normal 8 3 2 3 3 2 3" xfId="19738" xr:uid="{3A452010-C979-4E85-9DB2-04D96E04B83D}"/>
    <cellStyle name="Normal 8 3 2 3 3 2 4" xfId="12117" xr:uid="{27821633-CC57-4E29-B9F3-C7029E2A6193}"/>
    <cellStyle name="Normal 8 3 2 3 3 3" xfId="5690" xr:uid="{00000000-0005-0000-0000-0000621D0000}"/>
    <cellStyle name="Normal 8 3 2 3 3 3 2" xfId="21806" xr:uid="{581F44A7-46AE-445C-AFA9-727CC8188259}"/>
    <cellStyle name="Normal 8 3 2 3 3 3 3" xfId="14185" xr:uid="{29D53664-3B4D-44FC-AF6D-37E49509B33F}"/>
    <cellStyle name="Normal 8 3 2 3 3 4" xfId="17593" xr:uid="{7B6C8CB5-203B-4275-90FB-62E9BE4E4299}"/>
    <cellStyle name="Normal 8 3 2 3 3 5" xfId="9972" xr:uid="{E51FD5E0-5E90-491D-8BBF-09B5E8127B2F}"/>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24364" xr:uid="{BA5B0BAF-947E-4B52-A8F2-CA39DEA067EC}"/>
    <cellStyle name="Normal 8 3 2 3 4 2 2 3" xfId="16743" xr:uid="{62924F89-F6A9-4287-8648-F77D41B1808C}"/>
    <cellStyle name="Normal 8 3 2 3 4 2 3" xfId="20151" xr:uid="{23811CCB-B9D3-49F6-9A07-D766377B99ED}"/>
    <cellStyle name="Normal 8 3 2 3 4 2 4" xfId="12530" xr:uid="{6A90AD26-6C92-4088-9F8D-67A47DDDB40A}"/>
    <cellStyle name="Normal 8 3 2 3 4 3" xfId="6103" xr:uid="{00000000-0005-0000-0000-0000661D0000}"/>
    <cellStyle name="Normal 8 3 2 3 4 3 2" xfId="22219" xr:uid="{4CCC3179-1C66-4BA3-A2FD-400C58D25BD0}"/>
    <cellStyle name="Normal 8 3 2 3 4 3 3" xfId="14598" xr:uid="{79B854C5-9384-41FD-B514-BAB63BAB0DDD}"/>
    <cellStyle name="Normal 8 3 2 3 4 4" xfId="18006" xr:uid="{3AE50001-894C-4523-AF8E-D8C8D4DBA254}"/>
    <cellStyle name="Normal 8 3 2 3 4 5" xfId="10385" xr:uid="{74A73B7D-66AC-4B6C-9B60-5FE603F54D7F}"/>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24777" xr:uid="{4444D1E1-D1D8-4EB4-B4FC-2339621324A7}"/>
    <cellStyle name="Normal 8 3 2 3 5 2 2 3" xfId="17156" xr:uid="{8A052BA2-AE7F-42EA-B80C-FABFBC05327B}"/>
    <cellStyle name="Normal 8 3 2 3 5 2 3" xfId="20564" xr:uid="{63E79717-24F6-4DF8-9B80-39D6FEA1452C}"/>
    <cellStyle name="Normal 8 3 2 3 5 2 4" xfId="12943" xr:uid="{20A2F8A8-2878-432C-819A-877B9516D54A}"/>
    <cellStyle name="Normal 8 3 2 3 5 3" xfId="6516" xr:uid="{00000000-0005-0000-0000-00006A1D0000}"/>
    <cellStyle name="Normal 8 3 2 3 5 3 2" xfId="22632" xr:uid="{13AA19CB-4933-4906-9FAE-004D6E8943A8}"/>
    <cellStyle name="Normal 8 3 2 3 5 3 3" xfId="15011" xr:uid="{1172BA10-3996-470E-802A-F9564536459F}"/>
    <cellStyle name="Normal 8 3 2 3 5 4" xfId="18419" xr:uid="{AEEAC399-DDFC-43EB-9FE6-A44319759CBD}"/>
    <cellStyle name="Normal 8 3 2 3 5 5" xfId="10798" xr:uid="{5001BC27-53F7-4294-8040-240FBD2F8E1B}"/>
    <cellStyle name="Normal 8 3 2 3 6" xfId="2646" xr:uid="{00000000-0005-0000-0000-00006B1D0000}"/>
    <cellStyle name="Normal 8 3 2 3 6 2" xfId="6929" xr:uid="{00000000-0005-0000-0000-00006C1D0000}"/>
    <cellStyle name="Normal 8 3 2 3 6 2 2" xfId="23045" xr:uid="{DB1E073F-8B67-42A2-AF01-D73E11F75841}"/>
    <cellStyle name="Normal 8 3 2 3 6 2 3" xfId="15424" xr:uid="{A4367913-77D1-4DD3-963E-5F31A1D46D95}"/>
    <cellStyle name="Normal 8 3 2 3 6 3" xfId="18832" xr:uid="{622EA7EF-4CC4-43B8-B5F7-3B12F20F7920}"/>
    <cellStyle name="Normal 8 3 2 3 6 4" xfId="11211" xr:uid="{D88B4130-D09F-44EE-960C-70B936545CC6}"/>
    <cellStyle name="Normal 8 3 2 3 7" xfId="4864" xr:uid="{00000000-0005-0000-0000-00006D1D0000}"/>
    <cellStyle name="Normal 8 3 2 3 7 2" xfId="20980" xr:uid="{68781F1B-144A-4B4B-B929-48CA78E4F5EE}"/>
    <cellStyle name="Normal 8 3 2 3 7 3" xfId="13359" xr:uid="{60CC80DE-C6AA-4295-AEE7-D087FABBA87C}"/>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2 2 2" xfId="23535" xr:uid="{34A4EF91-BCCA-447C-B54E-E911A2A467E8}"/>
    <cellStyle name="Normal 8 3 2 4 2 2 3" xfId="15914" xr:uid="{57B971D2-7FCA-4291-809D-B82BAAE9A5FA}"/>
    <cellStyle name="Normal 8 3 2 4 2 3" xfId="19322" xr:uid="{A60E6AF2-D419-4F4F-9596-6FCDCB462112}"/>
    <cellStyle name="Normal 8 3 2 4 2 4" xfId="11701" xr:uid="{8B934554-9748-4A76-80B4-7BCDB1787D03}"/>
    <cellStyle name="Normal 8 3 2 4 3" xfId="5274" xr:uid="{00000000-0005-0000-0000-0000711D0000}"/>
    <cellStyle name="Normal 8 3 2 4 3 2" xfId="21390" xr:uid="{A168C76F-B230-4DB8-B35D-D65D55F04E56}"/>
    <cellStyle name="Normal 8 3 2 4 3 3" xfId="13769" xr:uid="{46CB877B-0BCC-4930-B337-FC8F014FD60E}"/>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2 2 2" xfId="23948" xr:uid="{6E6E9B3E-BFF1-4E99-9514-1F12E44503A0}"/>
    <cellStyle name="Normal 8 3 2 5 2 2 3" xfId="16327" xr:uid="{9543B53C-B5BA-4A1A-9F11-9E033EC9AE27}"/>
    <cellStyle name="Normal 8 3 2 5 2 3" xfId="19735" xr:uid="{6BC403F8-0967-4DDE-9854-B26A47CB30E9}"/>
    <cellStyle name="Normal 8 3 2 5 2 4" xfId="12114" xr:uid="{DE437576-C695-4CDC-A28B-CF7AD23D2AD6}"/>
    <cellStyle name="Normal 8 3 2 5 3" xfId="5687" xr:uid="{00000000-0005-0000-0000-0000751D0000}"/>
    <cellStyle name="Normal 8 3 2 5 3 2" xfId="21803" xr:uid="{FCB6CFA4-7574-4DFF-A4E0-10EAFE99FAFD}"/>
    <cellStyle name="Normal 8 3 2 5 3 3" xfId="14182" xr:uid="{D9D9742B-A45E-4657-920D-C9FDECB0924A}"/>
    <cellStyle name="Normal 8 3 2 5 4" xfId="17590" xr:uid="{C2553B37-26E7-45E7-9D51-B677D3267B39}"/>
    <cellStyle name="Normal 8 3 2 5 5" xfId="9969" xr:uid="{3F75656D-2944-4046-9239-EBF5A4D9F7CA}"/>
    <cellStyle name="Normal 8 3 2 6" xfId="1793" xr:uid="{00000000-0005-0000-0000-0000761D0000}"/>
    <cellStyle name="Normal 8 3 2 6 2" xfId="4023" xr:uid="{00000000-0005-0000-0000-0000771D0000}"/>
    <cellStyle name="Normal 8 3 2 6 2 2" xfId="8245" xr:uid="{00000000-0005-0000-0000-0000781D0000}"/>
    <cellStyle name="Normal 8 3 2 6 2 2 2" xfId="24361" xr:uid="{93F4D2B3-E304-43C8-A1FE-BDA69EA09E25}"/>
    <cellStyle name="Normal 8 3 2 6 2 2 3" xfId="16740" xr:uid="{B6CFCBE2-3066-4224-B929-B9C40F78E753}"/>
    <cellStyle name="Normal 8 3 2 6 2 3" xfId="20148" xr:uid="{A8F0CCD0-E89F-49CF-97CB-B194A925FDAD}"/>
    <cellStyle name="Normal 8 3 2 6 2 4" xfId="12527" xr:uid="{6789E181-85DB-48BE-A0B3-536EF73DB61E}"/>
    <cellStyle name="Normal 8 3 2 6 3" xfId="6100" xr:uid="{00000000-0005-0000-0000-0000791D0000}"/>
    <cellStyle name="Normal 8 3 2 6 3 2" xfId="22216" xr:uid="{A6A04DBD-975F-4842-9CCC-8944EB4B8EB5}"/>
    <cellStyle name="Normal 8 3 2 6 3 3" xfId="14595" xr:uid="{A3A9A14D-4340-4682-9EED-B30BE958F491}"/>
    <cellStyle name="Normal 8 3 2 6 4" xfId="18003" xr:uid="{87DC8778-03FA-4BB3-87AB-1FA55D48509E}"/>
    <cellStyle name="Normal 8 3 2 6 5" xfId="10382" xr:uid="{127059D3-D46B-4589-9F67-8BED53D663F9}"/>
    <cellStyle name="Normal 8 3 2 7" xfId="2207" xr:uid="{00000000-0005-0000-0000-00007A1D0000}"/>
    <cellStyle name="Normal 8 3 2 7 2" xfId="4436" xr:uid="{00000000-0005-0000-0000-00007B1D0000}"/>
    <cellStyle name="Normal 8 3 2 7 2 2" xfId="8658" xr:uid="{00000000-0005-0000-0000-00007C1D0000}"/>
    <cellStyle name="Normal 8 3 2 7 2 2 2" xfId="24774" xr:uid="{5ABC9703-5C7D-4D9C-9CF8-F190A82F1DC5}"/>
    <cellStyle name="Normal 8 3 2 7 2 2 3" xfId="17153" xr:uid="{060EDA68-B120-46A3-8A11-F918F1F6B23A}"/>
    <cellStyle name="Normal 8 3 2 7 2 3" xfId="20561" xr:uid="{83AFF29A-7043-40A7-B877-FF1B29605518}"/>
    <cellStyle name="Normal 8 3 2 7 2 4" xfId="12940" xr:uid="{FC9B3703-5721-4403-8F65-111D48158A23}"/>
    <cellStyle name="Normal 8 3 2 7 3" xfId="6513" xr:uid="{00000000-0005-0000-0000-00007D1D0000}"/>
    <cellStyle name="Normal 8 3 2 7 3 2" xfId="22629" xr:uid="{71E34D21-4A93-4FD0-97AB-A8B6A00CC043}"/>
    <cellStyle name="Normal 8 3 2 7 3 3" xfId="15008" xr:uid="{95A8CECE-50CB-4EE6-A226-F422AB4A1428}"/>
    <cellStyle name="Normal 8 3 2 7 4" xfId="18416" xr:uid="{0A2C4E12-5AB8-41FD-A65B-63FAEBF0C5C2}"/>
    <cellStyle name="Normal 8 3 2 7 5" xfId="10795" xr:uid="{D8592204-E296-4457-8C82-E728F17EB9D3}"/>
    <cellStyle name="Normal 8 3 2 8" xfId="2643" xr:uid="{00000000-0005-0000-0000-00007E1D0000}"/>
    <cellStyle name="Normal 8 3 2 8 2" xfId="6926" xr:uid="{00000000-0005-0000-0000-00007F1D0000}"/>
    <cellStyle name="Normal 8 3 2 8 2 2" xfId="23042" xr:uid="{7720DAD7-19B0-473E-881A-DA09F5EBF178}"/>
    <cellStyle name="Normal 8 3 2 8 2 3" xfId="15421" xr:uid="{9569E96E-395F-490F-8CDE-E374A180BEDE}"/>
    <cellStyle name="Normal 8 3 2 8 3" xfId="18829" xr:uid="{293F7917-8D0A-4C72-8438-FB1734805E21}"/>
    <cellStyle name="Normal 8 3 2 8 4" xfId="11208" xr:uid="{88FF9311-3EA2-409A-8FAD-05E37EE74A2F}"/>
    <cellStyle name="Normal 8 3 2 9" xfId="4861" xr:uid="{00000000-0005-0000-0000-0000801D0000}"/>
    <cellStyle name="Normal 8 3 2 9 2" xfId="20977" xr:uid="{55C0E489-BAD6-4A93-94E0-9CE92D71393B}"/>
    <cellStyle name="Normal 8 3 2 9 3" xfId="13356" xr:uid="{ABDE1F7B-E34E-4CBB-9F38-DF3A9FDE6D71}"/>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23540" xr:uid="{1850B942-975C-49B2-89C1-D60DB1B39337}"/>
    <cellStyle name="Normal 8 3 3 2 2 2 2 3" xfId="15919" xr:uid="{EEC2BE01-AF45-4A83-A17D-4EFD2B34B26F}"/>
    <cellStyle name="Normal 8 3 3 2 2 2 3" xfId="19327" xr:uid="{3A422DA0-45A3-4993-BBD2-C2DED7163A8D}"/>
    <cellStyle name="Normal 8 3 3 2 2 2 4" xfId="11706" xr:uid="{4BA93F13-8895-4229-84B2-E5B7F3FBE3F1}"/>
    <cellStyle name="Normal 8 3 3 2 2 3" xfId="5279" xr:uid="{00000000-0005-0000-0000-0000861D0000}"/>
    <cellStyle name="Normal 8 3 3 2 2 3 2" xfId="21395" xr:uid="{78AB7685-BCAD-43F9-8B26-A008A6080BCD}"/>
    <cellStyle name="Normal 8 3 3 2 2 3 3" xfId="13774" xr:uid="{A0F5B586-B086-43AE-AB67-389D307835C7}"/>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23953" xr:uid="{612E3D0F-3B88-4320-A928-9104B95D42BB}"/>
    <cellStyle name="Normal 8 3 3 2 3 2 2 3" xfId="16332" xr:uid="{6D2A1E4A-2534-454E-83DD-81E798FBC49A}"/>
    <cellStyle name="Normal 8 3 3 2 3 2 3" xfId="19740" xr:uid="{1C901904-B61A-4A99-82FF-49BB0E7EF794}"/>
    <cellStyle name="Normal 8 3 3 2 3 2 4" xfId="12119" xr:uid="{A618E67D-DAAB-4763-921F-102AB97C4A21}"/>
    <cellStyle name="Normal 8 3 3 2 3 3" xfId="5692" xr:uid="{00000000-0005-0000-0000-00008A1D0000}"/>
    <cellStyle name="Normal 8 3 3 2 3 3 2" xfId="21808" xr:uid="{03C251FB-07A4-4B4D-BB25-697903C1D78F}"/>
    <cellStyle name="Normal 8 3 3 2 3 3 3" xfId="14187" xr:uid="{F8A22E3A-BB69-41DC-91E1-732F250B2A4C}"/>
    <cellStyle name="Normal 8 3 3 2 3 4" xfId="17595" xr:uid="{018D79F8-EF87-4F9F-9C82-DAB9F7E67723}"/>
    <cellStyle name="Normal 8 3 3 2 3 5" xfId="9974" xr:uid="{0E57673D-021C-40BB-AEAD-E64C8FF3FBC1}"/>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24366" xr:uid="{751CF2B2-2D0B-438F-81A1-21DFD24FA5BB}"/>
    <cellStyle name="Normal 8 3 3 2 4 2 2 3" xfId="16745" xr:uid="{2D527901-0364-4FAD-9387-1BB96749FDC0}"/>
    <cellStyle name="Normal 8 3 3 2 4 2 3" xfId="20153" xr:uid="{A5E5EF69-3C21-4547-B5F2-60F4EB95E3DD}"/>
    <cellStyle name="Normal 8 3 3 2 4 2 4" xfId="12532" xr:uid="{DDF28A0B-A0A3-4730-8916-C4DFEE795C37}"/>
    <cellStyle name="Normal 8 3 3 2 4 3" xfId="6105" xr:uid="{00000000-0005-0000-0000-00008E1D0000}"/>
    <cellStyle name="Normal 8 3 3 2 4 3 2" xfId="22221" xr:uid="{7AECFC65-761F-4D71-BE10-5A1A42D30F77}"/>
    <cellStyle name="Normal 8 3 3 2 4 3 3" xfId="14600" xr:uid="{2127B0BC-66EA-4FCD-A6C5-C8498967BFAC}"/>
    <cellStyle name="Normal 8 3 3 2 4 4" xfId="18008" xr:uid="{8AEC273D-8E65-43F9-8866-F3803AC44F8A}"/>
    <cellStyle name="Normal 8 3 3 2 4 5" xfId="10387" xr:uid="{DF04038E-BB40-484B-8075-8FDF5D6A5CAF}"/>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24779" xr:uid="{086970A5-1B7A-4E58-856F-58C19FD05709}"/>
    <cellStyle name="Normal 8 3 3 2 5 2 2 3" xfId="17158" xr:uid="{EE3039B5-613C-47B6-B984-4381E64B1D62}"/>
    <cellStyle name="Normal 8 3 3 2 5 2 3" xfId="20566" xr:uid="{6DE8E283-7ECF-4099-849D-59D846146E66}"/>
    <cellStyle name="Normal 8 3 3 2 5 2 4" xfId="12945" xr:uid="{833BAD02-0EB6-418D-9EF4-4D5C715B95A8}"/>
    <cellStyle name="Normal 8 3 3 2 5 3" xfId="6518" xr:uid="{00000000-0005-0000-0000-0000921D0000}"/>
    <cellStyle name="Normal 8 3 3 2 5 3 2" xfId="22634" xr:uid="{5C7CB1A9-660B-4030-9F0F-C38655FA3CCF}"/>
    <cellStyle name="Normal 8 3 3 2 5 3 3" xfId="15013" xr:uid="{8C796676-AAFF-4888-89DB-A6C9045D95D9}"/>
    <cellStyle name="Normal 8 3 3 2 5 4" xfId="18421" xr:uid="{30E7FBD1-8FCF-4614-BA07-98A19C9181B9}"/>
    <cellStyle name="Normal 8 3 3 2 5 5" xfId="10800" xr:uid="{A6EAC3FA-3F82-4B7B-9677-4382D0671DA3}"/>
    <cellStyle name="Normal 8 3 3 2 6" xfId="2648" xr:uid="{00000000-0005-0000-0000-0000931D0000}"/>
    <cellStyle name="Normal 8 3 3 2 6 2" xfId="6931" xr:uid="{00000000-0005-0000-0000-0000941D0000}"/>
    <cellStyle name="Normal 8 3 3 2 6 2 2" xfId="23047" xr:uid="{202C4B4A-370B-4B97-8C4B-AD17B49BBBBB}"/>
    <cellStyle name="Normal 8 3 3 2 6 2 3" xfId="15426" xr:uid="{F37AF361-A8F6-4242-8D8E-C00B61EA1A59}"/>
    <cellStyle name="Normal 8 3 3 2 6 3" xfId="18834" xr:uid="{1DD10079-C1D7-4B2A-B254-2A35ABE20A72}"/>
    <cellStyle name="Normal 8 3 3 2 6 4" xfId="11213" xr:uid="{6BB2484D-A1E1-4797-A2B5-DA596DC13104}"/>
    <cellStyle name="Normal 8 3 3 2 7" xfId="4866" xr:uid="{00000000-0005-0000-0000-0000951D0000}"/>
    <cellStyle name="Normal 8 3 3 2 7 2" xfId="20982" xr:uid="{1FD6D261-5844-4448-84FE-71AC30561A6B}"/>
    <cellStyle name="Normal 8 3 3 2 7 3" xfId="13361" xr:uid="{3B31D11B-C7B4-49D6-9DF2-DCC9116AF86D}"/>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2 2 2" xfId="23539" xr:uid="{BD34BCEA-1CDF-48BD-B36C-744CDDEF7898}"/>
    <cellStyle name="Normal 8 3 3 3 2 2 3" xfId="15918" xr:uid="{096E32AD-A3A1-4389-85F3-122D37C12CD8}"/>
    <cellStyle name="Normal 8 3 3 3 2 3" xfId="19326" xr:uid="{67B1CB20-4A2D-4FE4-A157-2D54B9B79EFE}"/>
    <cellStyle name="Normal 8 3 3 3 2 4" xfId="11705" xr:uid="{D2D26BDF-3E26-4DA0-BD86-A646CDAE5592}"/>
    <cellStyle name="Normal 8 3 3 3 3" xfId="5278" xr:uid="{00000000-0005-0000-0000-0000991D0000}"/>
    <cellStyle name="Normal 8 3 3 3 3 2" xfId="21394" xr:uid="{598B15E2-6D6C-4DCC-AC78-3E7FDC2C213D}"/>
    <cellStyle name="Normal 8 3 3 3 3 3" xfId="13773" xr:uid="{EBB99AD8-1063-4E89-B593-1715BD4CBD44}"/>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2 2 2" xfId="23952" xr:uid="{0553B924-868E-4639-B709-7294F7610382}"/>
    <cellStyle name="Normal 8 3 3 4 2 2 3" xfId="16331" xr:uid="{982DE82B-7071-47AF-ABEB-E2E2DD0011D5}"/>
    <cellStyle name="Normal 8 3 3 4 2 3" xfId="19739" xr:uid="{04AFCAC3-F7AC-4E4D-97DA-37CA8B4FA98B}"/>
    <cellStyle name="Normal 8 3 3 4 2 4" xfId="12118" xr:uid="{9DE0312C-4588-475A-BD26-FA825FB7DE9C}"/>
    <cellStyle name="Normal 8 3 3 4 3" xfId="5691" xr:uid="{00000000-0005-0000-0000-00009D1D0000}"/>
    <cellStyle name="Normal 8 3 3 4 3 2" xfId="21807" xr:uid="{C6835F14-55B5-4BB9-9A31-CFEAD2061470}"/>
    <cellStyle name="Normal 8 3 3 4 3 3" xfId="14186" xr:uid="{8A8C3079-FA4C-4EB3-A9E7-E225B9EBBDF8}"/>
    <cellStyle name="Normal 8 3 3 4 4" xfId="17594" xr:uid="{6E2F5FCB-64AE-407F-B5CD-150A6C5A9CA6}"/>
    <cellStyle name="Normal 8 3 3 4 5" xfId="9973" xr:uid="{12C34F66-7449-4A87-BB47-2CF504A08500}"/>
    <cellStyle name="Normal 8 3 3 5" xfId="1797" xr:uid="{00000000-0005-0000-0000-00009E1D0000}"/>
    <cellStyle name="Normal 8 3 3 5 2" xfId="4027" xr:uid="{00000000-0005-0000-0000-00009F1D0000}"/>
    <cellStyle name="Normal 8 3 3 5 2 2" xfId="8249" xr:uid="{00000000-0005-0000-0000-0000A01D0000}"/>
    <cellStyle name="Normal 8 3 3 5 2 2 2" xfId="24365" xr:uid="{93596E27-5DB0-4387-AB4A-63E80A243BDB}"/>
    <cellStyle name="Normal 8 3 3 5 2 2 3" xfId="16744" xr:uid="{897492CC-049B-45AF-A445-DEDC9407C0FD}"/>
    <cellStyle name="Normal 8 3 3 5 2 3" xfId="20152" xr:uid="{5B9E77AE-CA39-4655-975A-F1C41C62C6A8}"/>
    <cellStyle name="Normal 8 3 3 5 2 4" xfId="12531" xr:uid="{FC7D81A2-AFF6-45EC-9EAD-E885BD7FC51F}"/>
    <cellStyle name="Normal 8 3 3 5 3" xfId="6104" xr:uid="{00000000-0005-0000-0000-0000A11D0000}"/>
    <cellStyle name="Normal 8 3 3 5 3 2" xfId="22220" xr:uid="{69FC81CD-CD00-48CD-BFF6-0857F1164229}"/>
    <cellStyle name="Normal 8 3 3 5 3 3" xfId="14599" xr:uid="{B050317C-F278-49D5-BD5E-EC2982C80717}"/>
    <cellStyle name="Normal 8 3 3 5 4" xfId="18007" xr:uid="{F963440B-691C-4A01-ADFF-48A788B21A9F}"/>
    <cellStyle name="Normal 8 3 3 5 5" xfId="10386" xr:uid="{941040CF-98D8-4BF4-94E3-7E125B0C51D3}"/>
    <cellStyle name="Normal 8 3 3 6" xfId="2211" xr:uid="{00000000-0005-0000-0000-0000A21D0000}"/>
    <cellStyle name="Normal 8 3 3 6 2" xfId="4440" xr:uid="{00000000-0005-0000-0000-0000A31D0000}"/>
    <cellStyle name="Normal 8 3 3 6 2 2" xfId="8662" xr:uid="{00000000-0005-0000-0000-0000A41D0000}"/>
    <cellStyle name="Normal 8 3 3 6 2 2 2" xfId="24778" xr:uid="{AF42462A-5024-4EA3-A803-C5939A9DC2DE}"/>
    <cellStyle name="Normal 8 3 3 6 2 2 3" xfId="17157" xr:uid="{EABF934A-B181-4486-A13F-43317B324C05}"/>
    <cellStyle name="Normal 8 3 3 6 2 3" xfId="20565" xr:uid="{CA948569-AB99-4459-925C-F2A0AF21738E}"/>
    <cellStyle name="Normal 8 3 3 6 2 4" xfId="12944" xr:uid="{0C6F3058-C6BA-4F67-A099-D60881AC9A65}"/>
    <cellStyle name="Normal 8 3 3 6 3" xfId="6517" xr:uid="{00000000-0005-0000-0000-0000A51D0000}"/>
    <cellStyle name="Normal 8 3 3 6 3 2" xfId="22633" xr:uid="{85299D56-C55D-4167-B709-A7DEEB0226E7}"/>
    <cellStyle name="Normal 8 3 3 6 3 3" xfId="15012" xr:uid="{B137406D-D368-4EBD-BA48-828B8E214B86}"/>
    <cellStyle name="Normal 8 3 3 6 4" xfId="18420" xr:uid="{DBA82FB7-CEA5-4F5A-96CB-648B1FB958E8}"/>
    <cellStyle name="Normal 8 3 3 6 5" xfId="10799" xr:uid="{2AB82D6C-16BB-4F7B-B37C-434F86EB4A5F}"/>
    <cellStyle name="Normal 8 3 3 7" xfId="2647" xr:uid="{00000000-0005-0000-0000-0000A61D0000}"/>
    <cellStyle name="Normal 8 3 3 7 2" xfId="6930" xr:uid="{00000000-0005-0000-0000-0000A71D0000}"/>
    <cellStyle name="Normal 8 3 3 7 2 2" xfId="23046" xr:uid="{A6150E04-D329-4316-BB81-89C406FAC779}"/>
    <cellStyle name="Normal 8 3 3 7 2 3" xfId="15425" xr:uid="{A48EEB32-F0E9-4064-89C8-531E9B1C7D47}"/>
    <cellStyle name="Normal 8 3 3 7 3" xfId="18833" xr:uid="{7AD6620B-6F11-4917-8467-41B1BB8DF9FF}"/>
    <cellStyle name="Normal 8 3 3 7 4" xfId="11212" xr:uid="{3B0C327B-9A2C-4DD1-A4AE-3A876A2396B9}"/>
    <cellStyle name="Normal 8 3 3 8" xfId="4865" xr:uid="{00000000-0005-0000-0000-0000A81D0000}"/>
    <cellStyle name="Normal 8 3 3 8 2" xfId="20981" xr:uid="{CCB65C2F-1B38-4AF1-B916-5091ACF4E9AD}"/>
    <cellStyle name="Normal 8 3 3 8 3" xfId="13360" xr:uid="{627E1EF4-CFD3-4DA0-B99C-419C3A8C21E9}"/>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23541" xr:uid="{2BD33BFD-7B14-4FBE-A67E-F2E7F48C82AA}"/>
    <cellStyle name="Normal 8 3 4 2 2 2 3" xfId="15920" xr:uid="{59F50ACE-38A3-40B6-B156-C3A5A4BC7F67}"/>
    <cellStyle name="Normal 8 3 4 2 2 3" xfId="19328" xr:uid="{D568DC5F-58E7-4C9C-A95F-F993FEBBE591}"/>
    <cellStyle name="Normal 8 3 4 2 2 4" xfId="11707" xr:uid="{B05274D9-9ADF-4D85-9B90-64E7D31DAC59}"/>
    <cellStyle name="Normal 8 3 4 2 3" xfId="5280" xr:uid="{00000000-0005-0000-0000-0000AD1D0000}"/>
    <cellStyle name="Normal 8 3 4 2 3 2" xfId="21396" xr:uid="{38B90BEE-099F-4C9E-A62B-4CFCF3A3E272}"/>
    <cellStyle name="Normal 8 3 4 2 3 3" xfId="13775" xr:uid="{89CEF3B0-4F52-424D-B1EB-E0CA0463D36F}"/>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2 2 2" xfId="23954" xr:uid="{0C0F2038-69BC-42CE-8D5D-9BFBC68E1F17}"/>
    <cellStyle name="Normal 8 3 4 3 2 2 3" xfId="16333" xr:uid="{31676605-F34B-4375-BD14-DE75E0410C5C}"/>
    <cellStyle name="Normal 8 3 4 3 2 3" xfId="19741" xr:uid="{A7D76F7B-9F9E-4583-BE9F-3F5474C6E9AC}"/>
    <cellStyle name="Normal 8 3 4 3 2 4" xfId="12120" xr:uid="{0D018ACF-A7AD-4DEA-BCE6-A3F62BE1E62E}"/>
    <cellStyle name="Normal 8 3 4 3 3" xfId="5693" xr:uid="{00000000-0005-0000-0000-0000B11D0000}"/>
    <cellStyle name="Normal 8 3 4 3 3 2" xfId="21809" xr:uid="{4A5DBB75-2BAF-4EA0-AA5E-20FB7F39527F}"/>
    <cellStyle name="Normal 8 3 4 3 3 3" xfId="14188" xr:uid="{14CCA441-034F-422F-9804-CE9751D2F950}"/>
    <cellStyle name="Normal 8 3 4 3 4" xfId="17596" xr:uid="{2DDBF009-BC89-4260-8E8A-A691E98B4CB1}"/>
    <cellStyle name="Normal 8 3 4 3 5" xfId="9975" xr:uid="{C9321758-F248-44F5-BB63-751083C695A5}"/>
    <cellStyle name="Normal 8 3 4 4" xfId="1799" xr:uid="{00000000-0005-0000-0000-0000B21D0000}"/>
    <cellStyle name="Normal 8 3 4 4 2" xfId="4029" xr:uid="{00000000-0005-0000-0000-0000B31D0000}"/>
    <cellStyle name="Normal 8 3 4 4 2 2" xfId="8251" xr:uid="{00000000-0005-0000-0000-0000B41D0000}"/>
    <cellStyle name="Normal 8 3 4 4 2 2 2" xfId="24367" xr:uid="{1FE74547-D669-4756-BC87-785C07390739}"/>
    <cellStyle name="Normal 8 3 4 4 2 2 3" xfId="16746" xr:uid="{47661749-861A-42B4-B70C-DFA25C7EF34E}"/>
    <cellStyle name="Normal 8 3 4 4 2 3" xfId="20154" xr:uid="{3843DBEE-83B5-4A2B-9BC0-7C97FE1C9631}"/>
    <cellStyle name="Normal 8 3 4 4 2 4" xfId="12533" xr:uid="{FE793AE6-D585-4E2E-84DA-32E3ED0873F2}"/>
    <cellStyle name="Normal 8 3 4 4 3" xfId="6106" xr:uid="{00000000-0005-0000-0000-0000B51D0000}"/>
    <cellStyle name="Normal 8 3 4 4 3 2" xfId="22222" xr:uid="{548565A9-5287-493D-ADDF-0953EE07E5B5}"/>
    <cellStyle name="Normal 8 3 4 4 3 3" xfId="14601" xr:uid="{E1762239-485C-4983-B2D2-094FBE481374}"/>
    <cellStyle name="Normal 8 3 4 4 4" xfId="18009" xr:uid="{45BAEE71-5479-44F5-969E-BA2FB669C9F1}"/>
    <cellStyle name="Normal 8 3 4 4 5" xfId="10388" xr:uid="{C540FAF4-8004-4655-A9C2-814EA302A83D}"/>
    <cellStyle name="Normal 8 3 4 5" xfId="2213" xr:uid="{00000000-0005-0000-0000-0000B61D0000}"/>
    <cellStyle name="Normal 8 3 4 5 2" xfId="4442" xr:uid="{00000000-0005-0000-0000-0000B71D0000}"/>
    <cellStyle name="Normal 8 3 4 5 2 2" xfId="8664" xr:uid="{00000000-0005-0000-0000-0000B81D0000}"/>
    <cellStyle name="Normal 8 3 4 5 2 2 2" xfId="24780" xr:uid="{B4C4DF9F-E22A-4C67-B737-F2847656BBAB}"/>
    <cellStyle name="Normal 8 3 4 5 2 2 3" xfId="17159" xr:uid="{1157E270-681F-40EA-AD32-BD934FB32AB6}"/>
    <cellStyle name="Normal 8 3 4 5 2 3" xfId="20567" xr:uid="{61618436-99A1-4297-9F30-17F34AF94EC2}"/>
    <cellStyle name="Normal 8 3 4 5 2 4" xfId="12946" xr:uid="{65E6EAB3-78A2-45F7-BA8D-422FFB6B707D}"/>
    <cellStyle name="Normal 8 3 4 5 3" xfId="6519" xr:uid="{00000000-0005-0000-0000-0000B91D0000}"/>
    <cellStyle name="Normal 8 3 4 5 3 2" xfId="22635" xr:uid="{28CA909C-31B1-43F9-A832-F44AE8761F75}"/>
    <cellStyle name="Normal 8 3 4 5 3 3" xfId="15014" xr:uid="{8D9925ED-DE7D-4D6D-A8EB-3E3DE1E6DF6A}"/>
    <cellStyle name="Normal 8 3 4 5 4" xfId="18422" xr:uid="{F18EA6A2-91E0-46A9-848D-6572257A8607}"/>
    <cellStyle name="Normal 8 3 4 5 5" xfId="10801" xr:uid="{828A279F-01F1-4A02-9C37-EE91954B1A26}"/>
    <cellStyle name="Normal 8 3 4 6" xfId="2649" xr:uid="{00000000-0005-0000-0000-0000BA1D0000}"/>
    <cellStyle name="Normal 8 3 4 6 2" xfId="6932" xr:uid="{00000000-0005-0000-0000-0000BB1D0000}"/>
    <cellStyle name="Normal 8 3 4 6 2 2" xfId="23048" xr:uid="{BB8A11FF-7A40-48D0-A88A-BAD1D7417831}"/>
    <cellStyle name="Normal 8 3 4 6 2 3" xfId="15427" xr:uid="{8D300D9A-8EAE-4E60-A70A-A93541F6D9A0}"/>
    <cellStyle name="Normal 8 3 4 6 3" xfId="18835" xr:uid="{F3CAD744-8AD2-4B25-BDA5-1606B2FE09FE}"/>
    <cellStyle name="Normal 8 3 4 6 4" xfId="11214" xr:uid="{ABFF3418-70C6-491C-85FC-B22ABC503707}"/>
    <cellStyle name="Normal 8 3 4 7" xfId="4867" xr:uid="{00000000-0005-0000-0000-0000BC1D0000}"/>
    <cellStyle name="Normal 8 3 4 7 2" xfId="20983" xr:uid="{12FFBB17-2E37-4ED1-B873-B0B96E87EACF}"/>
    <cellStyle name="Normal 8 3 4 7 3" xfId="13362" xr:uid="{5B9E7555-E1F8-4222-9C3F-A9632FCE076E}"/>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2 2 2" xfId="23534" xr:uid="{99B53138-529B-437B-915E-6970A7066F81}"/>
    <cellStyle name="Normal 8 3 5 2 2 3" xfId="15913" xr:uid="{3175D5CE-DB3C-4123-A800-0E57BC62FF90}"/>
    <cellStyle name="Normal 8 3 5 2 3" xfId="19321" xr:uid="{3B2176B3-8FB7-4906-9B6F-DCF8B45FCE88}"/>
    <cellStyle name="Normal 8 3 5 2 4" xfId="11700" xr:uid="{A6572A86-0176-48A2-86F0-B1701675A5A2}"/>
    <cellStyle name="Normal 8 3 5 3" xfId="5273" xr:uid="{00000000-0005-0000-0000-0000C01D0000}"/>
    <cellStyle name="Normal 8 3 5 3 2" xfId="21389" xr:uid="{56BEED0E-1C73-4F65-9C3D-EAF4B37411F4}"/>
    <cellStyle name="Normal 8 3 5 3 3" xfId="13768" xr:uid="{77B49972-E69B-4FD7-95E1-D43644B12BA6}"/>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2 2 2" xfId="23947" xr:uid="{F4BCCD2A-0DA4-41F5-9F03-3B3C7B561410}"/>
    <cellStyle name="Normal 8 3 6 2 2 3" xfId="16326" xr:uid="{4DB28994-05F4-46DB-94A1-9D43D28185A0}"/>
    <cellStyle name="Normal 8 3 6 2 3" xfId="19734" xr:uid="{B11A36A2-0AF1-4821-A145-35BADA135AAF}"/>
    <cellStyle name="Normal 8 3 6 2 4" xfId="12113" xr:uid="{32FF095F-89DC-4071-BF08-EDE33FC171B9}"/>
    <cellStyle name="Normal 8 3 6 3" xfId="5686" xr:uid="{00000000-0005-0000-0000-0000C41D0000}"/>
    <cellStyle name="Normal 8 3 6 3 2" xfId="21802" xr:uid="{2079E213-C21F-4B21-9CD7-BBC676CCBF9D}"/>
    <cellStyle name="Normal 8 3 6 3 3" xfId="14181" xr:uid="{CADDD049-3F97-49E1-A17C-671C716B8D36}"/>
    <cellStyle name="Normal 8 3 6 4" xfId="17589" xr:uid="{90F548A1-B967-46BC-B8B2-6B3B0368DC6F}"/>
    <cellStyle name="Normal 8 3 6 5" xfId="9968" xr:uid="{47172BFA-4150-429D-ADF7-F75BFC9ED31F}"/>
    <cellStyle name="Normal 8 3 7" xfId="1792" xr:uid="{00000000-0005-0000-0000-0000C51D0000}"/>
    <cellStyle name="Normal 8 3 7 2" xfId="4022" xr:uid="{00000000-0005-0000-0000-0000C61D0000}"/>
    <cellStyle name="Normal 8 3 7 2 2" xfId="8244" xr:uid="{00000000-0005-0000-0000-0000C71D0000}"/>
    <cellStyle name="Normal 8 3 7 2 2 2" xfId="24360" xr:uid="{BDB6DA90-FBEB-498F-9BC3-496FF7A8689A}"/>
    <cellStyle name="Normal 8 3 7 2 2 3" xfId="16739" xr:uid="{DCDF5697-65B1-40C3-8690-E47F43AF4EC0}"/>
    <cellStyle name="Normal 8 3 7 2 3" xfId="20147" xr:uid="{97CBD656-E6E5-4138-8CA2-C27DF1DC8422}"/>
    <cellStyle name="Normal 8 3 7 2 4" xfId="12526" xr:uid="{50FBF0B9-1AB6-4B77-9CCB-32B78C0F9260}"/>
    <cellStyle name="Normal 8 3 7 3" xfId="6099" xr:uid="{00000000-0005-0000-0000-0000C81D0000}"/>
    <cellStyle name="Normal 8 3 7 3 2" xfId="22215" xr:uid="{4F640DBE-D908-4939-ACB1-34158C32D411}"/>
    <cellStyle name="Normal 8 3 7 3 3" xfId="14594" xr:uid="{FE53C5C2-131B-4956-80CB-5B94C14E5AB5}"/>
    <cellStyle name="Normal 8 3 7 4" xfId="18002" xr:uid="{4A1E3CE7-C913-4537-8689-E6E707B63B1C}"/>
    <cellStyle name="Normal 8 3 7 5" xfId="10381" xr:uid="{0B30EBAE-ADF3-490E-82A0-4CD147A7D23F}"/>
    <cellStyle name="Normal 8 3 8" xfId="2206" xr:uid="{00000000-0005-0000-0000-0000C91D0000}"/>
    <cellStyle name="Normal 8 3 8 2" xfId="4435" xr:uid="{00000000-0005-0000-0000-0000CA1D0000}"/>
    <cellStyle name="Normal 8 3 8 2 2" xfId="8657" xr:uid="{00000000-0005-0000-0000-0000CB1D0000}"/>
    <cellStyle name="Normal 8 3 8 2 2 2" xfId="24773" xr:uid="{82608219-215A-48F4-AE28-90CF7B0B05D0}"/>
    <cellStyle name="Normal 8 3 8 2 2 3" xfId="17152" xr:uid="{BBC75FC7-2D21-49F1-8942-1208B30853C6}"/>
    <cellStyle name="Normal 8 3 8 2 3" xfId="20560" xr:uid="{79972D98-D062-40A5-AE7E-96AAC0EAD792}"/>
    <cellStyle name="Normal 8 3 8 2 4" xfId="12939" xr:uid="{75FB119E-2E50-4903-B26B-0ABA553EEAEC}"/>
    <cellStyle name="Normal 8 3 8 3" xfId="6512" xr:uid="{00000000-0005-0000-0000-0000CC1D0000}"/>
    <cellStyle name="Normal 8 3 8 3 2" xfId="22628" xr:uid="{4211425B-B196-488E-8EC9-5C52E5EB4937}"/>
    <cellStyle name="Normal 8 3 8 3 3" xfId="15007" xr:uid="{6144F881-03CD-4096-A5AE-4D94C00A4A6D}"/>
    <cellStyle name="Normal 8 3 8 4" xfId="18415" xr:uid="{8E1AA43F-2DBC-4210-AA01-7DE94BCAF81C}"/>
    <cellStyle name="Normal 8 3 8 5" xfId="10794" xr:uid="{BD605FC3-5CC5-4F1C-BB2D-59FCEA03575E}"/>
    <cellStyle name="Normal 8 3 9" xfId="2642" xr:uid="{00000000-0005-0000-0000-0000CD1D0000}"/>
    <cellStyle name="Normal 8 3 9 2" xfId="6925" xr:uid="{00000000-0005-0000-0000-0000CE1D0000}"/>
    <cellStyle name="Normal 8 3 9 2 2" xfId="23041" xr:uid="{21E36795-62E0-4AA9-A576-F4FCF4978188}"/>
    <cellStyle name="Normal 8 3 9 2 3" xfId="15420" xr:uid="{8E1817EC-4CD6-443A-A7D6-3755FA32290F}"/>
    <cellStyle name="Normal 8 3 9 3" xfId="18828" xr:uid="{2264C132-3EAB-4F8A-97D9-73C1E0AEFD4A}"/>
    <cellStyle name="Normal 8 3 9 4" xfId="11207" xr:uid="{E5F8EBF0-46C8-4BCE-9B55-D64A1F6CE0F4}"/>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23544" xr:uid="{9435F9F6-87C1-4253-87F4-C360207063BA}"/>
    <cellStyle name="Normal 8 4 2 2 2 2 2 3" xfId="15923" xr:uid="{79B0A473-5E92-48C0-878B-571497B13C33}"/>
    <cellStyle name="Normal 8 4 2 2 2 2 3" xfId="19331" xr:uid="{C4206F53-DA40-4168-85FD-5D204F55E9B3}"/>
    <cellStyle name="Normal 8 4 2 2 2 2 4" xfId="11710" xr:uid="{45D1529B-E819-4A06-8A56-4029DECEFC32}"/>
    <cellStyle name="Normal 8 4 2 2 2 3" xfId="5283" xr:uid="{00000000-0005-0000-0000-0000D51D0000}"/>
    <cellStyle name="Normal 8 4 2 2 2 3 2" xfId="21399" xr:uid="{358CE0F4-0DC6-4633-A0DD-8EF7D7690F95}"/>
    <cellStyle name="Normal 8 4 2 2 2 3 3" xfId="13778" xr:uid="{0BB83FE2-3952-4DE2-B493-C363FEBC2357}"/>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23957" xr:uid="{D732AB5D-0F14-4ED7-8061-1E68A693588F}"/>
    <cellStyle name="Normal 8 4 2 2 3 2 2 3" xfId="16336" xr:uid="{A732F668-AEC9-4893-B7F9-2DC7AF20D0FC}"/>
    <cellStyle name="Normal 8 4 2 2 3 2 3" xfId="19744" xr:uid="{7E2B58ED-8D3F-4367-AA57-2C06B3394ACF}"/>
    <cellStyle name="Normal 8 4 2 2 3 2 4" xfId="12123" xr:uid="{24C22852-0304-4EF3-AEC4-1606E76BF2E8}"/>
    <cellStyle name="Normal 8 4 2 2 3 3" xfId="5696" xr:uid="{00000000-0005-0000-0000-0000D91D0000}"/>
    <cellStyle name="Normal 8 4 2 2 3 3 2" xfId="21812" xr:uid="{7F7401DF-A829-440C-BA35-370512579A26}"/>
    <cellStyle name="Normal 8 4 2 2 3 3 3" xfId="14191" xr:uid="{5445F101-ADC3-46AE-B695-FF7C8E3821AB}"/>
    <cellStyle name="Normal 8 4 2 2 3 4" xfId="17599" xr:uid="{51558BA1-A463-4A83-AC9A-805290349532}"/>
    <cellStyle name="Normal 8 4 2 2 3 5" xfId="9978" xr:uid="{B5EDBDE7-AA46-473A-A32C-52C94ED067BF}"/>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24370" xr:uid="{D2DF8CCD-C052-4ABB-9910-2D318191EA93}"/>
    <cellStyle name="Normal 8 4 2 2 4 2 2 3" xfId="16749" xr:uid="{62AF2B46-9499-42DE-B341-BD9F509359A2}"/>
    <cellStyle name="Normal 8 4 2 2 4 2 3" xfId="20157" xr:uid="{6E0839EE-7240-408F-A974-C86B085C4EB3}"/>
    <cellStyle name="Normal 8 4 2 2 4 2 4" xfId="12536" xr:uid="{90C2E51D-7106-4249-9B5E-8175870866B2}"/>
    <cellStyle name="Normal 8 4 2 2 4 3" xfId="6109" xr:uid="{00000000-0005-0000-0000-0000DD1D0000}"/>
    <cellStyle name="Normal 8 4 2 2 4 3 2" xfId="22225" xr:uid="{83B28007-75FB-42D3-A471-DF6834E9ED46}"/>
    <cellStyle name="Normal 8 4 2 2 4 3 3" xfId="14604" xr:uid="{3EA393F8-B792-4A1E-A406-0FB0B7F36E38}"/>
    <cellStyle name="Normal 8 4 2 2 4 4" xfId="18012" xr:uid="{22E22862-6FB9-4FD9-8720-27E0E720AA78}"/>
    <cellStyle name="Normal 8 4 2 2 4 5" xfId="10391" xr:uid="{2A7781F4-7CBF-4B7F-A6F2-4E3F2CE59328}"/>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24783" xr:uid="{736857E4-54A4-4855-A1FA-C33F7AF6D895}"/>
    <cellStyle name="Normal 8 4 2 2 5 2 2 3" xfId="17162" xr:uid="{39BE99DC-57B0-47FD-A5E2-AC5397F8D31B}"/>
    <cellStyle name="Normal 8 4 2 2 5 2 3" xfId="20570" xr:uid="{2B9BFA65-1352-4BA5-9ECE-BC8B3BF3BA9F}"/>
    <cellStyle name="Normal 8 4 2 2 5 2 4" xfId="12949" xr:uid="{457E4027-6507-4B66-B4E3-C0494CDB96DA}"/>
    <cellStyle name="Normal 8 4 2 2 5 3" xfId="6522" xr:uid="{00000000-0005-0000-0000-0000E11D0000}"/>
    <cellStyle name="Normal 8 4 2 2 5 3 2" xfId="22638" xr:uid="{318F1D02-E84D-46BA-860D-76FA20EEBAB5}"/>
    <cellStyle name="Normal 8 4 2 2 5 3 3" xfId="15017" xr:uid="{1AB18521-7DB3-4BCA-ADC2-C0B6C084DAB4}"/>
    <cellStyle name="Normal 8 4 2 2 5 4" xfId="18425" xr:uid="{365E2903-7DAB-4766-8002-AF98F71CCCF0}"/>
    <cellStyle name="Normal 8 4 2 2 5 5" xfId="10804" xr:uid="{3650A3C8-3949-4083-9F20-7DECC17B65A1}"/>
    <cellStyle name="Normal 8 4 2 2 6" xfId="2652" xr:uid="{00000000-0005-0000-0000-0000E21D0000}"/>
    <cellStyle name="Normal 8 4 2 2 6 2" xfId="6935" xr:uid="{00000000-0005-0000-0000-0000E31D0000}"/>
    <cellStyle name="Normal 8 4 2 2 6 2 2" xfId="23051" xr:uid="{6CD76492-AAF9-4C59-80E5-B5B5378C0DCA}"/>
    <cellStyle name="Normal 8 4 2 2 6 2 3" xfId="15430" xr:uid="{6454F4B4-25B1-4170-88D3-0092242DF2F8}"/>
    <cellStyle name="Normal 8 4 2 2 6 3" xfId="18838" xr:uid="{2A4EDC12-73C8-4F8E-A440-83FDD8AFC6A0}"/>
    <cellStyle name="Normal 8 4 2 2 6 4" xfId="11217" xr:uid="{9E3FBAF2-AA23-410F-A09E-42612E524B29}"/>
    <cellStyle name="Normal 8 4 2 2 7" xfId="4870" xr:uid="{00000000-0005-0000-0000-0000E41D0000}"/>
    <cellStyle name="Normal 8 4 2 2 7 2" xfId="20986" xr:uid="{A218CE5C-928E-41E4-B1E4-FD3D8A48D90A}"/>
    <cellStyle name="Normal 8 4 2 2 7 3" xfId="13365" xr:uid="{E13CF39B-B93E-42B9-A527-5929C17681E2}"/>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2 2 2" xfId="23543" xr:uid="{CA3D166F-BE93-4B3E-BAE8-B9936EE63600}"/>
    <cellStyle name="Normal 8 4 2 3 2 2 3" xfId="15922" xr:uid="{B9F4E16D-94EB-4349-B9D8-7B59C3AEFFF0}"/>
    <cellStyle name="Normal 8 4 2 3 2 3" xfId="19330" xr:uid="{41CF9C8F-8451-47DA-81F0-5CEC9473B9A7}"/>
    <cellStyle name="Normal 8 4 2 3 2 4" xfId="11709" xr:uid="{3732532A-C1E7-459D-9836-339597D56944}"/>
    <cellStyle name="Normal 8 4 2 3 3" xfId="5282" xr:uid="{00000000-0005-0000-0000-0000E81D0000}"/>
    <cellStyle name="Normal 8 4 2 3 3 2" xfId="21398" xr:uid="{D3282699-202A-4BA5-B0B4-C45933E80799}"/>
    <cellStyle name="Normal 8 4 2 3 3 3" xfId="13777" xr:uid="{6B526D6E-1B3D-4E50-8E2B-7559765DE186}"/>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2 2 2" xfId="23956" xr:uid="{683ABD52-B42D-40CE-9830-2054B1B55907}"/>
    <cellStyle name="Normal 8 4 2 4 2 2 3" xfId="16335" xr:uid="{BB502F80-6146-4628-896D-7A5D507383A1}"/>
    <cellStyle name="Normal 8 4 2 4 2 3" xfId="19743" xr:uid="{ED6F3C7A-B6FD-4704-8F31-82816CB8C0CA}"/>
    <cellStyle name="Normal 8 4 2 4 2 4" xfId="12122" xr:uid="{54878670-C920-42A5-96D9-AED67C136660}"/>
    <cellStyle name="Normal 8 4 2 4 3" xfId="5695" xr:uid="{00000000-0005-0000-0000-0000EC1D0000}"/>
    <cellStyle name="Normal 8 4 2 4 3 2" xfId="21811" xr:uid="{6BFE8A85-BA6C-4B2B-A19A-9DB72133C031}"/>
    <cellStyle name="Normal 8 4 2 4 3 3" xfId="14190" xr:uid="{4B13FB4B-1A34-4755-9905-7ED94FB0BF7D}"/>
    <cellStyle name="Normal 8 4 2 4 4" xfId="17598" xr:uid="{CDBEB831-2748-4A34-95D6-49B8A35C99E9}"/>
    <cellStyle name="Normal 8 4 2 4 5" xfId="9977" xr:uid="{9565BBAF-C8B9-4549-B8EF-FBD763605E73}"/>
    <cellStyle name="Normal 8 4 2 5" xfId="1801" xr:uid="{00000000-0005-0000-0000-0000ED1D0000}"/>
    <cellStyle name="Normal 8 4 2 5 2" xfId="4031" xr:uid="{00000000-0005-0000-0000-0000EE1D0000}"/>
    <cellStyle name="Normal 8 4 2 5 2 2" xfId="8253" xr:uid="{00000000-0005-0000-0000-0000EF1D0000}"/>
    <cellStyle name="Normal 8 4 2 5 2 2 2" xfId="24369" xr:uid="{5CB62A9A-4F65-4813-BB9E-829C57A6B824}"/>
    <cellStyle name="Normal 8 4 2 5 2 2 3" xfId="16748" xr:uid="{B126381B-C3AC-4810-ADE9-C01947511F18}"/>
    <cellStyle name="Normal 8 4 2 5 2 3" xfId="20156" xr:uid="{8AAA1E34-6EEF-45F2-8A36-C90449FD40CC}"/>
    <cellStyle name="Normal 8 4 2 5 2 4" xfId="12535" xr:uid="{1AD48100-91CB-4160-9679-0EBA9A043CCA}"/>
    <cellStyle name="Normal 8 4 2 5 3" xfId="6108" xr:uid="{00000000-0005-0000-0000-0000F01D0000}"/>
    <cellStyle name="Normal 8 4 2 5 3 2" xfId="22224" xr:uid="{0E88FDC0-B22C-48B0-9666-E8A05F2ECB71}"/>
    <cellStyle name="Normal 8 4 2 5 3 3" xfId="14603" xr:uid="{CF867C53-23CF-4F38-BA12-3AC32BC6B7E6}"/>
    <cellStyle name="Normal 8 4 2 5 4" xfId="18011" xr:uid="{2C1E0D57-7BE3-4C2F-95F6-E27D9605C456}"/>
    <cellStyle name="Normal 8 4 2 5 5" xfId="10390" xr:uid="{A4CB6D6D-CDD7-4398-AF8B-A2562C79A137}"/>
    <cellStyle name="Normal 8 4 2 6" xfId="2215" xr:uid="{00000000-0005-0000-0000-0000F11D0000}"/>
    <cellStyle name="Normal 8 4 2 6 2" xfId="4444" xr:uid="{00000000-0005-0000-0000-0000F21D0000}"/>
    <cellStyle name="Normal 8 4 2 6 2 2" xfId="8666" xr:uid="{00000000-0005-0000-0000-0000F31D0000}"/>
    <cellStyle name="Normal 8 4 2 6 2 2 2" xfId="24782" xr:uid="{F949988C-1064-4696-AE80-D310993AF3CE}"/>
    <cellStyle name="Normal 8 4 2 6 2 2 3" xfId="17161" xr:uid="{C17F6FA5-9243-4BA6-B6C0-F854387B746E}"/>
    <cellStyle name="Normal 8 4 2 6 2 3" xfId="20569" xr:uid="{9C4135D3-4F4C-40FB-8A95-1988EBA019A1}"/>
    <cellStyle name="Normal 8 4 2 6 2 4" xfId="12948" xr:uid="{316AF909-404D-4E1D-B010-89F2901EAB43}"/>
    <cellStyle name="Normal 8 4 2 6 3" xfId="6521" xr:uid="{00000000-0005-0000-0000-0000F41D0000}"/>
    <cellStyle name="Normal 8 4 2 6 3 2" xfId="22637" xr:uid="{3D6B59E2-C020-4FFF-85BA-65118EDA063C}"/>
    <cellStyle name="Normal 8 4 2 6 3 3" xfId="15016" xr:uid="{C7F80B84-151B-4C16-B562-0DA5E82A0C40}"/>
    <cellStyle name="Normal 8 4 2 6 4" xfId="18424" xr:uid="{7DE284C0-4F7E-4C53-8996-1632489D4E26}"/>
    <cellStyle name="Normal 8 4 2 6 5" xfId="10803" xr:uid="{1E7B2B48-CE02-48B5-9F64-515199039BC8}"/>
    <cellStyle name="Normal 8 4 2 7" xfId="2651" xr:uid="{00000000-0005-0000-0000-0000F51D0000}"/>
    <cellStyle name="Normal 8 4 2 7 2" xfId="6934" xr:uid="{00000000-0005-0000-0000-0000F61D0000}"/>
    <cellStyle name="Normal 8 4 2 7 2 2" xfId="23050" xr:uid="{2F639664-D1EA-4E2C-AD96-CC4C9BA97637}"/>
    <cellStyle name="Normal 8 4 2 7 2 3" xfId="15429" xr:uid="{BB660C86-06F1-4E62-B8FF-2C4A124C8876}"/>
    <cellStyle name="Normal 8 4 2 7 3" xfId="18837" xr:uid="{A1EF2BA5-B260-42C9-BCBC-908097E323C7}"/>
    <cellStyle name="Normal 8 4 2 7 4" xfId="11216" xr:uid="{F2D20480-9D39-4720-8A22-131E85E42D94}"/>
    <cellStyle name="Normal 8 4 2 8" xfId="4869" xr:uid="{00000000-0005-0000-0000-0000F71D0000}"/>
    <cellStyle name="Normal 8 4 2 8 2" xfId="20985" xr:uid="{CD204804-799C-4EF2-A9A6-609AF18CB99C}"/>
    <cellStyle name="Normal 8 4 2 8 3" xfId="13364" xr:uid="{9C6DC121-3417-4591-B13D-DF562287FBA8}"/>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23545" xr:uid="{152EB0B8-CB69-482F-93AB-AB959775E4F2}"/>
    <cellStyle name="Normal 8 4 3 2 2 2 3" xfId="15924" xr:uid="{E0411A5D-FEF2-4FEF-8B03-9E944ED7A139}"/>
    <cellStyle name="Normal 8 4 3 2 2 3" xfId="19332" xr:uid="{C46C3A9A-14B9-41F9-88D1-A30DCA679806}"/>
    <cellStyle name="Normal 8 4 3 2 2 4" xfId="11711" xr:uid="{407D3566-4F11-4CDE-8326-D5CC9554F55F}"/>
    <cellStyle name="Normal 8 4 3 2 3" xfId="5284" xr:uid="{00000000-0005-0000-0000-0000FC1D0000}"/>
    <cellStyle name="Normal 8 4 3 2 3 2" xfId="21400" xr:uid="{9DB04880-32A4-4910-B468-5C2C85980E97}"/>
    <cellStyle name="Normal 8 4 3 2 3 3" xfId="13779" xr:uid="{9E314DD1-5C71-4015-AB97-E4E7C1F2EE6F}"/>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2 2 2" xfId="23958" xr:uid="{E9C066E8-DED3-4E17-9229-4FFA15FE8B27}"/>
    <cellStyle name="Normal 8 4 3 3 2 2 3" xfId="16337" xr:uid="{8A9946B3-C575-428E-BA11-1183223EBF12}"/>
    <cellStyle name="Normal 8 4 3 3 2 3" xfId="19745" xr:uid="{CD7D5416-D8A4-42F4-A5EE-DFC98609C349}"/>
    <cellStyle name="Normal 8 4 3 3 2 4" xfId="12124" xr:uid="{78D73755-4B71-4BA4-98D3-05D2C89AE66C}"/>
    <cellStyle name="Normal 8 4 3 3 3" xfId="5697" xr:uid="{00000000-0005-0000-0000-0000001E0000}"/>
    <cellStyle name="Normal 8 4 3 3 3 2" xfId="21813" xr:uid="{1F868E1C-4756-4AE4-A098-253E843C5BFD}"/>
    <cellStyle name="Normal 8 4 3 3 3 3" xfId="14192" xr:uid="{77D4D640-2277-412B-A31B-1FF5DF31F013}"/>
    <cellStyle name="Normal 8 4 3 3 4" xfId="17600" xr:uid="{54D2523C-1D20-4463-906F-87465A141F80}"/>
    <cellStyle name="Normal 8 4 3 3 5" xfId="9979" xr:uid="{71AFA3D8-4852-49EA-B85A-92AD5AC3BD0E}"/>
    <cellStyle name="Normal 8 4 3 4" xfId="1803" xr:uid="{00000000-0005-0000-0000-0000011E0000}"/>
    <cellStyle name="Normal 8 4 3 4 2" xfId="4033" xr:uid="{00000000-0005-0000-0000-0000021E0000}"/>
    <cellStyle name="Normal 8 4 3 4 2 2" xfId="8255" xr:uid="{00000000-0005-0000-0000-0000031E0000}"/>
    <cellStyle name="Normal 8 4 3 4 2 2 2" xfId="24371" xr:uid="{81563596-3228-4BD5-B0EF-C3FD7B176279}"/>
    <cellStyle name="Normal 8 4 3 4 2 2 3" xfId="16750" xr:uid="{19805F9F-5B5C-425E-BFB0-00C9E6664953}"/>
    <cellStyle name="Normal 8 4 3 4 2 3" xfId="20158" xr:uid="{C62D5653-D0B6-478E-8650-B159783B188E}"/>
    <cellStyle name="Normal 8 4 3 4 2 4" xfId="12537" xr:uid="{95C93BA7-B30A-41F7-85FE-7C629B404D8B}"/>
    <cellStyle name="Normal 8 4 3 4 3" xfId="6110" xr:uid="{00000000-0005-0000-0000-0000041E0000}"/>
    <cellStyle name="Normal 8 4 3 4 3 2" xfId="22226" xr:uid="{E926068C-1CB1-4999-925A-BA8790D3A06F}"/>
    <cellStyle name="Normal 8 4 3 4 3 3" xfId="14605" xr:uid="{DB8ACC23-08CE-4BD9-A95E-C118BBC4449E}"/>
    <cellStyle name="Normal 8 4 3 4 4" xfId="18013" xr:uid="{D019C5A9-E293-4D36-9A15-428B3310C4E2}"/>
    <cellStyle name="Normal 8 4 3 4 5" xfId="10392" xr:uid="{84C9EA05-9A86-4173-97DA-1E70F33AEB63}"/>
    <cellStyle name="Normal 8 4 3 5" xfId="2217" xr:uid="{00000000-0005-0000-0000-0000051E0000}"/>
    <cellStyle name="Normal 8 4 3 5 2" xfId="4446" xr:uid="{00000000-0005-0000-0000-0000061E0000}"/>
    <cellStyle name="Normal 8 4 3 5 2 2" xfId="8668" xr:uid="{00000000-0005-0000-0000-0000071E0000}"/>
    <cellStyle name="Normal 8 4 3 5 2 2 2" xfId="24784" xr:uid="{97CB96F3-2F64-44EC-BF96-9526A5DEF5B4}"/>
    <cellStyle name="Normal 8 4 3 5 2 2 3" xfId="17163" xr:uid="{45CE391B-37FA-4E49-8943-30787BA7C731}"/>
    <cellStyle name="Normal 8 4 3 5 2 3" xfId="20571" xr:uid="{06A1CFE8-5BCD-430D-A40D-542C8FC43878}"/>
    <cellStyle name="Normal 8 4 3 5 2 4" xfId="12950" xr:uid="{FD197024-E649-4885-8B33-CA1C74DCF771}"/>
    <cellStyle name="Normal 8 4 3 5 3" xfId="6523" xr:uid="{00000000-0005-0000-0000-0000081E0000}"/>
    <cellStyle name="Normal 8 4 3 5 3 2" xfId="22639" xr:uid="{ED5178FA-9FAB-4C21-9E62-45496258845E}"/>
    <cellStyle name="Normal 8 4 3 5 3 3" xfId="15018" xr:uid="{8444541A-B52D-4CFF-AD50-2B91D1AB4350}"/>
    <cellStyle name="Normal 8 4 3 5 4" xfId="18426" xr:uid="{8F4A0EFA-4F22-4830-A130-4BD17B4D5CDB}"/>
    <cellStyle name="Normal 8 4 3 5 5" xfId="10805" xr:uid="{BF770180-AF09-4DB6-B510-3DE33FD38DE6}"/>
    <cellStyle name="Normal 8 4 3 6" xfId="2653" xr:uid="{00000000-0005-0000-0000-0000091E0000}"/>
    <cellStyle name="Normal 8 4 3 6 2" xfId="6936" xr:uid="{00000000-0005-0000-0000-00000A1E0000}"/>
    <cellStyle name="Normal 8 4 3 6 2 2" xfId="23052" xr:uid="{2649B702-AC9E-4136-833E-1A4FD4F69EDE}"/>
    <cellStyle name="Normal 8 4 3 6 2 3" xfId="15431" xr:uid="{8B8840A3-07F4-4CC1-AF5D-DDAF737E0961}"/>
    <cellStyle name="Normal 8 4 3 6 3" xfId="18839" xr:uid="{B4D0E5EA-A58F-49C3-B7F0-56EBAD3CCFE1}"/>
    <cellStyle name="Normal 8 4 3 6 4" xfId="11218" xr:uid="{24B45E2F-FE0D-41A3-91D4-653DD8A5771F}"/>
    <cellStyle name="Normal 8 4 3 7" xfId="4871" xr:uid="{00000000-0005-0000-0000-00000B1E0000}"/>
    <cellStyle name="Normal 8 4 3 7 2" xfId="20987" xr:uid="{647C83A7-86EF-430D-9A68-76634B60B3B7}"/>
    <cellStyle name="Normal 8 4 3 7 3" xfId="13366" xr:uid="{CB002010-1BE8-4DAE-84AD-4E7E1B1C1FE5}"/>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2 2 2" xfId="23542" xr:uid="{59F5B726-DC47-4D4A-9E10-D57D1D3F0CD9}"/>
    <cellStyle name="Normal 8 4 4 2 2 3" xfId="15921" xr:uid="{F861D61F-354F-41D8-9B99-2A9618CB3704}"/>
    <cellStyle name="Normal 8 4 4 2 3" xfId="19329" xr:uid="{E08BF61F-3D6F-432A-9470-8CF56FE27938}"/>
    <cellStyle name="Normal 8 4 4 2 4" xfId="11708" xr:uid="{2403DCB5-09E8-4905-9626-6E8D000B51B1}"/>
    <cellStyle name="Normal 8 4 4 3" xfId="5281" xr:uid="{00000000-0005-0000-0000-00000F1E0000}"/>
    <cellStyle name="Normal 8 4 4 3 2" xfId="21397" xr:uid="{A4BF48C0-138C-4F9F-AAAC-D2801180FA55}"/>
    <cellStyle name="Normal 8 4 4 3 3" xfId="13776" xr:uid="{56CB5A78-5E43-4580-81D8-6588874AB662}"/>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2 2 2" xfId="23955" xr:uid="{B14D25C6-1B14-43D3-A8BF-8D9E22DBCB45}"/>
    <cellStyle name="Normal 8 4 5 2 2 3" xfId="16334" xr:uid="{C3B03824-2CFB-425C-90ED-22F5FE396E4C}"/>
    <cellStyle name="Normal 8 4 5 2 3" xfId="19742" xr:uid="{DE331264-A0EE-41CA-A491-6BD3E0017055}"/>
    <cellStyle name="Normal 8 4 5 2 4" xfId="12121" xr:uid="{428CC391-E4FD-46FE-9682-56492A3F3BCA}"/>
    <cellStyle name="Normal 8 4 5 3" xfId="5694" xr:uid="{00000000-0005-0000-0000-0000131E0000}"/>
    <cellStyle name="Normal 8 4 5 3 2" xfId="21810" xr:uid="{81796381-129E-4B29-B155-854421B1A908}"/>
    <cellStyle name="Normal 8 4 5 3 3" xfId="14189" xr:uid="{DA3B977F-2982-49D6-B872-745EAF09A31F}"/>
    <cellStyle name="Normal 8 4 5 4" xfId="17597" xr:uid="{02C59AB6-4C9D-4D80-82E1-9EB71B06FF44}"/>
    <cellStyle name="Normal 8 4 5 5" xfId="9976" xr:uid="{71CFC386-04DD-4982-85E3-C9724AE6E017}"/>
    <cellStyle name="Normal 8 4 6" xfId="1800" xr:uid="{00000000-0005-0000-0000-0000141E0000}"/>
    <cellStyle name="Normal 8 4 6 2" xfId="4030" xr:uid="{00000000-0005-0000-0000-0000151E0000}"/>
    <cellStyle name="Normal 8 4 6 2 2" xfId="8252" xr:uid="{00000000-0005-0000-0000-0000161E0000}"/>
    <cellStyle name="Normal 8 4 6 2 2 2" xfId="24368" xr:uid="{003E7EEF-0503-4E08-9C14-BE587057C03F}"/>
    <cellStyle name="Normal 8 4 6 2 2 3" xfId="16747" xr:uid="{ED3AA267-2BEB-4F3F-AC09-DE37A019F951}"/>
    <cellStyle name="Normal 8 4 6 2 3" xfId="20155" xr:uid="{95C9D89E-3136-4A7C-B42E-9F5DA3675E91}"/>
    <cellStyle name="Normal 8 4 6 2 4" xfId="12534" xr:uid="{739D8182-D255-4905-A432-165982C5EF2A}"/>
    <cellStyle name="Normal 8 4 6 3" xfId="6107" xr:uid="{00000000-0005-0000-0000-0000171E0000}"/>
    <cellStyle name="Normal 8 4 6 3 2" xfId="22223" xr:uid="{284EB5DD-5ED7-4717-96FB-9E4E840F1A03}"/>
    <cellStyle name="Normal 8 4 6 3 3" xfId="14602" xr:uid="{BB765265-D094-4F0B-B53C-84AE94CEA963}"/>
    <cellStyle name="Normal 8 4 6 4" xfId="18010" xr:uid="{8A23D0D2-8606-4A99-A91E-7FE8D16899AC}"/>
    <cellStyle name="Normal 8 4 6 5" xfId="10389" xr:uid="{A60C214A-C9BA-4115-9248-A495CB977A48}"/>
    <cellStyle name="Normal 8 4 7" xfId="2214" xr:uid="{00000000-0005-0000-0000-0000181E0000}"/>
    <cellStyle name="Normal 8 4 7 2" xfId="4443" xr:uid="{00000000-0005-0000-0000-0000191E0000}"/>
    <cellStyle name="Normal 8 4 7 2 2" xfId="8665" xr:uid="{00000000-0005-0000-0000-00001A1E0000}"/>
    <cellStyle name="Normal 8 4 7 2 2 2" xfId="24781" xr:uid="{AF1A7984-2FA6-488C-89B3-30620B9B6260}"/>
    <cellStyle name="Normal 8 4 7 2 2 3" xfId="17160" xr:uid="{ADC006D6-AC79-4175-B429-1D9E6B293464}"/>
    <cellStyle name="Normal 8 4 7 2 3" xfId="20568" xr:uid="{6F055527-8026-4B75-890A-26992A7168EE}"/>
    <cellStyle name="Normal 8 4 7 2 4" xfId="12947" xr:uid="{A4C986E9-E064-47A2-A21D-7A2F46A60F26}"/>
    <cellStyle name="Normal 8 4 7 3" xfId="6520" xr:uid="{00000000-0005-0000-0000-00001B1E0000}"/>
    <cellStyle name="Normal 8 4 7 3 2" xfId="22636" xr:uid="{689C5459-CA3D-486B-B1DA-46455DC5B14B}"/>
    <cellStyle name="Normal 8 4 7 3 3" xfId="15015" xr:uid="{F28AF020-2B42-4F5E-8EBC-1AE9845B683E}"/>
    <cellStyle name="Normal 8 4 7 4" xfId="18423" xr:uid="{E3811CCD-201B-4E56-B0B8-CE40F5A74DFA}"/>
    <cellStyle name="Normal 8 4 7 5" xfId="10802" xr:uid="{EE0A48AE-1CF6-4D53-88D4-FB7C2DA1FAC8}"/>
    <cellStyle name="Normal 8 4 8" xfId="2650" xr:uid="{00000000-0005-0000-0000-00001C1E0000}"/>
    <cellStyle name="Normal 8 4 8 2" xfId="6933" xr:uid="{00000000-0005-0000-0000-00001D1E0000}"/>
    <cellStyle name="Normal 8 4 8 2 2" xfId="23049" xr:uid="{EB6AA257-277D-4413-93B8-CE17CDEEC3D5}"/>
    <cellStyle name="Normal 8 4 8 2 3" xfId="15428" xr:uid="{CCF8A851-836C-496B-87A9-D00F264B071A}"/>
    <cellStyle name="Normal 8 4 8 3" xfId="18836" xr:uid="{FD8406D1-19E5-442B-89EC-9F79DAE3593E}"/>
    <cellStyle name="Normal 8 4 8 4" xfId="11215" xr:uid="{7A94F74B-305D-4C1F-BF26-31E8B2FAE85A}"/>
    <cellStyle name="Normal 8 4 9" xfId="4868" xr:uid="{00000000-0005-0000-0000-00001E1E0000}"/>
    <cellStyle name="Normal 8 4 9 2" xfId="20984" xr:uid="{1199C771-3B0B-4C88-ADF9-AD00FEDEF905}"/>
    <cellStyle name="Normal 8 4 9 3" xfId="13363" xr:uid="{559F5C15-0436-4361-8B83-2F611A2CEBBF}"/>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23547" xr:uid="{4CB424D8-A4A4-4463-8ABD-3D123657ECE7}"/>
    <cellStyle name="Normal 8 5 2 2 2 2 3" xfId="15926" xr:uid="{6DC0186A-4D17-430E-8DF7-3B6E4B38B59C}"/>
    <cellStyle name="Normal 8 5 2 2 2 3" xfId="19334" xr:uid="{54FEE34F-5D65-469F-9452-FE4ABD7E5D3A}"/>
    <cellStyle name="Normal 8 5 2 2 2 4" xfId="11713" xr:uid="{D74D5C83-8705-43A8-B109-94B8E8775658}"/>
    <cellStyle name="Normal 8 5 2 2 3" xfId="5286" xr:uid="{00000000-0005-0000-0000-0000241E0000}"/>
    <cellStyle name="Normal 8 5 2 2 3 2" xfId="21402" xr:uid="{2FA27C90-F5FE-4EDA-83E6-C326FB8FE702}"/>
    <cellStyle name="Normal 8 5 2 2 3 3" xfId="13781" xr:uid="{39694700-E3BA-491F-8A0F-665E006AB0E4}"/>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2 2 2" xfId="23960" xr:uid="{248A703C-8BC1-4C49-BEDD-D7BA17DFD802}"/>
    <cellStyle name="Normal 8 5 2 3 2 2 3" xfId="16339" xr:uid="{6C04F77A-7BEB-41A7-8EBC-9F33224FBF6B}"/>
    <cellStyle name="Normal 8 5 2 3 2 3" xfId="19747" xr:uid="{9FBEAB96-E051-4CCB-91F7-E23585445F4A}"/>
    <cellStyle name="Normal 8 5 2 3 2 4" xfId="12126" xr:uid="{48BFC31E-C51B-44A6-98D5-3EB0717B3ECD}"/>
    <cellStyle name="Normal 8 5 2 3 3" xfId="5699" xr:uid="{00000000-0005-0000-0000-0000281E0000}"/>
    <cellStyle name="Normal 8 5 2 3 3 2" xfId="21815" xr:uid="{3F8B8E93-B002-41B8-AAA2-5988940E67B8}"/>
    <cellStyle name="Normal 8 5 2 3 3 3" xfId="14194" xr:uid="{E7D16D3B-09AB-4E85-88B1-1CD7E5CB581F}"/>
    <cellStyle name="Normal 8 5 2 3 4" xfId="17602" xr:uid="{2F629541-9077-4CFF-B9FF-587EBA256AB5}"/>
    <cellStyle name="Normal 8 5 2 3 5" xfId="9981" xr:uid="{3703D93B-6635-43EA-83D0-3B9F7E034E7B}"/>
    <cellStyle name="Normal 8 5 2 4" xfId="1805" xr:uid="{00000000-0005-0000-0000-0000291E0000}"/>
    <cellStyle name="Normal 8 5 2 4 2" xfId="4035" xr:uid="{00000000-0005-0000-0000-00002A1E0000}"/>
    <cellStyle name="Normal 8 5 2 4 2 2" xfId="8257" xr:uid="{00000000-0005-0000-0000-00002B1E0000}"/>
    <cellStyle name="Normal 8 5 2 4 2 2 2" xfId="24373" xr:uid="{541D2546-2A84-4542-A1E5-E4E6B9022944}"/>
    <cellStyle name="Normal 8 5 2 4 2 2 3" xfId="16752" xr:uid="{B3EFA1F0-3CDD-4110-BE0D-4668E55F70FC}"/>
    <cellStyle name="Normal 8 5 2 4 2 3" xfId="20160" xr:uid="{65E94F4E-9803-4B1A-8B6D-C359A2E37BC0}"/>
    <cellStyle name="Normal 8 5 2 4 2 4" xfId="12539" xr:uid="{B0D3D329-2418-443C-B1E0-BD6A641F2CC8}"/>
    <cellStyle name="Normal 8 5 2 4 3" xfId="6112" xr:uid="{00000000-0005-0000-0000-00002C1E0000}"/>
    <cellStyle name="Normal 8 5 2 4 3 2" xfId="22228" xr:uid="{579FE421-6F82-4288-8015-63F4A20944F9}"/>
    <cellStyle name="Normal 8 5 2 4 3 3" xfId="14607" xr:uid="{6E95E1FD-6E59-4FE4-9122-EB1CF38476B8}"/>
    <cellStyle name="Normal 8 5 2 4 4" xfId="18015" xr:uid="{FA917C45-F526-44F4-9CCB-3DA1B6129655}"/>
    <cellStyle name="Normal 8 5 2 4 5" xfId="10394" xr:uid="{31A13D6C-865F-4E17-B7A6-EAA27233DD6D}"/>
    <cellStyle name="Normal 8 5 2 5" xfId="2219" xr:uid="{00000000-0005-0000-0000-00002D1E0000}"/>
    <cellStyle name="Normal 8 5 2 5 2" xfId="4448" xr:uid="{00000000-0005-0000-0000-00002E1E0000}"/>
    <cellStyle name="Normal 8 5 2 5 2 2" xfId="8670" xr:uid="{00000000-0005-0000-0000-00002F1E0000}"/>
    <cellStyle name="Normal 8 5 2 5 2 2 2" xfId="24786" xr:uid="{5D466C12-8EF3-402F-AC77-58F40B8704A3}"/>
    <cellStyle name="Normal 8 5 2 5 2 2 3" xfId="17165" xr:uid="{0755E9E7-D409-4CBC-B18F-EF2865F53EB9}"/>
    <cellStyle name="Normal 8 5 2 5 2 3" xfId="20573" xr:uid="{B3D649B5-14CB-4788-92CE-1F685F6EE420}"/>
    <cellStyle name="Normal 8 5 2 5 2 4" xfId="12952" xr:uid="{FC28DD53-FD98-46DF-93EE-561B2F2CE4E5}"/>
    <cellStyle name="Normal 8 5 2 5 3" xfId="6525" xr:uid="{00000000-0005-0000-0000-0000301E0000}"/>
    <cellStyle name="Normal 8 5 2 5 3 2" xfId="22641" xr:uid="{D6F0603D-738A-4A37-BA59-37CB500EDF27}"/>
    <cellStyle name="Normal 8 5 2 5 3 3" xfId="15020" xr:uid="{DA2FDAEA-4EA2-448B-AD67-858CDE6E48FC}"/>
    <cellStyle name="Normal 8 5 2 5 4" xfId="18428" xr:uid="{9C59590A-BF9B-4F20-A783-436B3D655838}"/>
    <cellStyle name="Normal 8 5 2 5 5" xfId="10807" xr:uid="{7BA68872-B805-4666-90E9-61D1343647D4}"/>
    <cellStyle name="Normal 8 5 2 6" xfId="2655" xr:uid="{00000000-0005-0000-0000-0000311E0000}"/>
    <cellStyle name="Normal 8 5 2 6 2" xfId="6938" xr:uid="{00000000-0005-0000-0000-0000321E0000}"/>
    <cellStyle name="Normal 8 5 2 6 2 2" xfId="23054" xr:uid="{7F212247-0B44-4028-B0AC-F4CAF99E86DD}"/>
    <cellStyle name="Normal 8 5 2 6 2 3" xfId="15433" xr:uid="{9F714791-73E6-4AAE-BB3D-AEFEFE08AF7D}"/>
    <cellStyle name="Normal 8 5 2 6 3" xfId="18841" xr:uid="{A7336150-DFF1-4945-A953-5A4AACC6C8FE}"/>
    <cellStyle name="Normal 8 5 2 6 4" xfId="11220" xr:uid="{F650F2EB-837A-4A86-A0F1-2FF974BACE49}"/>
    <cellStyle name="Normal 8 5 2 7" xfId="4873" xr:uid="{00000000-0005-0000-0000-0000331E0000}"/>
    <cellStyle name="Normal 8 5 2 7 2" xfId="20989" xr:uid="{6212F994-B4DC-43F2-9CBC-11EC2CE68A9A}"/>
    <cellStyle name="Normal 8 5 2 7 3" xfId="13368" xr:uid="{7EF1A587-C4A7-4589-B06B-DF367CF5DDE3}"/>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2 2 2" xfId="23546" xr:uid="{E85B00F3-066B-4DEE-9DFB-95AFC7E1F56B}"/>
    <cellStyle name="Normal 8 5 3 2 2 3" xfId="15925" xr:uid="{DF082D78-07EB-4F19-A825-48A4B0D533E3}"/>
    <cellStyle name="Normal 8 5 3 2 3" xfId="19333" xr:uid="{333FDE72-20D1-4FC6-AF5E-33B8CE5FBB1E}"/>
    <cellStyle name="Normal 8 5 3 2 4" xfId="11712" xr:uid="{94527B3E-D8E6-4540-A080-2D993EE46106}"/>
    <cellStyle name="Normal 8 5 3 3" xfId="5285" xr:uid="{00000000-0005-0000-0000-0000371E0000}"/>
    <cellStyle name="Normal 8 5 3 3 2" xfId="21401" xr:uid="{9FCDF21C-1B22-4797-864E-F6F2C34A0631}"/>
    <cellStyle name="Normal 8 5 3 3 3" xfId="13780" xr:uid="{116C352C-B76B-4050-9187-45812C41324D}"/>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2 2 2" xfId="23959" xr:uid="{4875D404-47A2-4248-824F-E7614FF3BD16}"/>
    <cellStyle name="Normal 8 5 4 2 2 3" xfId="16338" xr:uid="{03985161-C2F6-4BC3-B610-2095601CF937}"/>
    <cellStyle name="Normal 8 5 4 2 3" xfId="19746" xr:uid="{6B1A8DBF-4CDE-41EE-908F-8570E9636573}"/>
    <cellStyle name="Normal 8 5 4 2 4" xfId="12125" xr:uid="{FDA7B7E2-CB0B-43DA-B46C-4491D2F9E8DF}"/>
    <cellStyle name="Normal 8 5 4 3" xfId="5698" xr:uid="{00000000-0005-0000-0000-00003B1E0000}"/>
    <cellStyle name="Normal 8 5 4 3 2" xfId="21814" xr:uid="{B4E123F7-5F39-431F-AC2C-D7ED12F9AA83}"/>
    <cellStyle name="Normal 8 5 4 3 3" xfId="14193" xr:uid="{54947BB5-7361-48A3-ABE2-CEFA5738A2B4}"/>
    <cellStyle name="Normal 8 5 4 4" xfId="17601" xr:uid="{C42022B9-D4E8-4146-B134-98D15A414302}"/>
    <cellStyle name="Normal 8 5 4 5" xfId="9980" xr:uid="{F31C3EE2-2F0E-4453-B351-F391EFB42FB1}"/>
    <cellStyle name="Normal 8 5 5" xfId="1804" xr:uid="{00000000-0005-0000-0000-00003C1E0000}"/>
    <cellStyle name="Normal 8 5 5 2" xfId="4034" xr:uid="{00000000-0005-0000-0000-00003D1E0000}"/>
    <cellStyle name="Normal 8 5 5 2 2" xfId="8256" xr:uid="{00000000-0005-0000-0000-00003E1E0000}"/>
    <cellStyle name="Normal 8 5 5 2 2 2" xfId="24372" xr:uid="{9D89187A-410B-4A5B-A258-302B748FFF3A}"/>
    <cellStyle name="Normal 8 5 5 2 2 3" xfId="16751" xr:uid="{CAC4E712-2E74-459D-ADE4-121E3C86B8E3}"/>
    <cellStyle name="Normal 8 5 5 2 3" xfId="20159" xr:uid="{D7C343DD-F45C-481D-B492-BC20BE6B0FAE}"/>
    <cellStyle name="Normal 8 5 5 2 4" xfId="12538" xr:uid="{5D0DDD49-AF82-4083-8DFF-605A7D8EC5E5}"/>
    <cellStyle name="Normal 8 5 5 3" xfId="6111" xr:uid="{00000000-0005-0000-0000-00003F1E0000}"/>
    <cellStyle name="Normal 8 5 5 3 2" xfId="22227" xr:uid="{7B0B1827-D06B-45B5-BB5E-B72FD9C3434A}"/>
    <cellStyle name="Normal 8 5 5 3 3" xfId="14606" xr:uid="{BA930E3B-EFCE-4CBE-8F23-326C58AC1DDE}"/>
    <cellStyle name="Normal 8 5 5 4" xfId="18014" xr:uid="{CEEA9843-4C59-4AD1-8702-08C5B38A1680}"/>
    <cellStyle name="Normal 8 5 5 5" xfId="10393" xr:uid="{BE5EA4D3-039D-4DCB-A9A1-01428437F61F}"/>
    <cellStyle name="Normal 8 5 6" xfId="2218" xr:uid="{00000000-0005-0000-0000-0000401E0000}"/>
    <cellStyle name="Normal 8 5 6 2" xfId="4447" xr:uid="{00000000-0005-0000-0000-0000411E0000}"/>
    <cellStyle name="Normal 8 5 6 2 2" xfId="8669" xr:uid="{00000000-0005-0000-0000-0000421E0000}"/>
    <cellStyle name="Normal 8 5 6 2 2 2" xfId="24785" xr:uid="{8E4CF18B-588A-4A32-B6F5-9223321AB586}"/>
    <cellStyle name="Normal 8 5 6 2 2 3" xfId="17164" xr:uid="{80E90246-870C-4978-807C-7416150145C7}"/>
    <cellStyle name="Normal 8 5 6 2 3" xfId="20572" xr:uid="{15DD7018-694D-47F4-AC1D-5B123F780E8E}"/>
    <cellStyle name="Normal 8 5 6 2 4" xfId="12951" xr:uid="{112E4062-ADD9-43C7-BFB1-710EE31EEFCA}"/>
    <cellStyle name="Normal 8 5 6 3" xfId="6524" xr:uid="{00000000-0005-0000-0000-0000431E0000}"/>
    <cellStyle name="Normal 8 5 6 3 2" xfId="22640" xr:uid="{75C96EDB-E994-4907-A1D3-E6899399F55A}"/>
    <cellStyle name="Normal 8 5 6 3 3" xfId="15019" xr:uid="{8BE9F0EB-C8AD-415F-A585-FACFAB40EA5A}"/>
    <cellStyle name="Normal 8 5 6 4" xfId="18427" xr:uid="{4D70F95E-4425-451E-ADD9-0B9EA08A7558}"/>
    <cellStyle name="Normal 8 5 6 5" xfId="10806" xr:uid="{0775895D-1BC4-43D4-9709-B40307678B85}"/>
    <cellStyle name="Normal 8 5 7" xfId="2654" xr:uid="{00000000-0005-0000-0000-0000441E0000}"/>
    <cellStyle name="Normal 8 5 7 2" xfId="6937" xr:uid="{00000000-0005-0000-0000-0000451E0000}"/>
    <cellStyle name="Normal 8 5 7 2 2" xfId="23053" xr:uid="{57809565-8BD5-43DC-ADDD-B39EC5515055}"/>
    <cellStyle name="Normal 8 5 7 2 3" xfId="15432" xr:uid="{CEB42508-5298-4B36-AE84-C26507CB378F}"/>
    <cellStyle name="Normal 8 5 7 3" xfId="18840" xr:uid="{378F4C86-8A0A-4CE8-A453-98054ABF6631}"/>
    <cellStyle name="Normal 8 5 7 4" xfId="11219" xr:uid="{DC6CDCBB-0075-4B1B-BFAD-C7A9D6B084C7}"/>
    <cellStyle name="Normal 8 5 8" xfId="4872" xr:uid="{00000000-0005-0000-0000-0000461E0000}"/>
    <cellStyle name="Normal 8 5 8 2" xfId="20988" xr:uid="{BB295668-AB51-4BE5-B8C8-F8184C9773B8}"/>
    <cellStyle name="Normal 8 5 8 3" xfId="13367" xr:uid="{A3DDD4C5-B9CD-4692-A853-3E8B42BD32B5}"/>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23548" xr:uid="{A474D6CC-57BB-4B35-9E24-2A3867964D19}"/>
    <cellStyle name="Normal 8 6 2 2 2 3" xfId="15927" xr:uid="{22CA9697-265E-40E9-869F-63656DA072F6}"/>
    <cellStyle name="Normal 8 6 2 2 3" xfId="19335" xr:uid="{36B39062-706B-4E24-9B07-CB077D50BEF9}"/>
    <cellStyle name="Normal 8 6 2 2 4" xfId="11714" xr:uid="{6A77FDDB-D7AE-4561-827D-6FBEFFEF1518}"/>
    <cellStyle name="Normal 8 6 2 3" xfId="5287" xr:uid="{00000000-0005-0000-0000-00004B1E0000}"/>
    <cellStyle name="Normal 8 6 2 3 2" xfId="21403" xr:uid="{E377D33E-787C-413C-9F96-5F23A7623F39}"/>
    <cellStyle name="Normal 8 6 2 3 3" xfId="13782" xr:uid="{9AC9900A-719A-4657-921D-39321534B9ED}"/>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2 2 2" xfId="23961" xr:uid="{CA1433B8-2412-4F93-97CD-7E473A5DA5BD}"/>
    <cellStyle name="Normal 8 6 3 2 2 3" xfId="16340" xr:uid="{40EE7285-6F66-4FD7-883C-6A562F84C9E5}"/>
    <cellStyle name="Normal 8 6 3 2 3" xfId="19748" xr:uid="{291734AB-D5B8-4340-A556-216692AE6E90}"/>
    <cellStyle name="Normal 8 6 3 2 4" xfId="12127" xr:uid="{CA9B7276-826D-4003-B74B-EE1071BF8B4C}"/>
    <cellStyle name="Normal 8 6 3 3" xfId="5700" xr:uid="{00000000-0005-0000-0000-00004F1E0000}"/>
    <cellStyle name="Normal 8 6 3 3 2" xfId="21816" xr:uid="{E0343758-734B-4786-8EBD-FA7A92B2AB90}"/>
    <cellStyle name="Normal 8 6 3 3 3" xfId="14195" xr:uid="{F1A3307D-95BB-4BAE-9F4E-FF01032F1D45}"/>
    <cellStyle name="Normal 8 6 3 4" xfId="17603" xr:uid="{00C5C731-1D04-4ECE-8C45-94645B185852}"/>
    <cellStyle name="Normal 8 6 3 5" xfId="9982" xr:uid="{150391FA-13A5-46F9-9792-17C76AAD4C60}"/>
    <cellStyle name="Normal 8 6 4" xfId="1806" xr:uid="{00000000-0005-0000-0000-0000501E0000}"/>
    <cellStyle name="Normal 8 6 4 2" xfId="4036" xr:uid="{00000000-0005-0000-0000-0000511E0000}"/>
    <cellStyle name="Normal 8 6 4 2 2" xfId="8258" xr:uid="{00000000-0005-0000-0000-0000521E0000}"/>
    <cellStyle name="Normal 8 6 4 2 2 2" xfId="24374" xr:uid="{CE3BA5C7-7ABB-44E7-A9E3-560CC1F7D92A}"/>
    <cellStyle name="Normal 8 6 4 2 2 3" xfId="16753" xr:uid="{3F2EC547-45A1-4531-86DB-9463CAB826D6}"/>
    <cellStyle name="Normal 8 6 4 2 3" xfId="20161" xr:uid="{C825018B-4722-4544-810D-93BA00622CDC}"/>
    <cellStyle name="Normal 8 6 4 2 4" xfId="12540" xr:uid="{D691E70A-0A8F-4656-86CA-1C5A118AEFFA}"/>
    <cellStyle name="Normal 8 6 4 3" xfId="6113" xr:uid="{00000000-0005-0000-0000-0000531E0000}"/>
    <cellStyle name="Normal 8 6 4 3 2" xfId="22229" xr:uid="{69253CCF-E9A8-4748-A1B6-2DC5014A41D4}"/>
    <cellStyle name="Normal 8 6 4 3 3" xfId="14608" xr:uid="{1A0B70C9-660F-462F-9109-71CB39578058}"/>
    <cellStyle name="Normal 8 6 4 4" xfId="18016" xr:uid="{3A7A9D29-FA2D-40A5-93D5-0A3882F18976}"/>
    <cellStyle name="Normal 8 6 4 5" xfId="10395" xr:uid="{E6154A63-503C-41CC-B2C8-1503EBF0555F}"/>
    <cellStyle name="Normal 8 6 5" xfId="2220" xr:uid="{00000000-0005-0000-0000-0000541E0000}"/>
    <cellStyle name="Normal 8 6 5 2" xfId="4449" xr:uid="{00000000-0005-0000-0000-0000551E0000}"/>
    <cellStyle name="Normal 8 6 5 2 2" xfId="8671" xr:uid="{00000000-0005-0000-0000-0000561E0000}"/>
    <cellStyle name="Normal 8 6 5 2 2 2" xfId="24787" xr:uid="{C57A18AA-F93D-4679-9AF3-F94FF7927A83}"/>
    <cellStyle name="Normal 8 6 5 2 2 3" xfId="17166" xr:uid="{F04C3CAD-11FB-49FC-B805-D9876E6C46DA}"/>
    <cellStyle name="Normal 8 6 5 2 3" xfId="20574" xr:uid="{DD8A53CC-1C1C-4752-9403-9BF128E8CAED}"/>
    <cellStyle name="Normal 8 6 5 2 4" xfId="12953" xr:uid="{8F8C20A3-DB1C-4C8D-B211-DC38C1E67223}"/>
    <cellStyle name="Normal 8 6 5 3" xfId="6526" xr:uid="{00000000-0005-0000-0000-0000571E0000}"/>
    <cellStyle name="Normal 8 6 5 3 2" xfId="22642" xr:uid="{4CD71156-069D-462A-8C23-887D1B2F82FF}"/>
    <cellStyle name="Normal 8 6 5 3 3" xfId="15021" xr:uid="{61CAEA92-F65F-4E62-A9D5-5B4B16A5ADF1}"/>
    <cellStyle name="Normal 8 6 5 4" xfId="18429" xr:uid="{6031E419-868B-46F7-ADA8-D49FFD435F20}"/>
    <cellStyle name="Normal 8 6 5 5" xfId="10808" xr:uid="{7B4F5E29-88F6-4CE0-8EF6-762B8D7F226D}"/>
    <cellStyle name="Normal 8 6 6" xfId="2656" xr:uid="{00000000-0005-0000-0000-0000581E0000}"/>
    <cellStyle name="Normal 8 6 6 2" xfId="6939" xr:uid="{00000000-0005-0000-0000-0000591E0000}"/>
    <cellStyle name="Normal 8 6 6 2 2" xfId="23055" xr:uid="{984AB05D-9F62-4927-8DFF-31BECE235B97}"/>
    <cellStyle name="Normal 8 6 6 2 3" xfId="15434" xr:uid="{C5B018C3-6889-44AA-BBD1-D8A2F37F985D}"/>
    <cellStyle name="Normal 8 6 6 3" xfId="18842" xr:uid="{804D9FF9-C8EF-4A8B-A3F0-8165061F5B4D}"/>
    <cellStyle name="Normal 8 6 6 4" xfId="11221" xr:uid="{BCD694C5-9DBA-41E1-83F9-9C666F89D4F2}"/>
    <cellStyle name="Normal 8 6 7" xfId="4874" xr:uid="{00000000-0005-0000-0000-00005A1E0000}"/>
    <cellStyle name="Normal 8 6 7 2" xfId="20990" xr:uid="{721ED5E8-4C3F-4F72-AAE6-0AC66B73853D}"/>
    <cellStyle name="Normal 8 6 7 3" xfId="13369" xr:uid="{16D3963D-316D-4C2C-A1BB-E417B9119F91}"/>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2 2 2" xfId="23517" xr:uid="{B074632C-A058-479A-A7C6-1F1282F2D0C7}"/>
    <cellStyle name="Normal 8 7 2 2 3" xfId="15896" xr:uid="{6987B196-8040-4134-89DD-A387086A4A75}"/>
    <cellStyle name="Normal 8 7 2 3" xfId="19304" xr:uid="{45C43784-2129-485B-9B63-FC69D57EADA9}"/>
    <cellStyle name="Normal 8 7 2 4" xfId="11683" xr:uid="{3C44B1E9-96D2-49EB-8564-DFECF3D082D6}"/>
    <cellStyle name="Normal 8 7 3" xfId="5256" xr:uid="{00000000-0005-0000-0000-00005E1E0000}"/>
    <cellStyle name="Normal 8 7 3 2" xfId="21372" xr:uid="{1B433DA8-152B-4BFA-B82C-E7C090F4939E}"/>
    <cellStyle name="Normal 8 7 3 3" xfId="13751" xr:uid="{0A1D52D6-7B1B-48FB-B818-0ADDC964EB7A}"/>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2 2 2" xfId="23930" xr:uid="{7FED55D5-9AE8-4D99-9EE7-319C5CBF51D3}"/>
    <cellStyle name="Normal 8 8 2 2 3" xfId="16309" xr:uid="{0DFC0631-6D85-4C32-8350-0BA1B83038B9}"/>
    <cellStyle name="Normal 8 8 2 3" xfId="19717" xr:uid="{0E44BA71-2B83-44AF-8AA5-0498EE4EDEB9}"/>
    <cellStyle name="Normal 8 8 2 4" xfId="12096" xr:uid="{328E9015-F0A1-476B-84ED-3316E95D3A63}"/>
    <cellStyle name="Normal 8 8 3" xfId="5669" xr:uid="{00000000-0005-0000-0000-0000621E0000}"/>
    <cellStyle name="Normal 8 8 3 2" xfId="21785" xr:uid="{658146B1-2909-491D-971F-7CA09FB0CE5F}"/>
    <cellStyle name="Normal 8 8 3 3" xfId="14164" xr:uid="{9D76C5D5-067F-4262-81A4-E5EF77760E98}"/>
    <cellStyle name="Normal 8 8 4" xfId="17572" xr:uid="{D8F9D33D-7683-4A6F-9141-1E185AFACDC3}"/>
    <cellStyle name="Normal 8 8 5" xfId="9951" xr:uid="{C6F90A7E-9154-444C-8992-3B95A5E6EB1E}"/>
    <cellStyle name="Normal 8 9" xfId="1775" xr:uid="{00000000-0005-0000-0000-0000631E0000}"/>
    <cellStyle name="Normal 8 9 2" xfId="4005" xr:uid="{00000000-0005-0000-0000-0000641E0000}"/>
    <cellStyle name="Normal 8 9 2 2" xfId="8227" xr:uid="{00000000-0005-0000-0000-0000651E0000}"/>
    <cellStyle name="Normal 8 9 2 2 2" xfId="24343" xr:uid="{0E3A082D-7533-481C-A272-F92DEEFF808E}"/>
    <cellStyle name="Normal 8 9 2 2 3" xfId="16722" xr:uid="{06327EFE-6107-46A0-8AC7-B2D240EEC2D6}"/>
    <cellStyle name="Normal 8 9 2 3" xfId="20130" xr:uid="{0F46DCAC-5FAB-4A51-AB64-054138E8A66A}"/>
    <cellStyle name="Normal 8 9 2 4" xfId="12509" xr:uid="{21BCE986-B87F-4B34-9E60-57524E36B2F1}"/>
    <cellStyle name="Normal 8 9 3" xfId="6082" xr:uid="{00000000-0005-0000-0000-0000661E0000}"/>
    <cellStyle name="Normal 8 9 3 2" xfId="22198" xr:uid="{84BD6305-728F-4034-A0E9-3BAE0C225C4D}"/>
    <cellStyle name="Normal 8 9 3 3" xfId="14577" xr:uid="{0FD36C83-5A8E-4FA9-8491-77FD552EED44}"/>
    <cellStyle name="Normal 8 9 4" xfId="17985" xr:uid="{82028CC6-166F-477F-9B9F-57987CE695FE}"/>
    <cellStyle name="Normal 8 9 5" xfId="10364" xr:uid="{6548A5A8-A5F2-43EA-8EA0-78878F496F68}"/>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23056" xr:uid="{C040B5B5-C27C-4DC0-B967-9F8AE67393B3}"/>
    <cellStyle name="Normal 9 2 10 2 3" xfId="15435" xr:uid="{3C9C5ED5-8057-427B-B4CC-864B0A938271}"/>
    <cellStyle name="Normal 9 2 10 3" xfId="18843" xr:uid="{709743EF-B999-4724-A463-91CE5E790C22}"/>
    <cellStyle name="Normal 9 2 10 4" xfId="11222" xr:uid="{4DD793A0-EF2E-4714-91F4-5B9A3BADD574}"/>
    <cellStyle name="Normal 9 2 11" xfId="4875" xr:uid="{00000000-0005-0000-0000-00006B1E0000}"/>
    <cellStyle name="Normal 9 2 11 2" xfId="20991" xr:uid="{275C48CC-560D-4D22-83DA-D387E47E42B3}"/>
    <cellStyle name="Normal 9 2 11 3" xfId="13370" xr:uid="{2A20CFD5-41E6-46CD-9FB6-D16E664E96B0}"/>
    <cellStyle name="Normal 9 2 12" xfId="8754" xr:uid="{9024D06A-4C5F-4C89-BCDB-29B8C924FF52}"/>
    <cellStyle name="Normal 9 2 2" xfId="512" xr:uid="{00000000-0005-0000-0000-00006C1E0000}"/>
    <cellStyle name="Normal 9 2 2 10" xfId="4876" xr:uid="{00000000-0005-0000-0000-00006D1E0000}"/>
    <cellStyle name="Normal 9 2 2 10 2" xfId="20992" xr:uid="{72832542-6CDA-4B6F-9AED-DEC5C35541CC}"/>
    <cellStyle name="Normal 9 2 2 10 3" xfId="13371" xr:uid="{AF6CE0B9-1CB2-4CCA-8532-8A04BD7610F3}"/>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23553" xr:uid="{79776EC8-22EA-436A-A282-4C22BFE62B8D}"/>
    <cellStyle name="Normal 9 2 2 2 2 2 2 2 2 3" xfId="15932" xr:uid="{BB80860D-04A2-4F2C-968F-1625E078761A}"/>
    <cellStyle name="Normal 9 2 2 2 2 2 2 2 3" xfId="19340" xr:uid="{2EEECAAC-8408-4930-BACA-C63A285124D7}"/>
    <cellStyle name="Normal 9 2 2 2 2 2 2 2 4" xfId="11719" xr:uid="{41CA1FFE-62A5-4F3D-9C06-A1707F32E7B0}"/>
    <cellStyle name="Normal 9 2 2 2 2 2 2 3" xfId="5292" xr:uid="{00000000-0005-0000-0000-0000741E0000}"/>
    <cellStyle name="Normal 9 2 2 2 2 2 2 3 2" xfId="21408" xr:uid="{D47C6105-C749-48CA-AC86-E4667BB1CD57}"/>
    <cellStyle name="Normal 9 2 2 2 2 2 2 3 3" xfId="13787" xr:uid="{9048CC7D-F394-4BB6-9D82-C3DC556BC742}"/>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23966" xr:uid="{6A9F0FE3-B5CD-4A4D-BC88-93D378988489}"/>
    <cellStyle name="Normal 9 2 2 2 2 2 3 2 2 3" xfId="16345" xr:uid="{D265AE5A-170F-4184-8981-4612E3CE0E53}"/>
    <cellStyle name="Normal 9 2 2 2 2 2 3 2 3" xfId="19753" xr:uid="{DA2AB631-0A6D-4003-BAEA-FFEEC91A0F4C}"/>
    <cellStyle name="Normal 9 2 2 2 2 2 3 2 4" xfId="12132" xr:uid="{70D77702-BD1E-497A-A56B-841F91421A63}"/>
    <cellStyle name="Normal 9 2 2 2 2 2 3 3" xfId="5705" xr:uid="{00000000-0005-0000-0000-0000781E0000}"/>
    <cellStyle name="Normal 9 2 2 2 2 2 3 3 2" xfId="21821" xr:uid="{57B323F3-23A0-44E7-BC42-9490D1DC980D}"/>
    <cellStyle name="Normal 9 2 2 2 2 2 3 3 3" xfId="14200" xr:uid="{8C5F8C93-3C4C-44CC-A038-BBCD0A4E1B56}"/>
    <cellStyle name="Normal 9 2 2 2 2 2 3 4" xfId="17608" xr:uid="{023C5B47-755F-48D1-960E-E331CF463A5B}"/>
    <cellStyle name="Normal 9 2 2 2 2 2 3 5" xfId="9987" xr:uid="{EADBFB86-C511-46BD-8107-7A8C042B86E5}"/>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24379" xr:uid="{3B1B992B-F082-4A3D-9C31-A787325D8EDC}"/>
    <cellStyle name="Normal 9 2 2 2 2 2 4 2 2 3" xfId="16758" xr:uid="{2FDE7316-320B-4082-852E-BE5854BE35D9}"/>
    <cellStyle name="Normal 9 2 2 2 2 2 4 2 3" xfId="20166" xr:uid="{94C49A13-E83A-40F1-904C-69D9BBA274B5}"/>
    <cellStyle name="Normal 9 2 2 2 2 2 4 2 4" xfId="12545" xr:uid="{10C64F0E-C080-4EA4-950B-DEA6AEAF5B38}"/>
    <cellStyle name="Normal 9 2 2 2 2 2 4 3" xfId="6118" xr:uid="{00000000-0005-0000-0000-00007C1E0000}"/>
    <cellStyle name="Normal 9 2 2 2 2 2 4 3 2" xfId="22234" xr:uid="{2CBAD29F-94F1-421A-AC0A-1F2AF7E4C196}"/>
    <cellStyle name="Normal 9 2 2 2 2 2 4 3 3" xfId="14613" xr:uid="{BD735282-043A-48D1-BDB0-7A68F5A1E053}"/>
    <cellStyle name="Normal 9 2 2 2 2 2 4 4" xfId="18021" xr:uid="{BEDE76DD-9BC9-4E4B-B3CF-7ACEE917C670}"/>
    <cellStyle name="Normal 9 2 2 2 2 2 4 5" xfId="10400" xr:uid="{5098C982-3D72-4ECF-ABC5-01EB7AE057B6}"/>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24792" xr:uid="{97C5F7D8-E5A4-413E-98F3-6E5BE4E4657E}"/>
    <cellStyle name="Normal 9 2 2 2 2 2 5 2 2 3" xfId="17171" xr:uid="{2A2C3ABB-0033-49F6-8D71-97DDE4024653}"/>
    <cellStyle name="Normal 9 2 2 2 2 2 5 2 3" xfId="20579" xr:uid="{0BAFB6EF-38F8-4866-91D3-28B4F751E996}"/>
    <cellStyle name="Normal 9 2 2 2 2 2 5 2 4" xfId="12958" xr:uid="{CBC1FD68-0EDA-4236-B75A-694D8409E382}"/>
    <cellStyle name="Normal 9 2 2 2 2 2 5 3" xfId="6531" xr:uid="{00000000-0005-0000-0000-0000801E0000}"/>
    <cellStyle name="Normal 9 2 2 2 2 2 5 3 2" xfId="22647" xr:uid="{345CF9D2-B9BD-4D43-9AFB-92E570E624C6}"/>
    <cellStyle name="Normal 9 2 2 2 2 2 5 3 3" xfId="15026" xr:uid="{162C89B3-C667-4F3F-98A4-AAD06B48F0A0}"/>
    <cellStyle name="Normal 9 2 2 2 2 2 5 4" xfId="18434" xr:uid="{749F9023-F1E5-4438-AB8C-F94A9A034773}"/>
    <cellStyle name="Normal 9 2 2 2 2 2 5 5" xfId="10813" xr:uid="{DE85E02C-FA9B-46F3-9F9C-273F79DC8EF6}"/>
    <cellStyle name="Normal 9 2 2 2 2 2 6" xfId="2661" xr:uid="{00000000-0005-0000-0000-0000811E0000}"/>
    <cellStyle name="Normal 9 2 2 2 2 2 6 2" xfId="6944" xr:uid="{00000000-0005-0000-0000-0000821E0000}"/>
    <cellStyle name="Normal 9 2 2 2 2 2 6 2 2" xfId="23060" xr:uid="{886A043B-3F1A-472C-985F-FDDD7E639B36}"/>
    <cellStyle name="Normal 9 2 2 2 2 2 6 2 3" xfId="15439" xr:uid="{CD88AF41-D41A-45EF-9B93-FA93AA236E4D}"/>
    <cellStyle name="Normal 9 2 2 2 2 2 6 3" xfId="18847" xr:uid="{93F501FA-9420-4BE6-B488-5AE7655768DA}"/>
    <cellStyle name="Normal 9 2 2 2 2 2 6 4" xfId="11226" xr:uid="{EF002F40-1C28-494E-B3D3-C8743ECA2E54}"/>
    <cellStyle name="Normal 9 2 2 2 2 2 7" xfId="4879" xr:uid="{00000000-0005-0000-0000-0000831E0000}"/>
    <cellStyle name="Normal 9 2 2 2 2 2 7 2" xfId="20995" xr:uid="{B9562F7E-7565-4D9C-AA0D-9A0BA4E1A75E}"/>
    <cellStyle name="Normal 9 2 2 2 2 2 7 3" xfId="13374" xr:uid="{05D0C83E-D9FE-4807-B9D3-D33E49CF2DDB}"/>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23552" xr:uid="{D98CE7EE-EF95-4EF6-8796-53D609623C64}"/>
    <cellStyle name="Normal 9 2 2 2 2 3 2 2 3" xfId="15931" xr:uid="{BA23D775-BBD9-4371-ACE8-964B734C8C11}"/>
    <cellStyle name="Normal 9 2 2 2 2 3 2 3" xfId="19339" xr:uid="{FBAE8FE7-5E7A-487F-B12D-07062D014E95}"/>
    <cellStyle name="Normal 9 2 2 2 2 3 2 4" xfId="11718" xr:uid="{39CC3E33-E43C-4BAF-BA7E-8ACC8014CD0E}"/>
    <cellStyle name="Normal 9 2 2 2 2 3 3" xfId="5291" xr:uid="{00000000-0005-0000-0000-0000871E0000}"/>
    <cellStyle name="Normal 9 2 2 2 2 3 3 2" xfId="21407" xr:uid="{E0192BAF-E7D0-48A8-83B9-ED73E39CCA2E}"/>
    <cellStyle name="Normal 9 2 2 2 2 3 3 3" xfId="13786" xr:uid="{714EA0FB-AF97-4409-B9C9-AB3A0990EBE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23965" xr:uid="{7B31B33E-1930-4B99-A203-C1E4FBC2101B}"/>
    <cellStyle name="Normal 9 2 2 2 2 4 2 2 3" xfId="16344" xr:uid="{9BCDCACA-E208-4673-9283-1791FAFB006C}"/>
    <cellStyle name="Normal 9 2 2 2 2 4 2 3" xfId="19752" xr:uid="{3F02F457-F082-4950-92F8-21A594B6CB6B}"/>
    <cellStyle name="Normal 9 2 2 2 2 4 2 4" xfId="12131" xr:uid="{C9499902-D1D9-4B7A-B4BD-F7740389EA0C}"/>
    <cellStyle name="Normal 9 2 2 2 2 4 3" xfId="5704" xr:uid="{00000000-0005-0000-0000-00008B1E0000}"/>
    <cellStyle name="Normal 9 2 2 2 2 4 3 2" xfId="21820" xr:uid="{DF5B394E-74AC-413D-9AF7-C1ED2294D8BA}"/>
    <cellStyle name="Normal 9 2 2 2 2 4 3 3" xfId="14199" xr:uid="{449EC93D-8E50-4CBB-99E5-BF6C325B1523}"/>
    <cellStyle name="Normal 9 2 2 2 2 4 4" xfId="17607" xr:uid="{BF60F17A-F34E-4676-8D5A-5CC607C9328F}"/>
    <cellStyle name="Normal 9 2 2 2 2 4 5" xfId="9986" xr:uid="{4D490EBA-CB58-4844-852F-9F9F225E4635}"/>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24378" xr:uid="{0C9F707A-ABBF-4035-8513-6584EE3F5555}"/>
    <cellStyle name="Normal 9 2 2 2 2 5 2 2 3" xfId="16757" xr:uid="{1AC14100-7042-4EF0-A1ED-2BFB4DE8EF89}"/>
    <cellStyle name="Normal 9 2 2 2 2 5 2 3" xfId="20165" xr:uid="{09E0E8C9-7EAA-456A-BACA-1BFA6ECE3391}"/>
    <cellStyle name="Normal 9 2 2 2 2 5 2 4" xfId="12544" xr:uid="{F537A604-5140-4712-98EC-8FA2C5896D2B}"/>
    <cellStyle name="Normal 9 2 2 2 2 5 3" xfId="6117" xr:uid="{00000000-0005-0000-0000-00008F1E0000}"/>
    <cellStyle name="Normal 9 2 2 2 2 5 3 2" xfId="22233" xr:uid="{68177F49-35BD-4DF5-B0E1-D2CAEEA50FCB}"/>
    <cellStyle name="Normal 9 2 2 2 2 5 3 3" xfId="14612" xr:uid="{6B40E715-D4EB-4111-B423-292F6D8EAE69}"/>
    <cellStyle name="Normal 9 2 2 2 2 5 4" xfId="18020" xr:uid="{66640F37-759B-4E39-B165-73C58C8E72AC}"/>
    <cellStyle name="Normal 9 2 2 2 2 5 5" xfId="10399" xr:uid="{5763B150-DC42-4EAE-8891-3C5A7D787643}"/>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24791" xr:uid="{E0AB4C52-B782-4768-9D78-48B32439DC34}"/>
    <cellStyle name="Normal 9 2 2 2 2 6 2 2 3" xfId="17170" xr:uid="{7765A45F-D404-4435-B9DF-EA0C868B3CA3}"/>
    <cellStyle name="Normal 9 2 2 2 2 6 2 3" xfId="20578" xr:uid="{85727541-2904-4AD0-B3C4-4EB62B967C2C}"/>
    <cellStyle name="Normal 9 2 2 2 2 6 2 4" xfId="12957" xr:uid="{A2145C35-EBD2-43A6-A378-92520D2E0348}"/>
    <cellStyle name="Normal 9 2 2 2 2 6 3" xfId="6530" xr:uid="{00000000-0005-0000-0000-0000931E0000}"/>
    <cellStyle name="Normal 9 2 2 2 2 6 3 2" xfId="22646" xr:uid="{0DF6E42B-D459-4F44-8A95-083793F86C6D}"/>
    <cellStyle name="Normal 9 2 2 2 2 6 3 3" xfId="15025" xr:uid="{690D2748-6B13-407E-9EC4-CAEECFBD1A9B}"/>
    <cellStyle name="Normal 9 2 2 2 2 6 4" xfId="18433" xr:uid="{17D70576-BBA4-4BB0-9BAE-851251AF4AE0}"/>
    <cellStyle name="Normal 9 2 2 2 2 6 5" xfId="10812" xr:uid="{1C0D2C14-C5C6-4E75-9D96-630553E1B32E}"/>
    <cellStyle name="Normal 9 2 2 2 2 7" xfId="2660" xr:uid="{00000000-0005-0000-0000-0000941E0000}"/>
    <cellStyle name="Normal 9 2 2 2 2 7 2" xfId="6943" xr:uid="{00000000-0005-0000-0000-0000951E0000}"/>
    <cellStyle name="Normal 9 2 2 2 2 7 2 2" xfId="23059" xr:uid="{85A481B3-C73F-4EF1-BA94-26F9564D42AF}"/>
    <cellStyle name="Normal 9 2 2 2 2 7 2 3" xfId="15438" xr:uid="{58F44DDF-B00B-446E-9FF8-B06CF5C3FEF2}"/>
    <cellStyle name="Normal 9 2 2 2 2 7 3" xfId="18846" xr:uid="{878F0308-DE3B-4216-9B7F-B436F015C23F}"/>
    <cellStyle name="Normal 9 2 2 2 2 7 4" xfId="11225" xr:uid="{DBE2300A-7004-4226-AC0A-183C167AA196}"/>
    <cellStyle name="Normal 9 2 2 2 2 8" xfId="4878" xr:uid="{00000000-0005-0000-0000-0000961E0000}"/>
    <cellStyle name="Normal 9 2 2 2 2 8 2" xfId="20994" xr:uid="{28088DFC-C97D-4C43-8093-099405792F05}"/>
    <cellStyle name="Normal 9 2 2 2 2 8 3" xfId="13373" xr:uid="{E83FD81E-8427-4D09-8C4D-C8CD2430BA9F}"/>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23554" xr:uid="{83EDAE15-F412-428F-A190-883A96C80996}"/>
    <cellStyle name="Normal 9 2 2 2 3 2 2 2 3" xfId="15933" xr:uid="{891E570B-38B5-4A5D-9C1B-7A61F2CA5F25}"/>
    <cellStyle name="Normal 9 2 2 2 3 2 2 3" xfId="19341" xr:uid="{D91D9438-50EA-4093-A8BC-CE4B9C3807D8}"/>
    <cellStyle name="Normal 9 2 2 2 3 2 2 4" xfId="11720" xr:uid="{756EA11D-A999-47E2-A23B-C2D0142D30AB}"/>
    <cellStyle name="Normal 9 2 2 2 3 2 3" xfId="5293" xr:uid="{00000000-0005-0000-0000-00009B1E0000}"/>
    <cellStyle name="Normal 9 2 2 2 3 2 3 2" xfId="21409" xr:uid="{14532AED-2200-4093-9AAE-BDFBFDDD07A0}"/>
    <cellStyle name="Normal 9 2 2 2 3 2 3 3" xfId="13788" xr:uid="{CD8F0CF3-0F32-45B6-9DEE-CE535FF9FF52}"/>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23967" xr:uid="{D2213750-97EA-48B9-A7AF-D95D61079215}"/>
    <cellStyle name="Normal 9 2 2 2 3 3 2 2 3" xfId="16346" xr:uid="{74F8A153-B160-411B-A2FB-FC551136F625}"/>
    <cellStyle name="Normal 9 2 2 2 3 3 2 3" xfId="19754" xr:uid="{D0433005-8DC7-4FE9-AA5D-E7FE1D281283}"/>
    <cellStyle name="Normal 9 2 2 2 3 3 2 4" xfId="12133" xr:uid="{E05A6BEA-75FF-47D6-B679-A901FA496339}"/>
    <cellStyle name="Normal 9 2 2 2 3 3 3" xfId="5706" xr:uid="{00000000-0005-0000-0000-00009F1E0000}"/>
    <cellStyle name="Normal 9 2 2 2 3 3 3 2" xfId="21822" xr:uid="{3A833A61-C0C9-498D-B602-08ECF93D6B6F}"/>
    <cellStyle name="Normal 9 2 2 2 3 3 3 3" xfId="14201" xr:uid="{6AC99604-B183-4254-848E-4B41A7B0A521}"/>
    <cellStyle name="Normal 9 2 2 2 3 3 4" xfId="17609" xr:uid="{B1B8A44C-6655-4C16-8569-2B3568342DB1}"/>
    <cellStyle name="Normal 9 2 2 2 3 3 5" xfId="9988" xr:uid="{A6DA87AE-C313-480C-A8D5-A42D5F9740B2}"/>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24380" xr:uid="{28E699BC-DB04-4636-9CDF-D7D1A9A19D95}"/>
    <cellStyle name="Normal 9 2 2 2 3 4 2 2 3" xfId="16759" xr:uid="{95E42C37-E109-4964-B29A-5344949FB5A1}"/>
    <cellStyle name="Normal 9 2 2 2 3 4 2 3" xfId="20167" xr:uid="{59BC9EFA-C128-4E17-81C9-E12B9F3CA1EC}"/>
    <cellStyle name="Normal 9 2 2 2 3 4 2 4" xfId="12546" xr:uid="{58AC322D-7850-4C00-A75F-AFAAB68BF790}"/>
    <cellStyle name="Normal 9 2 2 2 3 4 3" xfId="6119" xr:uid="{00000000-0005-0000-0000-0000A31E0000}"/>
    <cellStyle name="Normal 9 2 2 2 3 4 3 2" xfId="22235" xr:uid="{3CE9771B-0F11-4376-A142-D9AF098EE5C1}"/>
    <cellStyle name="Normal 9 2 2 2 3 4 3 3" xfId="14614" xr:uid="{21CEEB26-CB1F-44E4-A4D2-300EEF95821B}"/>
    <cellStyle name="Normal 9 2 2 2 3 4 4" xfId="18022" xr:uid="{6D0D9C3A-A5D3-47BE-B999-8CE1E2DBD6F2}"/>
    <cellStyle name="Normal 9 2 2 2 3 4 5" xfId="10401" xr:uid="{C1DADFB9-C1A9-4E32-8502-19729CE7C65F}"/>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24793" xr:uid="{99C3371D-0D97-474D-9608-FAE803853284}"/>
    <cellStyle name="Normal 9 2 2 2 3 5 2 2 3" xfId="17172" xr:uid="{BE22B11E-49ED-460E-B766-24EC14F19747}"/>
    <cellStyle name="Normal 9 2 2 2 3 5 2 3" xfId="20580" xr:uid="{40C06684-663E-43ED-B229-2AC706BDD80A}"/>
    <cellStyle name="Normal 9 2 2 2 3 5 2 4" xfId="12959" xr:uid="{FF888502-60B7-478C-9FD3-44CF5E59E1FC}"/>
    <cellStyle name="Normal 9 2 2 2 3 5 3" xfId="6532" xr:uid="{00000000-0005-0000-0000-0000A71E0000}"/>
    <cellStyle name="Normal 9 2 2 2 3 5 3 2" xfId="22648" xr:uid="{2B729CDB-FAAC-4584-A403-8729C1F9B09D}"/>
    <cellStyle name="Normal 9 2 2 2 3 5 3 3" xfId="15027" xr:uid="{E0D1E4D9-CA65-4B95-8BC3-9C9A2080DE5C}"/>
    <cellStyle name="Normal 9 2 2 2 3 5 4" xfId="18435" xr:uid="{C6DCF3A9-61E9-4486-A956-19185D0E927C}"/>
    <cellStyle name="Normal 9 2 2 2 3 5 5" xfId="10814" xr:uid="{CCA78FA1-D72F-40F5-8F9D-072B8D55F807}"/>
    <cellStyle name="Normal 9 2 2 2 3 6" xfId="2662" xr:uid="{00000000-0005-0000-0000-0000A81E0000}"/>
    <cellStyle name="Normal 9 2 2 2 3 6 2" xfId="6945" xr:uid="{00000000-0005-0000-0000-0000A91E0000}"/>
    <cellStyle name="Normal 9 2 2 2 3 6 2 2" xfId="23061" xr:uid="{6564022E-0499-46C2-B1DC-4C1E8CD79024}"/>
    <cellStyle name="Normal 9 2 2 2 3 6 2 3" xfId="15440" xr:uid="{79E24DF2-EB7C-4CB0-B183-243E44C6D709}"/>
    <cellStyle name="Normal 9 2 2 2 3 6 3" xfId="18848" xr:uid="{BAED0815-833E-4458-8BC9-D720B5430010}"/>
    <cellStyle name="Normal 9 2 2 2 3 6 4" xfId="11227" xr:uid="{FAEA5E19-803D-494F-A4D2-99E54E1CA67D}"/>
    <cellStyle name="Normal 9 2 2 2 3 7" xfId="4880" xr:uid="{00000000-0005-0000-0000-0000AA1E0000}"/>
    <cellStyle name="Normal 9 2 2 2 3 7 2" xfId="20996" xr:uid="{5C63D516-6F3A-4119-9C34-7073556335BC}"/>
    <cellStyle name="Normal 9 2 2 2 3 7 3" xfId="13375" xr:uid="{E347F642-0429-4A6F-A78E-949DF250A32B}"/>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23551" xr:uid="{34D37621-CCEA-4FB2-BBE2-A3BBBFD82E64}"/>
    <cellStyle name="Normal 9 2 2 2 4 2 2 3" xfId="15930" xr:uid="{0C9889EC-5E41-4FC8-BE8D-28AA1B70E83B}"/>
    <cellStyle name="Normal 9 2 2 2 4 2 3" xfId="19338" xr:uid="{5C10EF67-5EB2-4CCC-A032-1597E64B97EE}"/>
    <cellStyle name="Normal 9 2 2 2 4 2 4" xfId="11717" xr:uid="{BE0C1AD5-CA85-46A7-A083-407EC10EE56E}"/>
    <cellStyle name="Normal 9 2 2 2 4 3" xfId="5290" xr:uid="{00000000-0005-0000-0000-0000AE1E0000}"/>
    <cellStyle name="Normal 9 2 2 2 4 3 2" xfId="21406" xr:uid="{BE28E161-EFBE-40F5-8C07-DD63EFC27EF0}"/>
    <cellStyle name="Normal 9 2 2 2 4 3 3" xfId="13785" xr:uid="{776182FF-88F9-4259-B77F-860B59984D2A}"/>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23964" xr:uid="{FCA17B5C-B1CC-4784-88EC-7E81865043B2}"/>
    <cellStyle name="Normal 9 2 2 2 5 2 2 3" xfId="16343" xr:uid="{30BBA7C9-16AC-4830-AA93-76307B35C588}"/>
    <cellStyle name="Normal 9 2 2 2 5 2 3" xfId="19751" xr:uid="{E76402D9-7A26-400A-913B-06E3E264F447}"/>
    <cellStyle name="Normal 9 2 2 2 5 2 4" xfId="12130" xr:uid="{8331F782-9876-42B9-B5B8-836BE76177ED}"/>
    <cellStyle name="Normal 9 2 2 2 5 3" xfId="5703" xr:uid="{00000000-0005-0000-0000-0000B21E0000}"/>
    <cellStyle name="Normal 9 2 2 2 5 3 2" xfId="21819" xr:uid="{0CEA0DC4-1E5D-420C-9DA9-A535155563EA}"/>
    <cellStyle name="Normal 9 2 2 2 5 3 3" xfId="14198" xr:uid="{D4E72854-0447-4703-B104-5B20D0C8A086}"/>
    <cellStyle name="Normal 9 2 2 2 5 4" xfId="17606" xr:uid="{2B2C4034-DC3D-4EC8-A7D0-B8FEB68FBDC4}"/>
    <cellStyle name="Normal 9 2 2 2 5 5" xfId="9985" xr:uid="{09DA8F98-2AF1-482D-98DB-98BE93696DA0}"/>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24377" xr:uid="{2A3C080B-95AD-4D03-AB42-0A35000BC872}"/>
    <cellStyle name="Normal 9 2 2 2 6 2 2 3" xfId="16756" xr:uid="{D4BD7BBD-432E-4B8B-B185-4E915F3E828C}"/>
    <cellStyle name="Normal 9 2 2 2 6 2 3" xfId="20164" xr:uid="{8829ADBA-184B-48ED-B2F5-9BE3E1A64AAA}"/>
    <cellStyle name="Normal 9 2 2 2 6 2 4" xfId="12543" xr:uid="{A0121911-5C63-4792-B7CA-782104593CAA}"/>
    <cellStyle name="Normal 9 2 2 2 6 3" xfId="6116" xr:uid="{00000000-0005-0000-0000-0000B61E0000}"/>
    <cellStyle name="Normal 9 2 2 2 6 3 2" xfId="22232" xr:uid="{E8A1D561-F938-4AED-85A5-B09DD8B3F24F}"/>
    <cellStyle name="Normal 9 2 2 2 6 3 3" xfId="14611" xr:uid="{300F2D28-F61B-4E2C-B1AA-8E807E9F8226}"/>
    <cellStyle name="Normal 9 2 2 2 6 4" xfId="18019" xr:uid="{8B89CA7C-F4BF-454A-B492-AE06DA1C503B}"/>
    <cellStyle name="Normal 9 2 2 2 6 5" xfId="10398" xr:uid="{20D2E848-E63A-4356-9C62-1A8909AD4837}"/>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24790" xr:uid="{6040A9AC-A238-4D96-AEDC-445273D986C1}"/>
    <cellStyle name="Normal 9 2 2 2 7 2 2 3" xfId="17169" xr:uid="{4BB9A9C9-066B-4637-B59E-BD4298C6B6E4}"/>
    <cellStyle name="Normal 9 2 2 2 7 2 3" xfId="20577" xr:uid="{75D1B529-C1F0-40D0-95D6-AFFB78A798D6}"/>
    <cellStyle name="Normal 9 2 2 2 7 2 4" xfId="12956" xr:uid="{A28A2C4D-96EE-4996-BC56-35CB44E6F15A}"/>
    <cellStyle name="Normal 9 2 2 2 7 3" xfId="6529" xr:uid="{00000000-0005-0000-0000-0000BA1E0000}"/>
    <cellStyle name="Normal 9 2 2 2 7 3 2" xfId="22645" xr:uid="{A15A8492-77C9-43A5-B37F-347FC65B93C1}"/>
    <cellStyle name="Normal 9 2 2 2 7 3 3" xfId="15024" xr:uid="{72798121-B3B7-4848-BE2E-BAFEA194ECF6}"/>
    <cellStyle name="Normal 9 2 2 2 7 4" xfId="18432" xr:uid="{B965DBD3-94A6-42D6-8985-288BBB61ADD9}"/>
    <cellStyle name="Normal 9 2 2 2 7 5" xfId="10811" xr:uid="{3D97DF7B-0E4F-4DDD-B201-6DBFEB5F0E7F}"/>
    <cellStyle name="Normal 9 2 2 2 8" xfId="2659" xr:uid="{00000000-0005-0000-0000-0000BB1E0000}"/>
    <cellStyle name="Normal 9 2 2 2 8 2" xfId="6942" xr:uid="{00000000-0005-0000-0000-0000BC1E0000}"/>
    <cellStyle name="Normal 9 2 2 2 8 2 2" xfId="23058" xr:uid="{1DF71A6E-1C00-4501-B7F7-7B4E89D9E698}"/>
    <cellStyle name="Normal 9 2 2 2 8 2 3" xfId="15437" xr:uid="{702E1249-54DF-4000-9ED4-B379AEBA38C1}"/>
    <cellStyle name="Normal 9 2 2 2 8 3" xfId="18845" xr:uid="{3B1B54FC-2918-4A01-B512-B0F174760A14}"/>
    <cellStyle name="Normal 9 2 2 2 8 4" xfId="11224" xr:uid="{F99DDA72-8710-4195-8B33-2AB8768329B8}"/>
    <cellStyle name="Normal 9 2 2 2 9" xfId="4877" xr:uid="{00000000-0005-0000-0000-0000BD1E0000}"/>
    <cellStyle name="Normal 9 2 2 2 9 2" xfId="20993" xr:uid="{A4C1EC7F-23BE-469A-AAAB-D843585285CB}"/>
    <cellStyle name="Normal 9 2 2 2 9 3" xfId="13372" xr:uid="{9980D25A-E54B-45EC-AB27-6F280D1A05F3}"/>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23556" xr:uid="{64D70778-E495-479E-ADAF-4CF285CD152C}"/>
    <cellStyle name="Normal 9 2 2 3 2 2 2 2 3" xfId="15935" xr:uid="{47ED1F03-74DD-4994-BEC1-C2FDCF134CB4}"/>
    <cellStyle name="Normal 9 2 2 3 2 2 2 3" xfId="19343" xr:uid="{4004E7D7-FB4F-4368-90D1-B15D6A682FBD}"/>
    <cellStyle name="Normal 9 2 2 3 2 2 2 4" xfId="11722" xr:uid="{F5AA02E4-00F4-4315-8C42-D8FF1DEBD440}"/>
    <cellStyle name="Normal 9 2 2 3 2 2 3" xfId="5295" xr:uid="{00000000-0005-0000-0000-0000C31E0000}"/>
    <cellStyle name="Normal 9 2 2 3 2 2 3 2" xfId="21411" xr:uid="{469E1661-8A44-4535-97A3-A31306FBFE53}"/>
    <cellStyle name="Normal 9 2 2 3 2 2 3 3" xfId="13790" xr:uid="{46D970F7-06D2-4982-A1CF-E3F7A93FC3D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23969" xr:uid="{16AB2559-CEC9-4E8D-9E40-AEFCA3CAB9C2}"/>
    <cellStyle name="Normal 9 2 2 3 2 3 2 2 3" xfId="16348" xr:uid="{284BEB1A-FD80-4E20-B005-E08E74186774}"/>
    <cellStyle name="Normal 9 2 2 3 2 3 2 3" xfId="19756" xr:uid="{A0A4CDE4-FF76-4893-8016-F2584DB08BDE}"/>
    <cellStyle name="Normal 9 2 2 3 2 3 2 4" xfId="12135" xr:uid="{39099175-5B79-4F14-90D9-C87F0AA58A7E}"/>
    <cellStyle name="Normal 9 2 2 3 2 3 3" xfId="5708" xr:uid="{00000000-0005-0000-0000-0000C71E0000}"/>
    <cellStyle name="Normal 9 2 2 3 2 3 3 2" xfId="21824" xr:uid="{CF9012FA-10F1-4ABB-AC8A-781725FBB697}"/>
    <cellStyle name="Normal 9 2 2 3 2 3 3 3" xfId="14203" xr:uid="{4CED450E-6700-4918-8CDF-21664DB1C1E0}"/>
    <cellStyle name="Normal 9 2 2 3 2 3 4" xfId="17611" xr:uid="{23DC2509-16FB-4C26-8DB4-2845655D1D78}"/>
    <cellStyle name="Normal 9 2 2 3 2 3 5" xfId="9990" xr:uid="{033DDDE2-84D2-4C1E-B78E-1981D612104A}"/>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24382" xr:uid="{E9C9786A-128E-4198-98F5-3F2B2B49D92E}"/>
    <cellStyle name="Normal 9 2 2 3 2 4 2 2 3" xfId="16761" xr:uid="{0B667A0A-F7BE-4B88-941C-B7B3B27E7D6B}"/>
    <cellStyle name="Normal 9 2 2 3 2 4 2 3" xfId="20169" xr:uid="{C9ACF67C-0D2A-46FF-9FCF-072610D22B51}"/>
    <cellStyle name="Normal 9 2 2 3 2 4 2 4" xfId="12548" xr:uid="{64FAC2E1-AC24-4342-AB76-B721EAEF8032}"/>
    <cellStyle name="Normal 9 2 2 3 2 4 3" xfId="6121" xr:uid="{00000000-0005-0000-0000-0000CB1E0000}"/>
    <cellStyle name="Normal 9 2 2 3 2 4 3 2" xfId="22237" xr:uid="{62EA5217-1E5A-4E3D-9A7F-BC62D47FA9CA}"/>
    <cellStyle name="Normal 9 2 2 3 2 4 3 3" xfId="14616" xr:uid="{D82D2D4C-DEFC-445C-AE45-63B9E1AAF094}"/>
    <cellStyle name="Normal 9 2 2 3 2 4 4" xfId="18024" xr:uid="{8FE32CDE-2D24-4E43-92F5-5142E1C4070F}"/>
    <cellStyle name="Normal 9 2 2 3 2 4 5" xfId="10403" xr:uid="{961D41A1-ECAF-4A7A-9FA4-C5DAD320BF6E}"/>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24795" xr:uid="{54EB40DE-D2A5-4142-A97F-B992D62633F3}"/>
    <cellStyle name="Normal 9 2 2 3 2 5 2 2 3" xfId="17174" xr:uid="{42776C7F-6138-49C8-A7CE-C203197D01E0}"/>
    <cellStyle name="Normal 9 2 2 3 2 5 2 3" xfId="20582" xr:uid="{44E47430-8D09-4963-B0CE-6710D9408955}"/>
    <cellStyle name="Normal 9 2 2 3 2 5 2 4" xfId="12961" xr:uid="{AD881B37-8C2C-4887-A17B-630E1F43F56C}"/>
    <cellStyle name="Normal 9 2 2 3 2 5 3" xfId="6534" xr:uid="{00000000-0005-0000-0000-0000CF1E0000}"/>
    <cellStyle name="Normal 9 2 2 3 2 5 3 2" xfId="22650" xr:uid="{EF3C0169-74A6-4B2D-9D78-A7886875DD17}"/>
    <cellStyle name="Normal 9 2 2 3 2 5 3 3" xfId="15029" xr:uid="{7342FBF4-872E-4A7B-AEBB-FA6C436D8BA2}"/>
    <cellStyle name="Normal 9 2 2 3 2 5 4" xfId="18437" xr:uid="{8E3FA926-CF2D-4F99-AFE4-AA5BBA3C0B81}"/>
    <cellStyle name="Normal 9 2 2 3 2 5 5" xfId="10816" xr:uid="{FE4D38C0-665C-4993-A84B-4C769CD71612}"/>
    <cellStyle name="Normal 9 2 2 3 2 6" xfId="2664" xr:uid="{00000000-0005-0000-0000-0000D01E0000}"/>
    <cellStyle name="Normal 9 2 2 3 2 6 2" xfId="6947" xr:uid="{00000000-0005-0000-0000-0000D11E0000}"/>
    <cellStyle name="Normal 9 2 2 3 2 6 2 2" xfId="23063" xr:uid="{2DDDF57C-2DE5-4584-B15C-B14C15719F9E}"/>
    <cellStyle name="Normal 9 2 2 3 2 6 2 3" xfId="15442" xr:uid="{97361435-2EE0-4AC9-A4F7-1320B9E86F7E}"/>
    <cellStyle name="Normal 9 2 2 3 2 6 3" xfId="18850" xr:uid="{BE744437-D1A1-49BB-96B2-119B08FA54CD}"/>
    <cellStyle name="Normal 9 2 2 3 2 6 4" xfId="11229" xr:uid="{084EB632-7F7B-4B64-A906-6D0FB5F7842B}"/>
    <cellStyle name="Normal 9 2 2 3 2 7" xfId="4882" xr:uid="{00000000-0005-0000-0000-0000D21E0000}"/>
    <cellStyle name="Normal 9 2 2 3 2 7 2" xfId="20998" xr:uid="{1B7D7942-D98C-40B5-9D9F-EA867A4131D0}"/>
    <cellStyle name="Normal 9 2 2 3 2 7 3" xfId="13377" xr:uid="{5BD29FD2-5C4E-4FDD-9B80-B5BD5EE2479F}"/>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23555" xr:uid="{820546C2-A1CA-4DB7-8E56-62C169A04283}"/>
    <cellStyle name="Normal 9 2 2 3 3 2 2 3" xfId="15934" xr:uid="{8065EF64-84AF-4305-91BD-4F06E719752B}"/>
    <cellStyle name="Normal 9 2 2 3 3 2 3" xfId="19342" xr:uid="{B9AC0D15-3379-4194-BD13-3EF30CCB0E97}"/>
    <cellStyle name="Normal 9 2 2 3 3 2 4" xfId="11721" xr:uid="{7A4BB3EA-5426-4532-B1D6-0A5EA6871D54}"/>
    <cellStyle name="Normal 9 2 2 3 3 3" xfId="5294" xr:uid="{00000000-0005-0000-0000-0000D61E0000}"/>
    <cellStyle name="Normal 9 2 2 3 3 3 2" xfId="21410" xr:uid="{3AB4AEC4-6A1D-4AF6-9AC2-D09C1EE4D83A}"/>
    <cellStyle name="Normal 9 2 2 3 3 3 3" xfId="13789" xr:uid="{097FD158-DB87-41E5-954C-0159BC0AA4E2}"/>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23968" xr:uid="{C33C3003-9CFA-4C05-8962-A7C34238FCF8}"/>
    <cellStyle name="Normal 9 2 2 3 4 2 2 3" xfId="16347" xr:uid="{01418FF7-EE50-4FDE-A95C-41935B68E5B1}"/>
    <cellStyle name="Normal 9 2 2 3 4 2 3" xfId="19755" xr:uid="{D6C64B12-75C8-493A-9EED-23B4B377F563}"/>
    <cellStyle name="Normal 9 2 2 3 4 2 4" xfId="12134" xr:uid="{A4BD56AB-62E0-4618-9D4E-FF0DA7764C40}"/>
    <cellStyle name="Normal 9 2 2 3 4 3" xfId="5707" xr:uid="{00000000-0005-0000-0000-0000DA1E0000}"/>
    <cellStyle name="Normal 9 2 2 3 4 3 2" xfId="21823" xr:uid="{77D6F57C-809E-4414-B595-A5351BE1D251}"/>
    <cellStyle name="Normal 9 2 2 3 4 3 3" xfId="14202" xr:uid="{94008BBA-99D6-4326-B8BB-2C348C5214A0}"/>
    <cellStyle name="Normal 9 2 2 3 4 4" xfId="17610" xr:uid="{E71873DE-9F30-49DD-867C-1F94AD5A486C}"/>
    <cellStyle name="Normal 9 2 2 3 4 5" xfId="9989" xr:uid="{73E02971-197C-49A9-8895-A8BAE9CBA30C}"/>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24381" xr:uid="{B0CD2019-33E6-425D-B494-AA073F0DE6C9}"/>
    <cellStyle name="Normal 9 2 2 3 5 2 2 3" xfId="16760" xr:uid="{B260A299-1366-47E0-833E-FC28F76AD10A}"/>
    <cellStyle name="Normal 9 2 2 3 5 2 3" xfId="20168" xr:uid="{CE0B31A3-AF73-4BC8-AB70-D625C95FF64A}"/>
    <cellStyle name="Normal 9 2 2 3 5 2 4" xfId="12547" xr:uid="{33542BD2-2259-4E29-B1E4-B96FA3E5E67F}"/>
    <cellStyle name="Normal 9 2 2 3 5 3" xfId="6120" xr:uid="{00000000-0005-0000-0000-0000DE1E0000}"/>
    <cellStyle name="Normal 9 2 2 3 5 3 2" xfId="22236" xr:uid="{C9E54304-A834-4D69-80E1-3FF2209A827B}"/>
    <cellStyle name="Normal 9 2 2 3 5 3 3" xfId="14615" xr:uid="{B2CC6724-8B6C-4384-845C-0305363CC291}"/>
    <cellStyle name="Normal 9 2 2 3 5 4" xfId="18023" xr:uid="{6AB6CA0C-15D7-412D-A48A-2E2A25700645}"/>
    <cellStyle name="Normal 9 2 2 3 5 5" xfId="10402" xr:uid="{5275503B-3362-41B9-A6ED-2C1BD55A912E}"/>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24794" xr:uid="{C4C32B77-09E7-4C4B-8462-A86C9D7A35FA}"/>
    <cellStyle name="Normal 9 2 2 3 6 2 2 3" xfId="17173" xr:uid="{31414799-18FF-49EE-A0F6-CE6D68C19DA4}"/>
    <cellStyle name="Normal 9 2 2 3 6 2 3" xfId="20581" xr:uid="{9EEA7334-E93A-4D1E-B7CB-AB1764F4758F}"/>
    <cellStyle name="Normal 9 2 2 3 6 2 4" xfId="12960" xr:uid="{341E68FF-75A9-4649-BD76-7940F2CEC586}"/>
    <cellStyle name="Normal 9 2 2 3 6 3" xfId="6533" xr:uid="{00000000-0005-0000-0000-0000E21E0000}"/>
    <cellStyle name="Normal 9 2 2 3 6 3 2" xfId="22649" xr:uid="{05D1D780-6DCE-4CB2-8B0D-3603076E6A1A}"/>
    <cellStyle name="Normal 9 2 2 3 6 3 3" xfId="15028" xr:uid="{4B475843-6781-4B59-BD68-AB18688C89D7}"/>
    <cellStyle name="Normal 9 2 2 3 6 4" xfId="18436" xr:uid="{2211904F-64D9-4320-A148-C82304DF37E5}"/>
    <cellStyle name="Normal 9 2 2 3 6 5" xfId="10815" xr:uid="{2769810B-20DB-4398-9C5A-D17CD95EFE0A}"/>
    <cellStyle name="Normal 9 2 2 3 7" xfId="2663" xr:uid="{00000000-0005-0000-0000-0000E31E0000}"/>
    <cellStyle name="Normal 9 2 2 3 7 2" xfId="6946" xr:uid="{00000000-0005-0000-0000-0000E41E0000}"/>
    <cellStyle name="Normal 9 2 2 3 7 2 2" xfId="23062" xr:uid="{6832A6C7-4E77-4FA9-BD97-751F06BAC134}"/>
    <cellStyle name="Normal 9 2 2 3 7 2 3" xfId="15441" xr:uid="{B48B57F6-6D50-4CE2-88EF-C5D840D6945C}"/>
    <cellStyle name="Normal 9 2 2 3 7 3" xfId="18849" xr:uid="{7BC14B48-2A40-4488-9923-CE9BF1CE7C62}"/>
    <cellStyle name="Normal 9 2 2 3 7 4" xfId="11228" xr:uid="{64B8A4C2-37F4-4BF2-B34A-0EE8F0D72168}"/>
    <cellStyle name="Normal 9 2 2 3 8" xfId="4881" xr:uid="{00000000-0005-0000-0000-0000E51E0000}"/>
    <cellStyle name="Normal 9 2 2 3 8 2" xfId="20997" xr:uid="{D56538A3-7E4E-49A7-80F1-5D82F782923D}"/>
    <cellStyle name="Normal 9 2 2 3 8 3" xfId="13376" xr:uid="{3430458C-D41A-4586-B31C-318F75673416}"/>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23557" xr:uid="{0D01644E-E110-4E3F-84B3-FAD9DAB6C7CB}"/>
    <cellStyle name="Normal 9 2 2 4 2 2 2 3" xfId="15936" xr:uid="{C0AB29FF-018A-414E-A8DE-67901DA7C5D4}"/>
    <cellStyle name="Normal 9 2 2 4 2 2 3" xfId="19344" xr:uid="{C781D77D-8B23-4854-BF6F-CAE220CCA315}"/>
    <cellStyle name="Normal 9 2 2 4 2 2 4" xfId="11723" xr:uid="{78357161-D237-429F-B23C-F4BD63278044}"/>
    <cellStyle name="Normal 9 2 2 4 2 3" xfId="5296" xr:uid="{00000000-0005-0000-0000-0000EA1E0000}"/>
    <cellStyle name="Normal 9 2 2 4 2 3 2" xfId="21412" xr:uid="{BB7E40E5-09D4-4A70-A992-9BB1E37BE654}"/>
    <cellStyle name="Normal 9 2 2 4 2 3 3" xfId="13791" xr:uid="{D78389F1-D45E-4C30-BCC1-FB8EFBF560E9}"/>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23970" xr:uid="{BC7B35A2-47F7-4430-B500-1A8E638EEE3E}"/>
    <cellStyle name="Normal 9 2 2 4 3 2 2 3" xfId="16349" xr:uid="{702AD151-B64F-4AD2-9DF4-4CC8E83FD9F0}"/>
    <cellStyle name="Normal 9 2 2 4 3 2 3" xfId="19757" xr:uid="{084FC85C-54A8-4615-B9A2-F77A772C89D8}"/>
    <cellStyle name="Normal 9 2 2 4 3 2 4" xfId="12136" xr:uid="{E01F652E-7DE7-44FC-91CA-8C83194A6EB5}"/>
    <cellStyle name="Normal 9 2 2 4 3 3" xfId="5709" xr:uid="{00000000-0005-0000-0000-0000EE1E0000}"/>
    <cellStyle name="Normal 9 2 2 4 3 3 2" xfId="21825" xr:uid="{18809878-FD10-4AFA-9FCB-215BE5AF802A}"/>
    <cellStyle name="Normal 9 2 2 4 3 3 3" xfId="14204" xr:uid="{DA797298-9F3D-4B70-9F92-302E111FCC85}"/>
    <cellStyle name="Normal 9 2 2 4 3 4" xfId="17612" xr:uid="{B3DC236E-E6B5-43D7-B39B-816DF283C1D3}"/>
    <cellStyle name="Normal 9 2 2 4 3 5" xfId="9991" xr:uid="{4A606D42-5327-4499-BDAB-3F5BF63CB35B}"/>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24383" xr:uid="{25FB571C-9794-4FB2-BCCC-EC496094F2D7}"/>
    <cellStyle name="Normal 9 2 2 4 4 2 2 3" xfId="16762" xr:uid="{FBCA9480-0F1E-40DC-93F5-DE527A744D0D}"/>
    <cellStyle name="Normal 9 2 2 4 4 2 3" xfId="20170" xr:uid="{B28542EA-D96B-4D06-B0C8-4D81DFA5F9C3}"/>
    <cellStyle name="Normal 9 2 2 4 4 2 4" xfId="12549" xr:uid="{417739FA-0FE6-4CF9-8250-57609689E8DB}"/>
    <cellStyle name="Normal 9 2 2 4 4 3" xfId="6122" xr:uid="{00000000-0005-0000-0000-0000F21E0000}"/>
    <cellStyle name="Normal 9 2 2 4 4 3 2" xfId="22238" xr:uid="{6FBA2333-2A95-45F1-8F7B-B8316E4C78CD}"/>
    <cellStyle name="Normal 9 2 2 4 4 3 3" xfId="14617" xr:uid="{E750EDE3-BDC9-4A6F-A908-D215FF9CCF51}"/>
    <cellStyle name="Normal 9 2 2 4 4 4" xfId="18025" xr:uid="{BD875DB1-F425-4E24-AB12-8A149BF597DE}"/>
    <cellStyle name="Normal 9 2 2 4 4 5" xfId="10404" xr:uid="{BCF39353-432D-4BFB-922B-22B6AA18E52F}"/>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24796" xr:uid="{7D551979-F981-4ECA-9FAC-80740F755A4B}"/>
    <cellStyle name="Normal 9 2 2 4 5 2 2 3" xfId="17175" xr:uid="{77469E98-2CFC-4443-9B0B-F3DAB56CB493}"/>
    <cellStyle name="Normal 9 2 2 4 5 2 3" xfId="20583" xr:uid="{E1C7CA46-B32F-48AB-8A7B-A7ECB9D48E36}"/>
    <cellStyle name="Normal 9 2 2 4 5 2 4" xfId="12962" xr:uid="{811E037A-9484-406A-B503-EC082F499BC8}"/>
    <cellStyle name="Normal 9 2 2 4 5 3" xfId="6535" xr:uid="{00000000-0005-0000-0000-0000F61E0000}"/>
    <cellStyle name="Normal 9 2 2 4 5 3 2" xfId="22651" xr:uid="{F000B454-1EF9-427E-9F72-A7D9871FBC28}"/>
    <cellStyle name="Normal 9 2 2 4 5 3 3" xfId="15030" xr:uid="{5B22A981-6038-4459-9B9C-B858CFD4B930}"/>
    <cellStyle name="Normal 9 2 2 4 5 4" xfId="18438" xr:uid="{50AD3541-A93F-4858-91D4-807489542555}"/>
    <cellStyle name="Normal 9 2 2 4 5 5" xfId="10817" xr:uid="{AD5856CA-E4AC-4898-AB75-CBA3959C2E34}"/>
    <cellStyle name="Normal 9 2 2 4 6" xfId="2665" xr:uid="{00000000-0005-0000-0000-0000F71E0000}"/>
    <cellStyle name="Normal 9 2 2 4 6 2" xfId="6948" xr:uid="{00000000-0005-0000-0000-0000F81E0000}"/>
    <cellStyle name="Normal 9 2 2 4 6 2 2" xfId="23064" xr:uid="{A31850C0-EEA1-4240-9BAA-7EB1B3378C67}"/>
    <cellStyle name="Normal 9 2 2 4 6 2 3" xfId="15443" xr:uid="{703E529D-D897-410C-81DD-9355BE818FA4}"/>
    <cellStyle name="Normal 9 2 2 4 6 3" xfId="18851" xr:uid="{FFAD5079-EF55-458C-937E-3741CA306AAF}"/>
    <cellStyle name="Normal 9 2 2 4 6 4" xfId="11230" xr:uid="{947BF938-0060-4C41-B367-0CF954184AA0}"/>
    <cellStyle name="Normal 9 2 2 4 7" xfId="4883" xr:uid="{00000000-0005-0000-0000-0000F91E0000}"/>
    <cellStyle name="Normal 9 2 2 4 7 2" xfId="20999" xr:uid="{E92F2FF8-EFDB-42DB-8581-868743278548}"/>
    <cellStyle name="Normal 9 2 2 4 7 3" xfId="13378" xr:uid="{36ACD837-D16C-441C-A62D-2E551508353C}"/>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2 2 2" xfId="23550" xr:uid="{D0CDC254-AAB2-4824-B007-09F6384A4F1B}"/>
    <cellStyle name="Normal 9 2 2 5 2 2 3" xfId="15929" xr:uid="{510478A0-1B4A-4FC3-B81C-C4CE58D84DEC}"/>
    <cellStyle name="Normal 9 2 2 5 2 3" xfId="19337" xr:uid="{78127F00-1B38-492C-9F10-171DE0C6BBE9}"/>
    <cellStyle name="Normal 9 2 2 5 2 4" xfId="11716" xr:uid="{895CE3B8-44E1-450E-868B-289486497445}"/>
    <cellStyle name="Normal 9 2 2 5 3" xfId="5289" xr:uid="{00000000-0005-0000-0000-0000FD1E0000}"/>
    <cellStyle name="Normal 9 2 2 5 3 2" xfId="21405" xr:uid="{DD1720A2-5031-4F7E-BAB8-5C592138DEF0}"/>
    <cellStyle name="Normal 9 2 2 5 3 3" xfId="13784" xr:uid="{BC69ADA6-2C5D-4C8C-BC1D-B9C0D982145B}"/>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2 2 2" xfId="23963" xr:uid="{7885B194-DF2D-4559-9CEC-DBB0339080DC}"/>
    <cellStyle name="Normal 9 2 2 6 2 2 3" xfId="16342" xr:uid="{3C01E341-C8DF-41A0-B28D-C48D4C68276B}"/>
    <cellStyle name="Normal 9 2 2 6 2 3" xfId="19750" xr:uid="{B78CCE55-6257-446B-BFD6-9187F6D5F40C}"/>
    <cellStyle name="Normal 9 2 2 6 2 4" xfId="12129" xr:uid="{0DABFA1A-BEAE-4C6C-92B9-5DD37D540A6F}"/>
    <cellStyle name="Normal 9 2 2 6 3" xfId="5702" xr:uid="{00000000-0005-0000-0000-0000011F0000}"/>
    <cellStyle name="Normal 9 2 2 6 3 2" xfId="21818" xr:uid="{00B504B8-3D57-4DDC-80FA-0125CE4F1BBD}"/>
    <cellStyle name="Normal 9 2 2 6 3 3" xfId="14197" xr:uid="{ED4E56E2-6420-4B5F-948A-E4046887D14A}"/>
    <cellStyle name="Normal 9 2 2 6 4" xfId="17605" xr:uid="{3BF56396-F2AC-4052-A5A1-0851C1B380F9}"/>
    <cellStyle name="Normal 9 2 2 6 5" xfId="9984" xr:uid="{941255BB-49E4-4B33-9541-1ABD5B800A3C}"/>
    <cellStyle name="Normal 9 2 2 7" xfId="1808" xr:uid="{00000000-0005-0000-0000-0000021F0000}"/>
    <cellStyle name="Normal 9 2 2 7 2" xfId="4038" xr:uid="{00000000-0005-0000-0000-0000031F0000}"/>
    <cellStyle name="Normal 9 2 2 7 2 2" xfId="8260" xr:uid="{00000000-0005-0000-0000-0000041F0000}"/>
    <cellStyle name="Normal 9 2 2 7 2 2 2" xfId="24376" xr:uid="{6B769912-DDD1-48F9-845E-75BA1DF9603A}"/>
    <cellStyle name="Normal 9 2 2 7 2 2 3" xfId="16755" xr:uid="{853724CB-553B-4427-8CF4-847DFEF5257C}"/>
    <cellStyle name="Normal 9 2 2 7 2 3" xfId="20163" xr:uid="{C72C4A69-D344-424F-B603-048E2E5D0F4B}"/>
    <cellStyle name="Normal 9 2 2 7 2 4" xfId="12542" xr:uid="{AD0A75B8-CDBE-4F95-8BEF-F0B150917F8C}"/>
    <cellStyle name="Normal 9 2 2 7 3" xfId="6115" xr:uid="{00000000-0005-0000-0000-0000051F0000}"/>
    <cellStyle name="Normal 9 2 2 7 3 2" xfId="22231" xr:uid="{3D9EF6B9-E195-44B3-8FC6-860337DE6A93}"/>
    <cellStyle name="Normal 9 2 2 7 3 3" xfId="14610" xr:uid="{4B727A9E-1B26-4D52-8CEB-EDF4C3CB287C}"/>
    <cellStyle name="Normal 9 2 2 7 4" xfId="18018" xr:uid="{1E834790-8B10-4D96-9746-E1507047EB45}"/>
    <cellStyle name="Normal 9 2 2 7 5" xfId="10397" xr:uid="{2512E267-A6D7-401A-87CE-10C60A6C126A}"/>
    <cellStyle name="Normal 9 2 2 8" xfId="2222" xr:uid="{00000000-0005-0000-0000-0000061F0000}"/>
    <cellStyle name="Normal 9 2 2 8 2" xfId="4451" xr:uid="{00000000-0005-0000-0000-0000071F0000}"/>
    <cellStyle name="Normal 9 2 2 8 2 2" xfId="8673" xr:uid="{00000000-0005-0000-0000-0000081F0000}"/>
    <cellStyle name="Normal 9 2 2 8 2 2 2" xfId="24789" xr:uid="{57A29402-ACC6-4A61-B88D-CB30690BB59D}"/>
    <cellStyle name="Normal 9 2 2 8 2 2 3" xfId="17168" xr:uid="{E8CC02FC-5DFE-41E6-A335-BB775DF8C92D}"/>
    <cellStyle name="Normal 9 2 2 8 2 3" xfId="20576" xr:uid="{5137B02A-AE83-4C35-B13C-A43C6650627A}"/>
    <cellStyle name="Normal 9 2 2 8 2 4" xfId="12955" xr:uid="{757738BD-B867-45A1-957A-B13637E96BBC}"/>
    <cellStyle name="Normal 9 2 2 8 3" xfId="6528" xr:uid="{00000000-0005-0000-0000-0000091F0000}"/>
    <cellStyle name="Normal 9 2 2 8 3 2" xfId="22644" xr:uid="{795CD173-4772-4172-8D5E-6885B0FEF1D0}"/>
    <cellStyle name="Normal 9 2 2 8 3 3" xfId="15023" xr:uid="{4C9128F1-EC29-4534-9493-557E4C6682C5}"/>
    <cellStyle name="Normal 9 2 2 8 4" xfId="18431" xr:uid="{2FE53145-900C-4583-B28C-67FAFE02BFFC}"/>
    <cellStyle name="Normal 9 2 2 8 5" xfId="10810" xr:uid="{FA000D04-7AC2-40ED-B7A8-A402FE9835FD}"/>
    <cellStyle name="Normal 9 2 2 9" xfId="2658" xr:uid="{00000000-0005-0000-0000-00000A1F0000}"/>
    <cellStyle name="Normal 9 2 2 9 2" xfId="6941" xr:uid="{00000000-0005-0000-0000-00000B1F0000}"/>
    <cellStyle name="Normal 9 2 2 9 2 2" xfId="23057" xr:uid="{599F6CCB-9882-4312-8FA9-550F3FFDC933}"/>
    <cellStyle name="Normal 9 2 2 9 2 3" xfId="15436" xr:uid="{2C8E812A-9A56-42B5-84BC-7228159C3D3D}"/>
    <cellStyle name="Normal 9 2 2 9 3" xfId="18844" xr:uid="{7A961A84-EC9B-4741-A0D3-2B9E4F4AE464}"/>
    <cellStyle name="Normal 9 2 2 9 4" xfId="11223" xr:uid="{37F5DAB7-14AF-4410-9DA9-A154EC488E8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23560" xr:uid="{FBC94277-8967-480C-81E8-7A6819F1039B}"/>
    <cellStyle name="Normal 9 2 3 2 2 2 2 2 3" xfId="15939" xr:uid="{0EBA0D0C-44BF-4A29-8BFC-64E5207BFF45}"/>
    <cellStyle name="Normal 9 2 3 2 2 2 2 3" xfId="19347" xr:uid="{5207D111-FD23-4710-8665-1B98D53B6CA6}"/>
    <cellStyle name="Normal 9 2 3 2 2 2 2 4" xfId="11726" xr:uid="{3031A9D8-505A-435E-AD65-EF129AA0D32A}"/>
    <cellStyle name="Normal 9 2 3 2 2 2 3" xfId="5299" xr:uid="{00000000-0005-0000-0000-0000121F0000}"/>
    <cellStyle name="Normal 9 2 3 2 2 2 3 2" xfId="21415" xr:uid="{D6C91B8F-9015-4AB7-B567-86720863ED90}"/>
    <cellStyle name="Normal 9 2 3 2 2 2 3 3" xfId="13794" xr:uid="{E3B64143-1EA6-4CE0-962E-BC757EB9529F}"/>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23973" xr:uid="{D8F1444F-F208-45F5-AEDC-68C6AD254AB7}"/>
    <cellStyle name="Normal 9 2 3 2 2 3 2 2 3" xfId="16352" xr:uid="{A3A1AD7D-BBAE-4631-B565-E2745591F62A}"/>
    <cellStyle name="Normal 9 2 3 2 2 3 2 3" xfId="19760" xr:uid="{C1A03A9D-DF3A-49E2-8AFA-2DD838BD372C}"/>
    <cellStyle name="Normal 9 2 3 2 2 3 2 4" xfId="12139" xr:uid="{2662B560-C84F-4FF8-9C97-125A1F092D1C}"/>
    <cellStyle name="Normal 9 2 3 2 2 3 3" xfId="5712" xr:uid="{00000000-0005-0000-0000-0000161F0000}"/>
    <cellStyle name="Normal 9 2 3 2 2 3 3 2" xfId="21828" xr:uid="{A5A54BA4-0868-4774-8C01-F20EC6C68425}"/>
    <cellStyle name="Normal 9 2 3 2 2 3 3 3" xfId="14207" xr:uid="{1DFCBEF7-621F-4FA0-8C4B-DC0CC34B38F9}"/>
    <cellStyle name="Normal 9 2 3 2 2 3 4" xfId="17615" xr:uid="{E99FACCD-9F72-4620-811B-30CC7742FC58}"/>
    <cellStyle name="Normal 9 2 3 2 2 3 5" xfId="9994" xr:uid="{A12DB123-1FE3-4367-96B9-200CEF8E320B}"/>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24386" xr:uid="{6D27CFD5-ACEE-4268-BE15-BBF1CB974566}"/>
    <cellStyle name="Normal 9 2 3 2 2 4 2 2 3" xfId="16765" xr:uid="{B5861BF5-2DE3-483D-9B24-DC07F16732C1}"/>
    <cellStyle name="Normal 9 2 3 2 2 4 2 3" xfId="20173" xr:uid="{514460D9-6C1F-4A31-B392-79B8CCB644DC}"/>
    <cellStyle name="Normal 9 2 3 2 2 4 2 4" xfId="12552" xr:uid="{9EF2724D-43D3-4AF2-BAAA-EB9BB7C96A78}"/>
    <cellStyle name="Normal 9 2 3 2 2 4 3" xfId="6125" xr:uid="{00000000-0005-0000-0000-00001A1F0000}"/>
    <cellStyle name="Normal 9 2 3 2 2 4 3 2" xfId="22241" xr:uid="{E2CF0C6C-8A7A-4D5C-A887-13A2435D6576}"/>
    <cellStyle name="Normal 9 2 3 2 2 4 3 3" xfId="14620" xr:uid="{2F39F4EB-482E-405A-8B79-8697D44373CC}"/>
    <cellStyle name="Normal 9 2 3 2 2 4 4" xfId="18028" xr:uid="{7634010D-2727-4A12-9EB9-90584A947A28}"/>
    <cellStyle name="Normal 9 2 3 2 2 4 5" xfId="10407" xr:uid="{B3E8F1DA-3964-47EE-A50D-6E87F17DD17A}"/>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24799" xr:uid="{A6B3B6E6-4AE4-4962-81AF-B1AB5EB2A225}"/>
    <cellStyle name="Normal 9 2 3 2 2 5 2 2 3" xfId="17178" xr:uid="{A2FA8B97-4AF6-43EA-AFEC-06DDEDF56366}"/>
    <cellStyle name="Normal 9 2 3 2 2 5 2 3" xfId="20586" xr:uid="{C3842B03-9CFD-4C23-A9FD-F12290ECBB0B}"/>
    <cellStyle name="Normal 9 2 3 2 2 5 2 4" xfId="12965" xr:uid="{B6D28541-6EDC-4599-9CB7-5B835F6A2831}"/>
    <cellStyle name="Normal 9 2 3 2 2 5 3" xfId="6538" xr:uid="{00000000-0005-0000-0000-00001E1F0000}"/>
    <cellStyle name="Normal 9 2 3 2 2 5 3 2" xfId="22654" xr:uid="{1B3B1F22-7439-4A32-8E26-43243748A320}"/>
    <cellStyle name="Normal 9 2 3 2 2 5 3 3" xfId="15033" xr:uid="{F4A6C17D-D260-42F1-9882-EEF500E6D322}"/>
    <cellStyle name="Normal 9 2 3 2 2 5 4" xfId="18441" xr:uid="{9CDD54D6-BAAC-435A-BE50-0E612B31D89C}"/>
    <cellStyle name="Normal 9 2 3 2 2 5 5" xfId="10820" xr:uid="{B5E6AC90-4D01-499B-8EEB-01A4862BE317}"/>
    <cellStyle name="Normal 9 2 3 2 2 6" xfId="2668" xr:uid="{00000000-0005-0000-0000-00001F1F0000}"/>
    <cellStyle name="Normal 9 2 3 2 2 6 2" xfId="6951" xr:uid="{00000000-0005-0000-0000-0000201F0000}"/>
    <cellStyle name="Normal 9 2 3 2 2 6 2 2" xfId="23067" xr:uid="{773F02C6-513D-403A-9E5D-7E93E56C5791}"/>
    <cellStyle name="Normal 9 2 3 2 2 6 2 3" xfId="15446" xr:uid="{28174C45-1046-4CD2-BD8D-4A156512E597}"/>
    <cellStyle name="Normal 9 2 3 2 2 6 3" xfId="18854" xr:uid="{DD097679-05A3-4C43-AD51-952AE706C75C}"/>
    <cellStyle name="Normal 9 2 3 2 2 6 4" xfId="11233" xr:uid="{E7F05FBC-8110-48EF-A719-EB58931342E7}"/>
    <cellStyle name="Normal 9 2 3 2 2 7" xfId="4886" xr:uid="{00000000-0005-0000-0000-0000211F0000}"/>
    <cellStyle name="Normal 9 2 3 2 2 7 2" xfId="21002" xr:uid="{645E8482-EAC7-4AFB-AF0E-16E73BFA7786}"/>
    <cellStyle name="Normal 9 2 3 2 2 7 3" xfId="13381" xr:uid="{B0FF5ADF-74A1-449C-8DCC-70ADD95F38A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23559" xr:uid="{DD2A45A1-3E1B-4836-BA15-36B2EC51F95D}"/>
    <cellStyle name="Normal 9 2 3 2 3 2 2 3" xfId="15938" xr:uid="{E654568E-A96F-47C4-9FD0-6E74579AF2EC}"/>
    <cellStyle name="Normal 9 2 3 2 3 2 3" xfId="19346" xr:uid="{879FD8DE-362E-47CD-B4B2-A261F059C697}"/>
    <cellStyle name="Normal 9 2 3 2 3 2 4" xfId="11725" xr:uid="{45993669-9D7B-41D0-A720-ABD53E510373}"/>
    <cellStyle name="Normal 9 2 3 2 3 3" xfId="5298" xr:uid="{00000000-0005-0000-0000-0000251F0000}"/>
    <cellStyle name="Normal 9 2 3 2 3 3 2" xfId="21414" xr:uid="{7EA815DE-4E45-4176-B0F3-B6CE9DE97B02}"/>
    <cellStyle name="Normal 9 2 3 2 3 3 3" xfId="13793" xr:uid="{4D7BD406-1C89-433E-8F68-E49462EF3546}"/>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23972" xr:uid="{C80ECF13-5502-4872-9557-492F94725649}"/>
    <cellStyle name="Normal 9 2 3 2 4 2 2 3" xfId="16351" xr:uid="{914FA022-B146-488F-9A15-9A4E18BB1CF6}"/>
    <cellStyle name="Normal 9 2 3 2 4 2 3" xfId="19759" xr:uid="{956360E8-15E8-4473-8F03-665559369F85}"/>
    <cellStyle name="Normal 9 2 3 2 4 2 4" xfId="12138" xr:uid="{163F5078-7614-4DEC-A031-7FB3A1CAE6F2}"/>
    <cellStyle name="Normal 9 2 3 2 4 3" xfId="5711" xr:uid="{00000000-0005-0000-0000-0000291F0000}"/>
    <cellStyle name="Normal 9 2 3 2 4 3 2" xfId="21827" xr:uid="{B3C8D1DA-9080-4506-89EB-062F61DFDEB5}"/>
    <cellStyle name="Normal 9 2 3 2 4 3 3" xfId="14206" xr:uid="{3240DA38-78D0-4414-BD23-D74D284D194B}"/>
    <cellStyle name="Normal 9 2 3 2 4 4" xfId="17614" xr:uid="{17A81579-53C1-4F26-B9E9-2FA444CA04DF}"/>
    <cellStyle name="Normal 9 2 3 2 4 5" xfId="9993" xr:uid="{5B851297-7FF5-427E-8C32-0C50E2E46AAF}"/>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24385" xr:uid="{08E2505F-B24A-4367-ADC2-D12FBCBE6350}"/>
    <cellStyle name="Normal 9 2 3 2 5 2 2 3" xfId="16764" xr:uid="{5240B825-0FD3-4605-A5D5-1ED0F08A83F7}"/>
    <cellStyle name="Normal 9 2 3 2 5 2 3" xfId="20172" xr:uid="{FCFAAF64-3798-48D5-AF5B-74B4390F20ED}"/>
    <cellStyle name="Normal 9 2 3 2 5 2 4" xfId="12551" xr:uid="{2D4DD708-4AF3-4157-841C-6DFE36B2F523}"/>
    <cellStyle name="Normal 9 2 3 2 5 3" xfId="6124" xr:uid="{00000000-0005-0000-0000-00002D1F0000}"/>
    <cellStyle name="Normal 9 2 3 2 5 3 2" xfId="22240" xr:uid="{45CF8099-069F-4CAD-8A14-349AA37C5122}"/>
    <cellStyle name="Normal 9 2 3 2 5 3 3" xfId="14619" xr:uid="{B53380F0-5CFB-4FF5-98DA-D6E2BDBF48E2}"/>
    <cellStyle name="Normal 9 2 3 2 5 4" xfId="18027" xr:uid="{0FCA175F-7B21-46FE-929C-69129CA1247A}"/>
    <cellStyle name="Normal 9 2 3 2 5 5" xfId="10406" xr:uid="{2D6E2408-A57E-4A89-88DB-5E39E2284BEF}"/>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24798" xr:uid="{ED8B91E8-407E-4B52-8BCD-00E029DA74F0}"/>
    <cellStyle name="Normal 9 2 3 2 6 2 2 3" xfId="17177" xr:uid="{B775C750-08B8-49E4-BEB4-0E2E99470B0F}"/>
    <cellStyle name="Normal 9 2 3 2 6 2 3" xfId="20585" xr:uid="{FDFFFB79-84F5-4BD9-974C-8793367083DC}"/>
    <cellStyle name="Normal 9 2 3 2 6 2 4" xfId="12964" xr:uid="{3C11AA45-307C-4653-909F-CBB89CC29603}"/>
    <cellStyle name="Normal 9 2 3 2 6 3" xfId="6537" xr:uid="{00000000-0005-0000-0000-0000311F0000}"/>
    <cellStyle name="Normal 9 2 3 2 6 3 2" xfId="22653" xr:uid="{A4FDA462-0527-441A-98A8-75768E800ADB}"/>
    <cellStyle name="Normal 9 2 3 2 6 3 3" xfId="15032" xr:uid="{3952EE2D-DC17-4BBF-A376-0100862240B4}"/>
    <cellStyle name="Normal 9 2 3 2 6 4" xfId="18440" xr:uid="{D15D6284-F3F6-4B4D-B4E8-6E16A6C13662}"/>
    <cellStyle name="Normal 9 2 3 2 6 5" xfId="10819" xr:uid="{48576E82-BED0-47A2-8793-04B939370BC6}"/>
    <cellStyle name="Normal 9 2 3 2 7" xfId="2667" xr:uid="{00000000-0005-0000-0000-0000321F0000}"/>
    <cellStyle name="Normal 9 2 3 2 7 2" xfId="6950" xr:uid="{00000000-0005-0000-0000-0000331F0000}"/>
    <cellStyle name="Normal 9 2 3 2 7 2 2" xfId="23066" xr:uid="{AA0E8DBB-8868-4655-B3AB-23348FF7D956}"/>
    <cellStyle name="Normal 9 2 3 2 7 2 3" xfId="15445" xr:uid="{2FA7DC64-7505-4C31-88CD-2A11B7B1EFF1}"/>
    <cellStyle name="Normal 9 2 3 2 7 3" xfId="18853" xr:uid="{B701C27B-9F2E-4B97-A984-CE54AD4DDB0F}"/>
    <cellStyle name="Normal 9 2 3 2 7 4" xfId="11232" xr:uid="{888C8C4B-6F31-40B5-A1BA-7DB68EF07085}"/>
    <cellStyle name="Normal 9 2 3 2 8" xfId="4885" xr:uid="{00000000-0005-0000-0000-0000341F0000}"/>
    <cellStyle name="Normal 9 2 3 2 8 2" xfId="21001" xr:uid="{CA680CB0-AA33-4EB6-8F70-16E9F977079B}"/>
    <cellStyle name="Normal 9 2 3 2 8 3" xfId="13380" xr:uid="{A578D2C8-85CA-462A-96AD-6F386F15AB5E}"/>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23561" xr:uid="{60D36286-2AC8-4644-8BA4-15F6417773E9}"/>
    <cellStyle name="Normal 9 2 3 3 2 2 2 3" xfId="15940" xr:uid="{5412DB86-4777-4284-A644-6E6B5BC9AE7F}"/>
    <cellStyle name="Normal 9 2 3 3 2 2 3" xfId="19348" xr:uid="{12AA802F-F71C-4275-9638-E918DFDE0085}"/>
    <cellStyle name="Normal 9 2 3 3 2 2 4" xfId="11727" xr:uid="{09DEF011-5BB6-4C26-A724-3E4B66D60695}"/>
    <cellStyle name="Normal 9 2 3 3 2 3" xfId="5300" xr:uid="{00000000-0005-0000-0000-0000391F0000}"/>
    <cellStyle name="Normal 9 2 3 3 2 3 2" xfId="21416" xr:uid="{C1A7A5A8-3617-4AD1-B382-D68C77DAADC4}"/>
    <cellStyle name="Normal 9 2 3 3 2 3 3" xfId="13795" xr:uid="{1F42C892-F284-451C-9802-1754F15A5A38}"/>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23974" xr:uid="{3F866B8C-6CCB-4FA3-BEBD-1E3A4CCD1263}"/>
    <cellStyle name="Normal 9 2 3 3 3 2 2 3" xfId="16353" xr:uid="{5D6C3286-A540-4146-8AC0-D5FDF8953E20}"/>
    <cellStyle name="Normal 9 2 3 3 3 2 3" xfId="19761" xr:uid="{2F3498DF-98E9-4A44-870E-EC06E2E5BFFD}"/>
    <cellStyle name="Normal 9 2 3 3 3 2 4" xfId="12140" xr:uid="{616E4DA2-7047-480C-B2C2-F8388997DBDC}"/>
    <cellStyle name="Normal 9 2 3 3 3 3" xfId="5713" xr:uid="{00000000-0005-0000-0000-00003D1F0000}"/>
    <cellStyle name="Normal 9 2 3 3 3 3 2" xfId="21829" xr:uid="{EE24CEF6-B4ED-4978-BAD3-9366F7A102A3}"/>
    <cellStyle name="Normal 9 2 3 3 3 3 3" xfId="14208" xr:uid="{438BB555-BC1F-46CD-AD4F-74C5A867FFAA}"/>
    <cellStyle name="Normal 9 2 3 3 3 4" xfId="17616" xr:uid="{D8542253-1DEE-4305-899C-678AC51606FE}"/>
    <cellStyle name="Normal 9 2 3 3 3 5" xfId="9995" xr:uid="{05A0378B-FE15-40BB-9FF1-D7026C2D83CE}"/>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24387" xr:uid="{F01A991B-36E6-429B-AF4C-BE9D650C2272}"/>
    <cellStyle name="Normal 9 2 3 3 4 2 2 3" xfId="16766" xr:uid="{F38E6CDD-92AF-4197-BD0A-160A425E5A20}"/>
    <cellStyle name="Normal 9 2 3 3 4 2 3" xfId="20174" xr:uid="{67A0F1B5-2CA4-4750-9F02-B5865D8F9091}"/>
    <cellStyle name="Normal 9 2 3 3 4 2 4" xfId="12553" xr:uid="{4569E1A1-C0B4-4133-9349-D3B7104A0961}"/>
    <cellStyle name="Normal 9 2 3 3 4 3" xfId="6126" xr:uid="{00000000-0005-0000-0000-0000411F0000}"/>
    <cellStyle name="Normal 9 2 3 3 4 3 2" xfId="22242" xr:uid="{EC9160D9-A895-4A0B-BCC2-51209C7730F2}"/>
    <cellStyle name="Normal 9 2 3 3 4 3 3" xfId="14621" xr:uid="{E5100AD9-C54A-4BDE-854F-CFE26620B974}"/>
    <cellStyle name="Normal 9 2 3 3 4 4" xfId="18029" xr:uid="{F262720A-650D-4752-9ADD-95608749324D}"/>
    <cellStyle name="Normal 9 2 3 3 4 5" xfId="10408" xr:uid="{4748A3D9-56E8-426B-9DF9-A2437A9CDBEC}"/>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24800" xr:uid="{29413BDF-640E-4D64-B0EC-014653E25DDF}"/>
    <cellStyle name="Normal 9 2 3 3 5 2 2 3" xfId="17179" xr:uid="{705738C8-5821-47C3-9DBF-D7E74A3121E7}"/>
    <cellStyle name="Normal 9 2 3 3 5 2 3" xfId="20587" xr:uid="{C3E62472-275C-482C-84B2-A99CFFAEC787}"/>
    <cellStyle name="Normal 9 2 3 3 5 2 4" xfId="12966" xr:uid="{20C7CF21-7AD4-44EF-A170-8BFC2C5EB86A}"/>
    <cellStyle name="Normal 9 2 3 3 5 3" xfId="6539" xr:uid="{00000000-0005-0000-0000-0000451F0000}"/>
    <cellStyle name="Normal 9 2 3 3 5 3 2" xfId="22655" xr:uid="{EFDB5930-62EF-48ED-857D-B22DF1B88720}"/>
    <cellStyle name="Normal 9 2 3 3 5 3 3" xfId="15034" xr:uid="{33B4D337-525F-4D67-A762-2508E42501CD}"/>
    <cellStyle name="Normal 9 2 3 3 5 4" xfId="18442" xr:uid="{950C0569-67DE-4483-8A7C-4EF97B45B3A0}"/>
    <cellStyle name="Normal 9 2 3 3 5 5" xfId="10821" xr:uid="{9FFD15DA-39DC-4E6C-91C8-087F1878DD8E}"/>
    <cellStyle name="Normal 9 2 3 3 6" xfId="2669" xr:uid="{00000000-0005-0000-0000-0000461F0000}"/>
    <cellStyle name="Normal 9 2 3 3 6 2" xfId="6952" xr:uid="{00000000-0005-0000-0000-0000471F0000}"/>
    <cellStyle name="Normal 9 2 3 3 6 2 2" xfId="23068" xr:uid="{147FEE6D-1A07-467E-BFAD-385E2542016B}"/>
    <cellStyle name="Normal 9 2 3 3 6 2 3" xfId="15447" xr:uid="{A2C39DDB-449D-47CB-BF2C-53B60B164BDA}"/>
    <cellStyle name="Normal 9 2 3 3 6 3" xfId="18855" xr:uid="{4CE7CDEE-3E43-43DA-AE5E-0E4BE8AB5C1E}"/>
    <cellStyle name="Normal 9 2 3 3 6 4" xfId="11234" xr:uid="{50ABB3DD-B5BF-4272-9E10-7522EEF0779F}"/>
    <cellStyle name="Normal 9 2 3 3 7" xfId="4887" xr:uid="{00000000-0005-0000-0000-0000481F0000}"/>
    <cellStyle name="Normal 9 2 3 3 7 2" xfId="21003" xr:uid="{35EDC0D6-CBC4-4FE2-AD96-54430BAA7408}"/>
    <cellStyle name="Normal 9 2 3 3 7 3" xfId="13382" xr:uid="{77816999-21AD-4768-A268-1A533BDA8A45}"/>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2 2 2" xfId="23558" xr:uid="{D9DE9645-122A-4713-8A4A-1919BE72FEF3}"/>
    <cellStyle name="Normal 9 2 3 4 2 2 3" xfId="15937" xr:uid="{214CE9D0-EA50-49E0-B51B-F9959148277A}"/>
    <cellStyle name="Normal 9 2 3 4 2 3" xfId="19345" xr:uid="{95DB1D4F-E924-4877-ABF4-D09D70129DFB}"/>
    <cellStyle name="Normal 9 2 3 4 2 4" xfId="11724" xr:uid="{496DAC91-748E-4979-AE46-53D035C41F57}"/>
    <cellStyle name="Normal 9 2 3 4 3" xfId="5297" xr:uid="{00000000-0005-0000-0000-00004C1F0000}"/>
    <cellStyle name="Normal 9 2 3 4 3 2" xfId="21413" xr:uid="{BE4A8DFF-E6E3-49EC-B468-980DDBFCEDC8}"/>
    <cellStyle name="Normal 9 2 3 4 3 3" xfId="13792" xr:uid="{55F171AC-4686-4B16-BD6B-E4301C59EA15}"/>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2 2 2" xfId="23971" xr:uid="{5058A1CB-8523-4790-B827-35BF64D2619D}"/>
    <cellStyle name="Normal 9 2 3 5 2 2 3" xfId="16350" xr:uid="{49123462-D7FB-4D95-B4EA-C6AFE77394ED}"/>
    <cellStyle name="Normal 9 2 3 5 2 3" xfId="19758" xr:uid="{A521CE46-4AF9-469D-B29C-C2E3DB619790}"/>
    <cellStyle name="Normal 9 2 3 5 2 4" xfId="12137" xr:uid="{A04CE009-C9C6-4869-88D6-CD46F36ACCD4}"/>
    <cellStyle name="Normal 9 2 3 5 3" xfId="5710" xr:uid="{00000000-0005-0000-0000-0000501F0000}"/>
    <cellStyle name="Normal 9 2 3 5 3 2" xfId="21826" xr:uid="{B6836EEF-02E2-4C26-97FE-ED324D7ABAEC}"/>
    <cellStyle name="Normal 9 2 3 5 3 3" xfId="14205" xr:uid="{56A63FF7-FFF6-4BC3-B635-EB819F43EF45}"/>
    <cellStyle name="Normal 9 2 3 5 4" xfId="17613" xr:uid="{18E9A17D-68A2-4481-8B8A-0C4C1101563B}"/>
    <cellStyle name="Normal 9 2 3 5 5" xfId="9992" xr:uid="{0729EACA-83EF-4FAC-88F7-6D97096C68DE}"/>
    <cellStyle name="Normal 9 2 3 6" xfId="1816" xr:uid="{00000000-0005-0000-0000-0000511F0000}"/>
    <cellStyle name="Normal 9 2 3 6 2" xfId="4046" xr:uid="{00000000-0005-0000-0000-0000521F0000}"/>
    <cellStyle name="Normal 9 2 3 6 2 2" xfId="8268" xr:uid="{00000000-0005-0000-0000-0000531F0000}"/>
    <cellStyle name="Normal 9 2 3 6 2 2 2" xfId="24384" xr:uid="{AAAA8EA0-ADA3-4A63-9952-1FFAC5F869D5}"/>
    <cellStyle name="Normal 9 2 3 6 2 2 3" xfId="16763" xr:uid="{D2D4929A-9580-4A48-BF0D-26FB63361AC0}"/>
    <cellStyle name="Normal 9 2 3 6 2 3" xfId="20171" xr:uid="{B83F1868-451B-4839-AF30-E0F2DC1209FA}"/>
    <cellStyle name="Normal 9 2 3 6 2 4" xfId="12550" xr:uid="{E0F6BBA1-5CB7-434D-9111-E708F3F0A58F}"/>
    <cellStyle name="Normal 9 2 3 6 3" xfId="6123" xr:uid="{00000000-0005-0000-0000-0000541F0000}"/>
    <cellStyle name="Normal 9 2 3 6 3 2" xfId="22239" xr:uid="{25FD5AC0-1EA1-4C06-B47A-2E62BC823788}"/>
    <cellStyle name="Normal 9 2 3 6 3 3" xfId="14618" xr:uid="{B31AD4EB-9DA4-4DC2-9F81-0A4175E839E8}"/>
    <cellStyle name="Normal 9 2 3 6 4" xfId="18026" xr:uid="{75BC3834-D18E-47BF-8C9D-2B660AD34439}"/>
    <cellStyle name="Normal 9 2 3 6 5" xfId="10405" xr:uid="{DA6CC313-03EC-43E6-9BFE-EDB85C46E00A}"/>
    <cellStyle name="Normal 9 2 3 7" xfId="2230" xr:uid="{00000000-0005-0000-0000-0000551F0000}"/>
    <cellStyle name="Normal 9 2 3 7 2" xfId="4459" xr:uid="{00000000-0005-0000-0000-0000561F0000}"/>
    <cellStyle name="Normal 9 2 3 7 2 2" xfId="8681" xr:uid="{00000000-0005-0000-0000-0000571F0000}"/>
    <cellStyle name="Normal 9 2 3 7 2 2 2" xfId="24797" xr:uid="{B4436F19-1B9B-4C1E-95C5-2FBFDCFC5515}"/>
    <cellStyle name="Normal 9 2 3 7 2 2 3" xfId="17176" xr:uid="{2D52D916-A567-4BAB-9788-C297F772EFB6}"/>
    <cellStyle name="Normal 9 2 3 7 2 3" xfId="20584" xr:uid="{DAAAE8C2-AF3F-432D-BD09-3DCDB64F6A77}"/>
    <cellStyle name="Normal 9 2 3 7 2 4" xfId="12963" xr:uid="{61A904FB-CEF9-4A9C-8BF0-F717D3836DD9}"/>
    <cellStyle name="Normal 9 2 3 7 3" xfId="6536" xr:uid="{00000000-0005-0000-0000-0000581F0000}"/>
    <cellStyle name="Normal 9 2 3 7 3 2" xfId="22652" xr:uid="{F9CCA868-E2EE-41EE-9414-ACF9C121D999}"/>
    <cellStyle name="Normal 9 2 3 7 3 3" xfId="15031" xr:uid="{A282C773-A448-4802-A04C-0E0A45C302DB}"/>
    <cellStyle name="Normal 9 2 3 7 4" xfId="18439" xr:uid="{5B690F30-DF36-4DBD-ACEA-12FDAD34FE38}"/>
    <cellStyle name="Normal 9 2 3 7 5" xfId="10818" xr:uid="{EADB9840-3C7F-44A1-8C54-3F964FD6DE2A}"/>
    <cellStyle name="Normal 9 2 3 8" xfId="2666" xr:uid="{00000000-0005-0000-0000-0000591F0000}"/>
    <cellStyle name="Normal 9 2 3 8 2" xfId="6949" xr:uid="{00000000-0005-0000-0000-00005A1F0000}"/>
    <cellStyle name="Normal 9 2 3 8 2 2" xfId="23065" xr:uid="{A4AA225F-AD22-4765-BF4B-80B431CFA8F2}"/>
    <cellStyle name="Normal 9 2 3 8 2 3" xfId="15444" xr:uid="{CFD43473-3B9B-4A72-B4EE-3B3D3DF81F0A}"/>
    <cellStyle name="Normal 9 2 3 8 3" xfId="18852" xr:uid="{05266596-EFEE-4EB3-AD56-8E9108F92FF3}"/>
    <cellStyle name="Normal 9 2 3 8 4" xfId="11231" xr:uid="{4A4DE655-75ED-47D1-B585-8AE54C6843F2}"/>
    <cellStyle name="Normal 9 2 3 9" xfId="4884" xr:uid="{00000000-0005-0000-0000-00005B1F0000}"/>
    <cellStyle name="Normal 9 2 3 9 2" xfId="21000" xr:uid="{A99DDB1D-DFD7-4932-8741-079280C5D74E}"/>
    <cellStyle name="Normal 9 2 3 9 3" xfId="13379" xr:uid="{0F0D999D-771E-434B-A333-458160805F72}"/>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23563" xr:uid="{ECBAA68F-69B4-4A2E-86E0-97E6761E7CAF}"/>
    <cellStyle name="Normal 9 2 4 2 2 2 2 3" xfId="15942" xr:uid="{2888D264-DAFA-4A94-98F8-6104F4730CAA}"/>
    <cellStyle name="Normal 9 2 4 2 2 2 3" xfId="19350" xr:uid="{CF08666A-A543-4390-B141-EACBF4A0E39D}"/>
    <cellStyle name="Normal 9 2 4 2 2 2 4" xfId="11729" xr:uid="{F944779A-2D7C-4C87-9C25-753FA6054765}"/>
    <cellStyle name="Normal 9 2 4 2 2 3" xfId="5302" xr:uid="{00000000-0005-0000-0000-0000611F0000}"/>
    <cellStyle name="Normal 9 2 4 2 2 3 2" xfId="21418" xr:uid="{CABFFB8F-DF7A-457F-9120-A8621BE6B840}"/>
    <cellStyle name="Normal 9 2 4 2 2 3 3" xfId="13797" xr:uid="{E3DF3AAB-9D7C-4AE1-9E6A-7B02F98A1449}"/>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23976" xr:uid="{B4D11CFB-F6AD-42A1-A81D-62B8872B42AB}"/>
    <cellStyle name="Normal 9 2 4 2 3 2 2 3" xfId="16355" xr:uid="{9874AF60-6E33-4878-BA80-F79F53325197}"/>
    <cellStyle name="Normal 9 2 4 2 3 2 3" xfId="19763" xr:uid="{4C6C25B4-BA71-4390-8612-D461F8B3B05A}"/>
    <cellStyle name="Normal 9 2 4 2 3 2 4" xfId="12142" xr:uid="{7296991A-9CF1-4A6E-A859-38AF365ED08C}"/>
    <cellStyle name="Normal 9 2 4 2 3 3" xfId="5715" xr:uid="{00000000-0005-0000-0000-0000651F0000}"/>
    <cellStyle name="Normal 9 2 4 2 3 3 2" xfId="21831" xr:uid="{80CA359D-8804-417C-B72D-5AC14E109919}"/>
    <cellStyle name="Normal 9 2 4 2 3 3 3" xfId="14210" xr:uid="{5A2D8A32-9B7E-4967-AC99-3731A34AA537}"/>
    <cellStyle name="Normal 9 2 4 2 3 4" xfId="17618" xr:uid="{60B0EBD2-67F7-4661-8A71-C3A25A7233DC}"/>
    <cellStyle name="Normal 9 2 4 2 3 5" xfId="9997" xr:uid="{28AEB547-D871-45F6-9B1D-89EEADB71282}"/>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24389" xr:uid="{E61DFD90-03C2-40C3-B440-95AB3432F740}"/>
    <cellStyle name="Normal 9 2 4 2 4 2 2 3" xfId="16768" xr:uid="{D4F6F722-6B95-4E19-8F33-B5D0424A3A4F}"/>
    <cellStyle name="Normal 9 2 4 2 4 2 3" xfId="20176" xr:uid="{55C8327A-8413-4050-83BC-B22CC2A1C539}"/>
    <cellStyle name="Normal 9 2 4 2 4 2 4" xfId="12555" xr:uid="{76BC0B08-CC01-47D2-9ACA-2F3963320043}"/>
    <cellStyle name="Normal 9 2 4 2 4 3" xfId="6128" xr:uid="{00000000-0005-0000-0000-0000691F0000}"/>
    <cellStyle name="Normal 9 2 4 2 4 3 2" xfId="22244" xr:uid="{1AD248EA-2515-4192-9EC2-18A29F216487}"/>
    <cellStyle name="Normal 9 2 4 2 4 3 3" xfId="14623" xr:uid="{D799757D-0102-4F02-B6CC-D947272A2112}"/>
    <cellStyle name="Normal 9 2 4 2 4 4" xfId="18031" xr:uid="{8FD79EF8-D169-4496-BF58-5238F9519DF5}"/>
    <cellStyle name="Normal 9 2 4 2 4 5" xfId="10410" xr:uid="{E57B5993-5635-4732-A910-5E6EAE0BC8A9}"/>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24802" xr:uid="{2463BF91-C7CB-42EB-82AB-103968FCAC1D}"/>
    <cellStyle name="Normal 9 2 4 2 5 2 2 3" xfId="17181" xr:uid="{A9B4824F-1F32-4551-8606-2012EFA61826}"/>
    <cellStyle name="Normal 9 2 4 2 5 2 3" xfId="20589" xr:uid="{8BAA4F9C-6DBF-479E-93A8-5FEC781C4A36}"/>
    <cellStyle name="Normal 9 2 4 2 5 2 4" xfId="12968" xr:uid="{4D617CB7-DF75-4258-B2B2-7D75E657FE51}"/>
    <cellStyle name="Normal 9 2 4 2 5 3" xfId="6541" xr:uid="{00000000-0005-0000-0000-00006D1F0000}"/>
    <cellStyle name="Normal 9 2 4 2 5 3 2" xfId="22657" xr:uid="{2F0771ED-5BCC-4FFF-990C-7ACBF5CB3682}"/>
    <cellStyle name="Normal 9 2 4 2 5 3 3" xfId="15036" xr:uid="{D8F97360-BA03-42E6-850F-593D728F2A6C}"/>
    <cellStyle name="Normal 9 2 4 2 5 4" xfId="18444" xr:uid="{05074771-11CA-4541-AA57-D91729F69DF7}"/>
    <cellStyle name="Normal 9 2 4 2 5 5" xfId="10823" xr:uid="{F973264C-F3C4-47F1-9D70-36B05C88762E}"/>
    <cellStyle name="Normal 9 2 4 2 6" xfId="2671" xr:uid="{00000000-0005-0000-0000-00006E1F0000}"/>
    <cellStyle name="Normal 9 2 4 2 6 2" xfId="6954" xr:uid="{00000000-0005-0000-0000-00006F1F0000}"/>
    <cellStyle name="Normal 9 2 4 2 6 2 2" xfId="23070" xr:uid="{290B9531-838E-494F-96CA-1E39C0E36D0E}"/>
    <cellStyle name="Normal 9 2 4 2 6 2 3" xfId="15449" xr:uid="{9C78654E-4481-4E1B-9734-782A18E5111B}"/>
    <cellStyle name="Normal 9 2 4 2 6 3" xfId="18857" xr:uid="{176C26F7-4D65-40B3-80D0-219F13066968}"/>
    <cellStyle name="Normal 9 2 4 2 6 4" xfId="11236" xr:uid="{7980C00F-B5E1-40F7-92AA-EFFDBCDB9070}"/>
    <cellStyle name="Normal 9 2 4 2 7" xfId="4889" xr:uid="{00000000-0005-0000-0000-0000701F0000}"/>
    <cellStyle name="Normal 9 2 4 2 7 2" xfId="21005" xr:uid="{797F928F-FEBC-4EA5-A593-9B0224766DB6}"/>
    <cellStyle name="Normal 9 2 4 2 7 3" xfId="13384" xr:uid="{6B520B08-137D-4002-ADB3-78BD5C78EB9D}"/>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2 2 2" xfId="23562" xr:uid="{4389BE7F-C3B2-42FC-B5DA-1FF096AF2CE7}"/>
    <cellStyle name="Normal 9 2 4 3 2 2 3" xfId="15941" xr:uid="{8DD9FCA9-CAC9-471F-A338-3C4725DD8B4E}"/>
    <cellStyle name="Normal 9 2 4 3 2 3" xfId="19349" xr:uid="{142C4367-B28F-4E5B-8A58-3EF0AD915B73}"/>
    <cellStyle name="Normal 9 2 4 3 2 4" xfId="11728" xr:uid="{239D5F50-288B-4758-807D-B7F1C61562F9}"/>
    <cellStyle name="Normal 9 2 4 3 3" xfId="5301" xr:uid="{00000000-0005-0000-0000-0000741F0000}"/>
    <cellStyle name="Normal 9 2 4 3 3 2" xfId="21417" xr:uid="{851D9464-A7A8-48A0-9D09-9304E5F9D892}"/>
    <cellStyle name="Normal 9 2 4 3 3 3" xfId="13796" xr:uid="{16DBA71E-6245-4140-B935-F33195D9B3C5}"/>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2 2 2" xfId="23975" xr:uid="{50389D80-698A-478F-A1CC-7D49DC53D805}"/>
    <cellStyle name="Normal 9 2 4 4 2 2 3" xfId="16354" xr:uid="{02A7DA5B-D4B3-4FC1-AFD6-68BC2299497A}"/>
    <cellStyle name="Normal 9 2 4 4 2 3" xfId="19762" xr:uid="{77DE8166-09AA-4927-A47D-247CF2F024A4}"/>
    <cellStyle name="Normal 9 2 4 4 2 4" xfId="12141" xr:uid="{9A2E4830-26D9-4F93-AA53-24AD29B9065E}"/>
    <cellStyle name="Normal 9 2 4 4 3" xfId="5714" xr:uid="{00000000-0005-0000-0000-0000781F0000}"/>
    <cellStyle name="Normal 9 2 4 4 3 2" xfId="21830" xr:uid="{E28C509C-5285-4B4A-9B96-EE1EA7400B5F}"/>
    <cellStyle name="Normal 9 2 4 4 3 3" xfId="14209" xr:uid="{633ABF49-1239-4C03-BD1A-9C6AC8D919C4}"/>
    <cellStyle name="Normal 9 2 4 4 4" xfId="17617" xr:uid="{9A701E5F-FF5B-458E-BB55-A7A475F99628}"/>
    <cellStyle name="Normal 9 2 4 4 5" xfId="9996" xr:uid="{2C368257-9C0A-4610-9263-D0BF8A374C9D}"/>
    <cellStyle name="Normal 9 2 4 5" xfId="1820" xr:uid="{00000000-0005-0000-0000-0000791F0000}"/>
    <cellStyle name="Normal 9 2 4 5 2" xfId="4050" xr:uid="{00000000-0005-0000-0000-00007A1F0000}"/>
    <cellStyle name="Normal 9 2 4 5 2 2" xfId="8272" xr:uid="{00000000-0005-0000-0000-00007B1F0000}"/>
    <cellStyle name="Normal 9 2 4 5 2 2 2" xfId="24388" xr:uid="{C1DEBB40-B82B-4E0D-83C4-F773F2DF9A34}"/>
    <cellStyle name="Normal 9 2 4 5 2 2 3" xfId="16767" xr:uid="{BA9B518B-0D6E-4600-BD5D-8B331E0C0314}"/>
    <cellStyle name="Normal 9 2 4 5 2 3" xfId="20175" xr:uid="{692CEB13-E509-4F03-8F15-799D8C1C0739}"/>
    <cellStyle name="Normal 9 2 4 5 2 4" xfId="12554" xr:uid="{F83733D4-CA0B-42A9-B6C7-784F26B8C567}"/>
    <cellStyle name="Normal 9 2 4 5 3" xfId="6127" xr:uid="{00000000-0005-0000-0000-00007C1F0000}"/>
    <cellStyle name="Normal 9 2 4 5 3 2" xfId="22243" xr:uid="{136430E2-AD21-4836-B66D-B94092A1B757}"/>
    <cellStyle name="Normal 9 2 4 5 3 3" xfId="14622" xr:uid="{14D5034A-F7A0-4463-AD02-AA5A6E3BA9BB}"/>
    <cellStyle name="Normal 9 2 4 5 4" xfId="18030" xr:uid="{9389B8AC-09A4-4FF2-8E6B-A5C34F367D31}"/>
    <cellStyle name="Normal 9 2 4 5 5" xfId="10409" xr:uid="{27F50F9C-73C0-415F-8036-F437AEE6B76B}"/>
    <cellStyle name="Normal 9 2 4 6" xfId="2234" xr:uid="{00000000-0005-0000-0000-00007D1F0000}"/>
    <cellStyle name="Normal 9 2 4 6 2" xfId="4463" xr:uid="{00000000-0005-0000-0000-00007E1F0000}"/>
    <cellStyle name="Normal 9 2 4 6 2 2" xfId="8685" xr:uid="{00000000-0005-0000-0000-00007F1F0000}"/>
    <cellStyle name="Normal 9 2 4 6 2 2 2" xfId="24801" xr:uid="{529C3734-1909-4DFF-A6ED-DF4FC222998B}"/>
    <cellStyle name="Normal 9 2 4 6 2 2 3" xfId="17180" xr:uid="{0E8F859B-C9AB-4ABD-9068-6B4586F23B61}"/>
    <cellStyle name="Normal 9 2 4 6 2 3" xfId="20588" xr:uid="{1107B62B-765F-42AE-962B-65A6F0985C92}"/>
    <cellStyle name="Normal 9 2 4 6 2 4" xfId="12967" xr:uid="{66CFC726-92F5-4502-96CD-34AD8D20C47D}"/>
    <cellStyle name="Normal 9 2 4 6 3" xfId="6540" xr:uid="{00000000-0005-0000-0000-0000801F0000}"/>
    <cellStyle name="Normal 9 2 4 6 3 2" xfId="22656" xr:uid="{D0F19979-B67C-4C90-9AC2-88D2EC680C64}"/>
    <cellStyle name="Normal 9 2 4 6 3 3" xfId="15035" xr:uid="{034E0EA9-9879-4EC4-B29D-47FC9ADEFF59}"/>
    <cellStyle name="Normal 9 2 4 6 4" xfId="18443" xr:uid="{EC929C4D-42BE-46E2-AE24-92124695F5C7}"/>
    <cellStyle name="Normal 9 2 4 6 5" xfId="10822" xr:uid="{312F15AC-CB68-4146-8C74-18D531B21653}"/>
    <cellStyle name="Normal 9 2 4 7" xfId="2670" xr:uid="{00000000-0005-0000-0000-0000811F0000}"/>
    <cellStyle name="Normal 9 2 4 7 2" xfId="6953" xr:uid="{00000000-0005-0000-0000-0000821F0000}"/>
    <cellStyle name="Normal 9 2 4 7 2 2" xfId="23069" xr:uid="{2A1516C4-76E6-4843-9A04-3826D0B6EC3C}"/>
    <cellStyle name="Normal 9 2 4 7 2 3" xfId="15448" xr:uid="{B84B49FE-4D00-4806-89C7-39559AA4529B}"/>
    <cellStyle name="Normal 9 2 4 7 3" xfId="18856" xr:uid="{72A355EA-D090-49FA-B25E-56210F528533}"/>
    <cellStyle name="Normal 9 2 4 7 4" xfId="11235" xr:uid="{7AB81B7C-8D3E-4564-A2FA-E62EEEB74839}"/>
    <cellStyle name="Normal 9 2 4 8" xfId="4888" xr:uid="{00000000-0005-0000-0000-0000831F0000}"/>
    <cellStyle name="Normal 9 2 4 8 2" xfId="21004" xr:uid="{4AE10CC8-98A3-4172-95D1-CC7494FA1D85}"/>
    <cellStyle name="Normal 9 2 4 8 3" xfId="13383" xr:uid="{728DD448-A2CB-423A-AD38-4B7BA3825066}"/>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23564" xr:uid="{658098E1-ECE9-4E36-A9CD-A661BF94854F}"/>
    <cellStyle name="Normal 9 2 5 2 2 2 3" xfId="15943" xr:uid="{5D699DE2-84F7-4F62-81D7-00DF46598649}"/>
    <cellStyle name="Normal 9 2 5 2 2 3" xfId="19351" xr:uid="{54BDD338-6F5F-4509-9212-EA0335B2BD4A}"/>
    <cellStyle name="Normal 9 2 5 2 2 4" xfId="11730" xr:uid="{4D343CDE-EF09-4792-8E79-E85747F3DE16}"/>
    <cellStyle name="Normal 9 2 5 2 3" xfId="5303" xr:uid="{00000000-0005-0000-0000-0000881F0000}"/>
    <cellStyle name="Normal 9 2 5 2 3 2" xfId="21419" xr:uid="{C77AFB64-C688-4D46-A68B-46DA1ED1ECEC}"/>
    <cellStyle name="Normal 9 2 5 2 3 3" xfId="13798" xr:uid="{712C8483-AC72-4E34-A460-FB264F6D1C03}"/>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2 2 2" xfId="23977" xr:uid="{A1ADD0B6-B2DE-4BD6-AED2-E87BB5C662BE}"/>
    <cellStyle name="Normal 9 2 5 3 2 2 3" xfId="16356" xr:uid="{47D794A8-48A0-405B-A139-0ED5E700F2BE}"/>
    <cellStyle name="Normal 9 2 5 3 2 3" xfId="19764" xr:uid="{BFC7BA91-D354-45A3-835A-3713E97C201B}"/>
    <cellStyle name="Normal 9 2 5 3 2 4" xfId="12143" xr:uid="{C179E2C7-CBB2-46EE-9B2D-A71900CF5EF4}"/>
    <cellStyle name="Normal 9 2 5 3 3" xfId="5716" xr:uid="{00000000-0005-0000-0000-00008C1F0000}"/>
    <cellStyle name="Normal 9 2 5 3 3 2" xfId="21832" xr:uid="{68650509-E3FF-4618-9EFF-0875E1B5BBB3}"/>
    <cellStyle name="Normal 9 2 5 3 3 3" xfId="14211" xr:uid="{4F235CE8-AD84-4B5E-B775-8962A4F2CA31}"/>
    <cellStyle name="Normal 9 2 5 3 4" xfId="17619" xr:uid="{75CDE858-90D4-4DFF-AD69-1935A11B7019}"/>
    <cellStyle name="Normal 9 2 5 3 5" xfId="9998" xr:uid="{F3185233-F5F6-4583-BB52-ABF1FA6274BE}"/>
    <cellStyle name="Normal 9 2 5 4" xfId="1822" xr:uid="{00000000-0005-0000-0000-00008D1F0000}"/>
    <cellStyle name="Normal 9 2 5 4 2" xfId="4052" xr:uid="{00000000-0005-0000-0000-00008E1F0000}"/>
    <cellStyle name="Normal 9 2 5 4 2 2" xfId="8274" xr:uid="{00000000-0005-0000-0000-00008F1F0000}"/>
    <cellStyle name="Normal 9 2 5 4 2 2 2" xfId="24390" xr:uid="{73EDFB0C-645C-49BB-8E94-81FD6103A74D}"/>
    <cellStyle name="Normal 9 2 5 4 2 2 3" xfId="16769" xr:uid="{DD30A69D-CEE5-493A-B8A8-20EA57D30ACE}"/>
    <cellStyle name="Normal 9 2 5 4 2 3" xfId="20177" xr:uid="{1E5E3B1C-18AF-49B6-8AFF-A27338156E42}"/>
    <cellStyle name="Normal 9 2 5 4 2 4" xfId="12556" xr:uid="{67B2868E-38DC-4660-94A8-F2CFC0E36F56}"/>
    <cellStyle name="Normal 9 2 5 4 3" xfId="6129" xr:uid="{00000000-0005-0000-0000-0000901F0000}"/>
    <cellStyle name="Normal 9 2 5 4 3 2" xfId="22245" xr:uid="{69C18992-D7DA-4E92-9F42-FC82EC74B842}"/>
    <cellStyle name="Normal 9 2 5 4 3 3" xfId="14624" xr:uid="{82FCDE9D-8B51-4661-B96E-2BF94481F77E}"/>
    <cellStyle name="Normal 9 2 5 4 4" xfId="18032" xr:uid="{57275E00-7E0C-4B5D-82C1-30D0A07534E4}"/>
    <cellStyle name="Normal 9 2 5 4 5" xfId="10411" xr:uid="{BA3A1632-A54E-486E-90F1-4739234FC690}"/>
    <cellStyle name="Normal 9 2 5 5" xfId="2236" xr:uid="{00000000-0005-0000-0000-0000911F0000}"/>
    <cellStyle name="Normal 9 2 5 5 2" xfId="4465" xr:uid="{00000000-0005-0000-0000-0000921F0000}"/>
    <cellStyle name="Normal 9 2 5 5 2 2" xfId="8687" xr:uid="{00000000-0005-0000-0000-0000931F0000}"/>
    <cellStyle name="Normal 9 2 5 5 2 2 2" xfId="24803" xr:uid="{96ADD9E3-CD3C-4EF1-B523-0A7E6BE1DB43}"/>
    <cellStyle name="Normal 9 2 5 5 2 2 3" xfId="17182" xr:uid="{7D3285BA-0AA0-4FE4-BC7A-C30DDB90E7BF}"/>
    <cellStyle name="Normal 9 2 5 5 2 3" xfId="20590" xr:uid="{B47F4DD8-FDD7-4E72-ADE6-3C572F74075B}"/>
    <cellStyle name="Normal 9 2 5 5 2 4" xfId="12969" xr:uid="{63ED215B-133E-44D6-ADBB-619414BEEB57}"/>
    <cellStyle name="Normal 9 2 5 5 3" xfId="6542" xr:uid="{00000000-0005-0000-0000-0000941F0000}"/>
    <cellStyle name="Normal 9 2 5 5 3 2" xfId="22658" xr:uid="{37D7EB44-0B1D-4943-B5D9-E51F9438D01D}"/>
    <cellStyle name="Normal 9 2 5 5 3 3" xfId="15037" xr:uid="{BB143321-83D4-4F38-B92A-1384D951B124}"/>
    <cellStyle name="Normal 9 2 5 5 4" xfId="18445" xr:uid="{C7F047CF-C950-4A4A-9B66-02C268489DDA}"/>
    <cellStyle name="Normal 9 2 5 5 5" xfId="10824" xr:uid="{966DF380-05E6-4D4B-AECE-BCAF17DECF59}"/>
    <cellStyle name="Normal 9 2 5 6" xfId="2672" xr:uid="{00000000-0005-0000-0000-0000951F0000}"/>
    <cellStyle name="Normal 9 2 5 6 2" xfId="6955" xr:uid="{00000000-0005-0000-0000-0000961F0000}"/>
    <cellStyle name="Normal 9 2 5 6 2 2" xfId="23071" xr:uid="{35F89969-0D01-43EB-BAAD-D6B8AAB6CC54}"/>
    <cellStyle name="Normal 9 2 5 6 2 3" xfId="15450" xr:uid="{5CDB0526-E6DA-46DC-8D74-3A00612067BA}"/>
    <cellStyle name="Normal 9 2 5 6 3" xfId="18858" xr:uid="{8D891144-8296-4B64-8BC7-B796F5C41EAE}"/>
    <cellStyle name="Normal 9 2 5 6 4" xfId="11237" xr:uid="{3F859583-4B10-40C3-97F8-FB4A9810DA7E}"/>
    <cellStyle name="Normal 9 2 5 7" xfId="4890" xr:uid="{00000000-0005-0000-0000-0000971F0000}"/>
    <cellStyle name="Normal 9 2 5 7 2" xfId="21006" xr:uid="{C0954437-F134-4F13-932C-EB5FCD41A597}"/>
    <cellStyle name="Normal 9 2 5 7 3" xfId="13385" xr:uid="{C61A2764-092F-406E-BED1-FE012F40C0CD}"/>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2 2 2" xfId="23549" xr:uid="{D5B333ED-31DC-4429-86DF-658C2A020B9E}"/>
    <cellStyle name="Normal 9 2 6 2 2 3" xfId="15928" xr:uid="{88F39B47-8F97-465E-90A6-482A5BA528E1}"/>
    <cellStyle name="Normal 9 2 6 2 3" xfId="19336" xr:uid="{A58319B3-D092-4F79-847E-299CAF8ADF21}"/>
    <cellStyle name="Normal 9 2 6 2 4" xfId="11715" xr:uid="{7C8D4897-7705-4C4C-A4CD-BC7CBD34F297}"/>
    <cellStyle name="Normal 9 2 6 3" xfId="5288" xr:uid="{00000000-0005-0000-0000-00009B1F0000}"/>
    <cellStyle name="Normal 9 2 6 3 2" xfId="21404" xr:uid="{4F3282DA-BFB9-4066-B281-D2E5CA1247D2}"/>
    <cellStyle name="Normal 9 2 6 3 3" xfId="13783" xr:uid="{EBEF2627-B7C4-47C1-B2C3-2F2C3D2506A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2 2 2" xfId="23962" xr:uid="{C3059974-A3F6-406D-B146-F92A6BBFBB6C}"/>
    <cellStyle name="Normal 9 2 7 2 2 3" xfId="16341" xr:uid="{4B909AA4-FD22-4DF1-AC6D-B43B920FBFE5}"/>
    <cellStyle name="Normal 9 2 7 2 3" xfId="19749" xr:uid="{A37C8061-23B6-4F7C-B88A-DA73EF0C715E}"/>
    <cellStyle name="Normal 9 2 7 2 4" xfId="12128" xr:uid="{D35F9E23-874F-4D60-AA44-125E1110DB9F}"/>
    <cellStyle name="Normal 9 2 7 3" xfId="5701" xr:uid="{00000000-0005-0000-0000-00009F1F0000}"/>
    <cellStyle name="Normal 9 2 7 3 2" xfId="21817" xr:uid="{84EBDB8F-8E7D-408C-8A6E-8D23134AB58A}"/>
    <cellStyle name="Normal 9 2 7 3 3" xfId="14196" xr:uid="{1AB1F224-EF81-49EA-9FB0-9C2DCFF76CE1}"/>
    <cellStyle name="Normal 9 2 7 4" xfId="17604" xr:uid="{7DAD47D8-83C2-4B4D-B8DB-FBDAA5BE1CF3}"/>
    <cellStyle name="Normal 9 2 7 5" xfId="9983" xr:uid="{A8F693B5-35C3-40B9-B9B6-605F56DCA8D3}"/>
    <cellStyle name="Normal 9 2 8" xfId="1807" xr:uid="{00000000-0005-0000-0000-0000A01F0000}"/>
    <cellStyle name="Normal 9 2 8 2" xfId="4037" xr:uid="{00000000-0005-0000-0000-0000A11F0000}"/>
    <cellStyle name="Normal 9 2 8 2 2" xfId="8259" xr:uid="{00000000-0005-0000-0000-0000A21F0000}"/>
    <cellStyle name="Normal 9 2 8 2 2 2" xfId="24375" xr:uid="{CF9D9F5B-D4CE-4ACA-9800-FED6E13CF7D5}"/>
    <cellStyle name="Normal 9 2 8 2 2 3" xfId="16754" xr:uid="{BF598E74-759C-4739-B013-EAA123A7D9EF}"/>
    <cellStyle name="Normal 9 2 8 2 3" xfId="20162" xr:uid="{0BEC98E0-D50C-45AA-B080-8E952AED5412}"/>
    <cellStyle name="Normal 9 2 8 2 4" xfId="12541" xr:uid="{B9C07612-75E2-476D-B443-34FA7E3B760C}"/>
    <cellStyle name="Normal 9 2 8 3" xfId="6114" xr:uid="{00000000-0005-0000-0000-0000A31F0000}"/>
    <cellStyle name="Normal 9 2 8 3 2" xfId="22230" xr:uid="{17AB8F33-F8B3-415E-883F-A2D56C43C134}"/>
    <cellStyle name="Normal 9 2 8 3 3" xfId="14609" xr:uid="{5D0B8FCA-1EBA-4A18-9EC8-1FE41E818CB1}"/>
    <cellStyle name="Normal 9 2 8 4" xfId="18017" xr:uid="{DAAAB295-C776-4CA4-B718-27BA1C57106A}"/>
    <cellStyle name="Normal 9 2 8 5" xfId="10396" xr:uid="{48D23581-F50F-4F88-B2D1-5CECBA2B45F7}"/>
    <cellStyle name="Normal 9 2 9" xfId="2221" xr:uid="{00000000-0005-0000-0000-0000A41F0000}"/>
    <cellStyle name="Normal 9 2 9 2" xfId="4450" xr:uid="{00000000-0005-0000-0000-0000A51F0000}"/>
    <cellStyle name="Normal 9 2 9 2 2" xfId="8672" xr:uid="{00000000-0005-0000-0000-0000A61F0000}"/>
    <cellStyle name="Normal 9 2 9 2 2 2" xfId="24788" xr:uid="{70DCE9C2-4DB3-41BE-B21C-82BD9EA873C8}"/>
    <cellStyle name="Normal 9 2 9 2 2 3" xfId="17167" xr:uid="{F5348602-4CB5-4F01-9F2D-1C5FE8662F11}"/>
    <cellStyle name="Normal 9 2 9 2 3" xfId="20575" xr:uid="{06BFD56D-83D5-4BE3-BAD4-DB1C4C773637}"/>
    <cellStyle name="Normal 9 2 9 2 4" xfId="12954" xr:uid="{F6BCDDBC-F56E-40F2-A77E-1952F670AE96}"/>
    <cellStyle name="Normal 9 2 9 3" xfId="6527" xr:uid="{00000000-0005-0000-0000-0000A71F0000}"/>
    <cellStyle name="Normal 9 2 9 3 2" xfId="22643" xr:uid="{7B7CCFCC-7292-4F04-B592-FF06426A95C2}"/>
    <cellStyle name="Normal 9 2 9 3 3" xfId="15022" xr:uid="{978E2972-FD2C-4B4B-9D1C-A62F041D0E40}"/>
    <cellStyle name="Normal 9 2 9 4" xfId="18430" xr:uid="{73BE95E2-6C25-48CB-838B-C4EE3D0B80ED}"/>
    <cellStyle name="Normal 9 2 9 5" xfId="10809" xr:uid="{6050D36B-F232-44BC-9515-8B751235F1FE}"/>
    <cellStyle name="Normal 9 3" xfId="527" xr:uid="{00000000-0005-0000-0000-0000A81F0000}"/>
    <cellStyle name="Normal 9 3 10" xfId="4891" xr:uid="{00000000-0005-0000-0000-0000A91F0000}"/>
    <cellStyle name="Normal 9 3 10 2" xfId="21007" xr:uid="{09005077-8191-45EB-8925-7F1FF3087EB6}"/>
    <cellStyle name="Normal 9 3 10 3" xfId="13386" xr:uid="{BBF65736-E340-4652-BF16-BA5B0F73B4E6}"/>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23568" xr:uid="{ACCD4236-8BC7-4293-A29A-75DD887724DA}"/>
    <cellStyle name="Normal 9 3 2 2 2 2 2 2 3" xfId="15947" xr:uid="{57B561BA-E7C5-48C9-BFC6-0DA40BE127BE}"/>
    <cellStyle name="Normal 9 3 2 2 2 2 2 3" xfId="19355" xr:uid="{DE5D6078-FA53-4D38-A353-BF94739E99D5}"/>
    <cellStyle name="Normal 9 3 2 2 2 2 2 4" xfId="11734" xr:uid="{F36A5ED4-636F-46C0-8E07-EA5769883373}"/>
    <cellStyle name="Normal 9 3 2 2 2 2 3" xfId="5307" xr:uid="{00000000-0005-0000-0000-0000B01F0000}"/>
    <cellStyle name="Normal 9 3 2 2 2 2 3 2" xfId="21423" xr:uid="{7971AF33-BEB3-4837-9166-8FF5B0DD2C9E}"/>
    <cellStyle name="Normal 9 3 2 2 2 2 3 3" xfId="13802" xr:uid="{F4A7A1C6-3809-4B91-BEC5-F9AA9BE40752}"/>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23981" xr:uid="{60F6B964-DC6C-4ED9-BBC2-F8854B01C432}"/>
    <cellStyle name="Normal 9 3 2 2 2 3 2 2 3" xfId="16360" xr:uid="{6FC4CBAF-1687-4A97-AC9C-2F0C61DC72A3}"/>
    <cellStyle name="Normal 9 3 2 2 2 3 2 3" xfId="19768" xr:uid="{EA5F0C9E-48E5-45F0-B10A-72547F7D05A9}"/>
    <cellStyle name="Normal 9 3 2 2 2 3 2 4" xfId="12147" xr:uid="{D851ED5B-1767-45AF-9153-93DE298C348D}"/>
    <cellStyle name="Normal 9 3 2 2 2 3 3" xfId="5720" xr:uid="{00000000-0005-0000-0000-0000B41F0000}"/>
    <cellStyle name="Normal 9 3 2 2 2 3 3 2" xfId="21836" xr:uid="{D27B35BB-5C1C-427C-BAFD-DC51F4188811}"/>
    <cellStyle name="Normal 9 3 2 2 2 3 3 3" xfId="14215" xr:uid="{C4694D95-ADDA-4374-8904-CEC426F6AA38}"/>
    <cellStyle name="Normal 9 3 2 2 2 3 4" xfId="17623" xr:uid="{9CA62119-1347-4D81-B788-955599910626}"/>
    <cellStyle name="Normal 9 3 2 2 2 3 5" xfId="10002" xr:uid="{9123FDE1-24B5-43D7-A83B-33D15090732A}"/>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24394" xr:uid="{92D34CFC-39CD-44F8-889E-2508893D3E09}"/>
    <cellStyle name="Normal 9 3 2 2 2 4 2 2 3" xfId="16773" xr:uid="{6D95C9EE-7287-45C1-8E11-1D1F1580C6F7}"/>
    <cellStyle name="Normal 9 3 2 2 2 4 2 3" xfId="20181" xr:uid="{EC5AEC17-716D-4F41-A28B-978598B52F09}"/>
    <cellStyle name="Normal 9 3 2 2 2 4 2 4" xfId="12560" xr:uid="{B4DE0C14-AC64-4592-B25A-28C7A08571B6}"/>
    <cellStyle name="Normal 9 3 2 2 2 4 3" xfId="6133" xr:uid="{00000000-0005-0000-0000-0000B81F0000}"/>
    <cellStyle name="Normal 9 3 2 2 2 4 3 2" xfId="22249" xr:uid="{E18D1C38-E5F6-438B-B207-7C602653DD8B}"/>
    <cellStyle name="Normal 9 3 2 2 2 4 3 3" xfId="14628" xr:uid="{69429049-40F6-4FD1-908A-446B6731E002}"/>
    <cellStyle name="Normal 9 3 2 2 2 4 4" xfId="18036" xr:uid="{DBF9FFCD-E608-4F45-93DD-3905DB876360}"/>
    <cellStyle name="Normal 9 3 2 2 2 4 5" xfId="10415" xr:uid="{D9B2C929-71C4-4238-827F-B74E3A4E222B}"/>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24807" xr:uid="{4B455D2E-3B08-4BE1-BC8C-56F9827C4934}"/>
    <cellStyle name="Normal 9 3 2 2 2 5 2 2 3" xfId="17186" xr:uid="{E6F0FA03-8BB6-4A78-BC51-E2EAE5407411}"/>
    <cellStyle name="Normal 9 3 2 2 2 5 2 3" xfId="20594" xr:uid="{482CDD6D-889D-4895-9003-C48AB0B7A302}"/>
    <cellStyle name="Normal 9 3 2 2 2 5 2 4" xfId="12973" xr:uid="{07477757-2E05-4B30-BD5F-84CBAA169811}"/>
    <cellStyle name="Normal 9 3 2 2 2 5 3" xfId="6546" xr:uid="{00000000-0005-0000-0000-0000BC1F0000}"/>
    <cellStyle name="Normal 9 3 2 2 2 5 3 2" xfId="22662" xr:uid="{067EC6EF-E5CD-4698-B74D-D114199D481B}"/>
    <cellStyle name="Normal 9 3 2 2 2 5 3 3" xfId="15041" xr:uid="{2B642DDE-B83F-472D-9381-6A61C0F2E26D}"/>
    <cellStyle name="Normal 9 3 2 2 2 5 4" xfId="18449" xr:uid="{28C65A3F-31D5-45CB-B25E-D69BD0294C9E}"/>
    <cellStyle name="Normal 9 3 2 2 2 5 5" xfId="10828" xr:uid="{42D9FEE6-559C-42FE-BF1C-EA2B89F45BF2}"/>
    <cellStyle name="Normal 9 3 2 2 2 6" xfId="2676" xr:uid="{00000000-0005-0000-0000-0000BD1F0000}"/>
    <cellStyle name="Normal 9 3 2 2 2 6 2" xfId="6959" xr:uid="{00000000-0005-0000-0000-0000BE1F0000}"/>
    <cellStyle name="Normal 9 3 2 2 2 6 2 2" xfId="23075" xr:uid="{D1EE661E-413F-40C1-B7D2-50452B4C6F60}"/>
    <cellStyle name="Normal 9 3 2 2 2 6 2 3" xfId="15454" xr:uid="{5EFDFEC4-336F-4DE5-B1F7-189FF25BB010}"/>
    <cellStyle name="Normal 9 3 2 2 2 6 3" xfId="18862" xr:uid="{44524C8F-26A0-413D-90AF-C18273875CD2}"/>
    <cellStyle name="Normal 9 3 2 2 2 6 4" xfId="11241" xr:uid="{DEDBC5C6-B08A-4292-8DE6-891F511DD360}"/>
    <cellStyle name="Normal 9 3 2 2 2 7" xfId="4894" xr:uid="{00000000-0005-0000-0000-0000BF1F0000}"/>
    <cellStyle name="Normal 9 3 2 2 2 7 2" xfId="21010" xr:uid="{246C084D-31EE-4F32-B436-17D1939A3D5A}"/>
    <cellStyle name="Normal 9 3 2 2 2 7 3" xfId="13389" xr:uid="{83AD734D-CF3F-45B2-89F7-11C0CEC5BBD4}"/>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23567" xr:uid="{8DDEEA36-E208-4378-B76B-ACF1FF706298}"/>
    <cellStyle name="Normal 9 3 2 2 3 2 2 3" xfId="15946" xr:uid="{3BEB5119-7CD6-47AF-ABE5-139CCE0014BE}"/>
    <cellStyle name="Normal 9 3 2 2 3 2 3" xfId="19354" xr:uid="{97581EF2-5987-499F-AA79-94934C0C7C97}"/>
    <cellStyle name="Normal 9 3 2 2 3 2 4" xfId="11733" xr:uid="{9865C54D-B8AE-4C98-9862-7DE8DDE9E579}"/>
    <cellStyle name="Normal 9 3 2 2 3 3" xfId="5306" xr:uid="{00000000-0005-0000-0000-0000C31F0000}"/>
    <cellStyle name="Normal 9 3 2 2 3 3 2" xfId="21422" xr:uid="{A001F9BE-A386-419E-95AE-B02D3FDA78BF}"/>
    <cellStyle name="Normal 9 3 2 2 3 3 3" xfId="13801" xr:uid="{1FA001A3-2B95-4435-B682-F754B21FF568}"/>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23980" xr:uid="{354513E6-E425-4E3F-91E4-0FF0681446EC}"/>
    <cellStyle name="Normal 9 3 2 2 4 2 2 3" xfId="16359" xr:uid="{93701194-73CB-43CB-9A8D-AE4B32870A01}"/>
    <cellStyle name="Normal 9 3 2 2 4 2 3" xfId="19767" xr:uid="{A71C4ADB-61CB-4A07-8F43-48CD05D4804F}"/>
    <cellStyle name="Normal 9 3 2 2 4 2 4" xfId="12146" xr:uid="{D7E66D31-9BE0-4F89-A761-3578498CD233}"/>
    <cellStyle name="Normal 9 3 2 2 4 3" xfId="5719" xr:uid="{00000000-0005-0000-0000-0000C71F0000}"/>
    <cellStyle name="Normal 9 3 2 2 4 3 2" xfId="21835" xr:uid="{4017F24F-A527-4D8D-9D49-F3B43D564252}"/>
    <cellStyle name="Normal 9 3 2 2 4 3 3" xfId="14214" xr:uid="{40387859-C73E-4662-AC94-1AF8183E3FD5}"/>
    <cellStyle name="Normal 9 3 2 2 4 4" xfId="17622" xr:uid="{A8283B21-A280-4500-A22A-AB4D00D3567D}"/>
    <cellStyle name="Normal 9 3 2 2 4 5" xfId="10001" xr:uid="{0DA52ADC-7C96-4BAA-8D77-0E8E1D18B50D}"/>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24393" xr:uid="{0F84EFA3-22B2-4D2D-83F3-D2E1D6E516CE}"/>
    <cellStyle name="Normal 9 3 2 2 5 2 2 3" xfId="16772" xr:uid="{1AAF8730-3A11-4921-97FA-AF8F2E850D81}"/>
    <cellStyle name="Normal 9 3 2 2 5 2 3" xfId="20180" xr:uid="{C058E214-04ED-4AB3-A4E4-E3CC42ED7CA6}"/>
    <cellStyle name="Normal 9 3 2 2 5 2 4" xfId="12559" xr:uid="{BA98D6C8-733F-422B-ABA4-053F93F107B1}"/>
    <cellStyle name="Normal 9 3 2 2 5 3" xfId="6132" xr:uid="{00000000-0005-0000-0000-0000CB1F0000}"/>
    <cellStyle name="Normal 9 3 2 2 5 3 2" xfId="22248" xr:uid="{CBDB330F-15A4-41E5-9BFE-1B0D2FDE6C0F}"/>
    <cellStyle name="Normal 9 3 2 2 5 3 3" xfId="14627" xr:uid="{5352F609-6D27-4E95-9F98-30397EF4FBB4}"/>
    <cellStyle name="Normal 9 3 2 2 5 4" xfId="18035" xr:uid="{F1368E56-D256-44A7-8B2B-F457B46FA392}"/>
    <cellStyle name="Normal 9 3 2 2 5 5" xfId="10414" xr:uid="{3DEC2361-80A1-4C81-9DA8-D70195F1D28B}"/>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24806" xr:uid="{9218B665-AF6E-49D6-81B7-146E4CD8EFF3}"/>
    <cellStyle name="Normal 9 3 2 2 6 2 2 3" xfId="17185" xr:uid="{61877E0D-DB9F-4A8D-813B-1F484D8FC4C6}"/>
    <cellStyle name="Normal 9 3 2 2 6 2 3" xfId="20593" xr:uid="{208C03AB-AB53-4C7B-A96E-5693525DA326}"/>
    <cellStyle name="Normal 9 3 2 2 6 2 4" xfId="12972" xr:uid="{24E4DB8D-7BFF-4F92-A4E9-DD94E8782AF0}"/>
    <cellStyle name="Normal 9 3 2 2 6 3" xfId="6545" xr:uid="{00000000-0005-0000-0000-0000CF1F0000}"/>
    <cellStyle name="Normal 9 3 2 2 6 3 2" xfId="22661" xr:uid="{04E7DBE0-863C-4899-8D17-589D66AA400C}"/>
    <cellStyle name="Normal 9 3 2 2 6 3 3" xfId="15040" xr:uid="{F30DA017-FFFA-4FD1-A93D-9D1D115E6031}"/>
    <cellStyle name="Normal 9 3 2 2 6 4" xfId="18448" xr:uid="{24D2A984-6EF6-4F77-AD88-BED6CA6E70A1}"/>
    <cellStyle name="Normal 9 3 2 2 6 5" xfId="10827" xr:uid="{F879142C-6FCD-4AC1-B46B-5E82D5FFFF15}"/>
    <cellStyle name="Normal 9 3 2 2 7" xfId="2675" xr:uid="{00000000-0005-0000-0000-0000D01F0000}"/>
    <cellStyle name="Normal 9 3 2 2 7 2" xfId="6958" xr:uid="{00000000-0005-0000-0000-0000D11F0000}"/>
    <cellStyle name="Normal 9 3 2 2 7 2 2" xfId="23074" xr:uid="{EFC17D52-277A-43E7-9AB4-0E2EDB966CB5}"/>
    <cellStyle name="Normal 9 3 2 2 7 2 3" xfId="15453" xr:uid="{DAC643F2-3C08-4FD9-A428-7DC11206491D}"/>
    <cellStyle name="Normal 9 3 2 2 7 3" xfId="18861" xr:uid="{509E622D-EC01-4198-9968-FB55A84C15C9}"/>
    <cellStyle name="Normal 9 3 2 2 7 4" xfId="11240" xr:uid="{7FF48EC6-CA53-438F-8026-86546F71E9C6}"/>
    <cellStyle name="Normal 9 3 2 2 8" xfId="4893" xr:uid="{00000000-0005-0000-0000-0000D21F0000}"/>
    <cellStyle name="Normal 9 3 2 2 8 2" xfId="21009" xr:uid="{EE27DF1B-FC0A-44D2-976A-5C73FCD75C54}"/>
    <cellStyle name="Normal 9 3 2 2 8 3" xfId="13388" xr:uid="{6B9341E5-0042-479E-87CF-92AA75301331}"/>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23569" xr:uid="{6C10AAE9-9FC9-48CB-8AC8-2CA5B0F2B0EE}"/>
    <cellStyle name="Normal 9 3 2 3 2 2 2 3" xfId="15948" xr:uid="{23C72C79-E1AC-4AFD-BAE0-040D999AEC80}"/>
    <cellStyle name="Normal 9 3 2 3 2 2 3" xfId="19356" xr:uid="{573B82B6-B7C0-4702-B7CC-0366F6F1BA30}"/>
    <cellStyle name="Normal 9 3 2 3 2 2 4" xfId="11735" xr:uid="{24E5B36D-ECEC-41B0-818F-FB371F378704}"/>
    <cellStyle name="Normal 9 3 2 3 2 3" xfId="5308" xr:uid="{00000000-0005-0000-0000-0000D71F0000}"/>
    <cellStyle name="Normal 9 3 2 3 2 3 2" xfId="21424" xr:uid="{41E1FF2E-F5FB-4701-99C6-40BCA9A823E4}"/>
    <cellStyle name="Normal 9 3 2 3 2 3 3" xfId="13803" xr:uid="{EE521176-B334-4834-B61B-8D971ACB8DD6}"/>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23982" xr:uid="{B17B881F-F400-41A4-BAA2-2A3C7326A505}"/>
    <cellStyle name="Normal 9 3 2 3 3 2 2 3" xfId="16361" xr:uid="{96D1C52C-7EBF-4AEA-993A-14F2FC6C65BB}"/>
    <cellStyle name="Normal 9 3 2 3 3 2 3" xfId="19769" xr:uid="{B93DE75B-78F3-469E-BAE0-9DCED46EFF54}"/>
    <cellStyle name="Normal 9 3 2 3 3 2 4" xfId="12148" xr:uid="{D69D1DCB-035F-4827-A6B7-1D789F4EB341}"/>
    <cellStyle name="Normal 9 3 2 3 3 3" xfId="5721" xr:uid="{00000000-0005-0000-0000-0000DB1F0000}"/>
    <cellStyle name="Normal 9 3 2 3 3 3 2" xfId="21837" xr:uid="{99E3B3B2-D4AA-4BDD-A5DF-2116B7024FFE}"/>
    <cellStyle name="Normal 9 3 2 3 3 3 3" xfId="14216" xr:uid="{9D503378-0322-4DB0-B570-C9A5483B4D99}"/>
    <cellStyle name="Normal 9 3 2 3 3 4" xfId="17624" xr:uid="{6C4906D2-5DCD-4DE7-B2EC-A7BE4145196F}"/>
    <cellStyle name="Normal 9 3 2 3 3 5" xfId="10003" xr:uid="{73562D9A-F3A6-458D-A5BB-0F158FA2E9A6}"/>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24395" xr:uid="{125AF78E-30E8-4610-9002-390CEA86695A}"/>
    <cellStyle name="Normal 9 3 2 3 4 2 2 3" xfId="16774" xr:uid="{905D6158-D1F9-469F-8C13-8BB5703E73BB}"/>
    <cellStyle name="Normal 9 3 2 3 4 2 3" xfId="20182" xr:uid="{C8C87230-F115-4E6C-80A8-F09411748342}"/>
    <cellStyle name="Normal 9 3 2 3 4 2 4" xfId="12561" xr:uid="{9602D93E-6050-4052-9AC2-682AAEEF0DD1}"/>
    <cellStyle name="Normal 9 3 2 3 4 3" xfId="6134" xr:uid="{00000000-0005-0000-0000-0000DF1F0000}"/>
    <cellStyle name="Normal 9 3 2 3 4 3 2" xfId="22250" xr:uid="{D9397C30-B647-4224-96CA-89AEF5D2A14B}"/>
    <cellStyle name="Normal 9 3 2 3 4 3 3" xfId="14629" xr:uid="{B9D70026-A710-4528-A34F-34D535AEFE90}"/>
    <cellStyle name="Normal 9 3 2 3 4 4" xfId="18037" xr:uid="{8A03D9EC-01D4-46CA-8F51-8F527442CEAA}"/>
    <cellStyle name="Normal 9 3 2 3 4 5" xfId="10416" xr:uid="{761F16C8-C1C4-42AD-9894-3E8A5B9959C0}"/>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24808" xr:uid="{EFF2CFA2-DC51-4632-844C-59502BDE6A19}"/>
    <cellStyle name="Normal 9 3 2 3 5 2 2 3" xfId="17187" xr:uid="{0CB0DD3B-F439-4A75-A678-5615A83059CF}"/>
    <cellStyle name="Normal 9 3 2 3 5 2 3" xfId="20595" xr:uid="{F6DCD4B2-D276-45C8-9135-CCB376FFA4B2}"/>
    <cellStyle name="Normal 9 3 2 3 5 2 4" xfId="12974" xr:uid="{3C593066-5C43-4ACF-8D9E-6163E2A01352}"/>
    <cellStyle name="Normal 9 3 2 3 5 3" xfId="6547" xr:uid="{00000000-0005-0000-0000-0000E31F0000}"/>
    <cellStyle name="Normal 9 3 2 3 5 3 2" xfId="22663" xr:uid="{C50FB2B8-DEBF-416B-9750-7197D94BB9E6}"/>
    <cellStyle name="Normal 9 3 2 3 5 3 3" xfId="15042" xr:uid="{3F37EB96-83CE-4A71-8D1E-EC6CB33804CD}"/>
    <cellStyle name="Normal 9 3 2 3 5 4" xfId="18450" xr:uid="{9F5AE8D5-39C3-47EB-9988-E1949C6AE260}"/>
    <cellStyle name="Normal 9 3 2 3 5 5" xfId="10829" xr:uid="{3E67E6BF-8FB0-4E41-A386-3B8D7F984706}"/>
    <cellStyle name="Normal 9 3 2 3 6" xfId="2677" xr:uid="{00000000-0005-0000-0000-0000E41F0000}"/>
    <cellStyle name="Normal 9 3 2 3 6 2" xfId="6960" xr:uid="{00000000-0005-0000-0000-0000E51F0000}"/>
    <cellStyle name="Normal 9 3 2 3 6 2 2" xfId="23076" xr:uid="{1CB64D26-B95D-4333-9C67-3CB9FDDCAC22}"/>
    <cellStyle name="Normal 9 3 2 3 6 2 3" xfId="15455" xr:uid="{D5F83ABB-A7C2-4A30-85BD-B630EC217F60}"/>
    <cellStyle name="Normal 9 3 2 3 6 3" xfId="18863" xr:uid="{AB2A93B6-A0D0-412A-AA41-5AA463021E6F}"/>
    <cellStyle name="Normal 9 3 2 3 6 4" xfId="11242" xr:uid="{19D32BCE-20A9-4E4C-BCB0-F691BC9F4B7B}"/>
    <cellStyle name="Normal 9 3 2 3 7" xfId="4895" xr:uid="{00000000-0005-0000-0000-0000E61F0000}"/>
    <cellStyle name="Normal 9 3 2 3 7 2" xfId="21011" xr:uid="{4D06EF86-7A79-41F0-9A19-FC868B458EBE}"/>
    <cellStyle name="Normal 9 3 2 3 7 3" xfId="13390" xr:uid="{8A63694A-EE00-4284-B974-6A19424D98AF}"/>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2 2 2" xfId="23566" xr:uid="{E2EBDDD2-C465-4CE1-872F-0FA20EEFDD91}"/>
    <cellStyle name="Normal 9 3 2 4 2 2 3" xfId="15945" xr:uid="{3C38D535-C2DD-4D94-88D2-F98EE9D26561}"/>
    <cellStyle name="Normal 9 3 2 4 2 3" xfId="19353" xr:uid="{385E306B-FAD8-4997-9915-BB3577A15C72}"/>
    <cellStyle name="Normal 9 3 2 4 2 4" xfId="11732" xr:uid="{2921BBC6-B12E-40AF-8871-58E91164433F}"/>
    <cellStyle name="Normal 9 3 2 4 3" xfId="5305" xr:uid="{00000000-0005-0000-0000-0000EA1F0000}"/>
    <cellStyle name="Normal 9 3 2 4 3 2" xfId="21421" xr:uid="{68C817FA-F0CC-49B1-9E35-7899F11D9E9E}"/>
    <cellStyle name="Normal 9 3 2 4 3 3" xfId="13800" xr:uid="{119B2D59-3956-4C41-B237-1B8FF603F3B1}"/>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2 2 2" xfId="23979" xr:uid="{1F2DB6EF-A08F-4A0D-A5B1-2D4809FE6189}"/>
    <cellStyle name="Normal 9 3 2 5 2 2 3" xfId="16358" xr:uid="{9669DA9A-F647-4771-809C-499DC3FE8CCD}"/>
    <cellStyle name="Normal 9 3 2 5 2 3" xfId="19766" xr:uid="{56CFFE12-71F2-4485-924E-C035B57FC24B}"/>
    <cellStyle name="Normal 9 3 2 5 2 4" xfId="12145" xr:uid="{4DC8889C-74D1-4F16-B8AA-86F48984383B}"/>
    <cellStyle name="Normal 9 3 2 5 3" xfId="5718" xr:uid="{00000000-0005-0000-0000-0000EE1F0000}"/>
    <cellStyle name="Normal 9 3 2 5 3 2" xfId="21834" xr:uid="{2AE3618C-CA5E-4C2D-8093-7B13FF4646E0}"/>
    <cellStyle name="Normal 9 3 2 5 3 3" xfId="14213" xr:uid="{3D4A0597-530F-4F4A-BA93-7DB02DC9600F}"/>
    <cellStyle name="Normal 9 3 2 5 4" xfId="17621" xr:uid="{1DDB93C5-276E-448D-9B3B-EF04B4D545E5}"/>
    <cellStyle name="Normal 9 3 2 5 5" xfId="10000" xr:uid="{60381145-22E6-45AB-8391-8C0A2BE9B423}"/>
    <cellStyle name="Normal 9 3 2 6" xfId="1824" xr:uid="{00000000-0005-0000-0000-0000EF1F0000}"/>
    <cellStyle name="Normal 9 3 2 6 2" xfId="4054" xr:uid="{00000000-0005-0000-0000-0000F01F0000}"/>
    <cellStyle name="Normal 9 3 2 6 2 2" xfId="8276" xr:uid="{00000000-0005-0000-0000-0000F11F0000}"/>
    <cellStyle name="Normal 9 3 2 6 2 2 2" xfId="24392" xr:uid="{171E8F1D-337F-4E2A-8D40-6A780F528012}"/>
    <cellStyle name="Normal 9 3 2 6 2 2 3" xfId="16771" xr:uid="{16CE1C59-E1EB-4E1A-BB0A-D1E8632B7EEA}"/>
    <cellStyle name="Normal 9 3 2 6 2 3" xfId="20179" xr:uid="{CBDB88E4-6D71-4054-BBB1-87EF74F34157}"/>
    <cellStyle name="Normal 9 3 2 6 2 4" xfId="12558" xr:uid="{7B2FDAE4-7C52-4AF0-A399-C81A3D24D044}"/>
    <cellStyle name="Normal 9 3 2 6 3" xfId="6131" xr:uid="{00000000-0005-0000-0000-0000F21F0000}"/>
    <cellStyle name="Normal 9 3 2 6 3 2" xfId="22247" xr:uid="{35FF8D65-0EBE-4B41-8F28-0C0B2CD70BBB}"/>
    <cellStyle name="Normal 9 3 2 6 3 3" xfId="14626" xr:uid="{2E57B465-4F8C-4763-98AC-407797B5C288}"/>
    <cellStyle name="Normal 9 3 2 6 4" xfId="18034" xr:uid="{DD731C98-C057-4596-82D1-261F5490CC42}"/>
    <cellStyle name="Normal 9 3 2 6 5" xfId="10413" xr:uid="{9E031F10-8939-4655-9198-C4D546186EB5}"/>
    <cellStyle name="Normal 9 3 2 7" xfId="2238" xr:uid="{00000000-0005-0000-0000-0000F31F0000}"/>
    <cellStyle name="Normal 9 3 2 7 2" xfId="4467" xr:uid="{00000000-0005-0000-0000-0000F41F0000}"/>
    <cellStyle name="Normal 9 3 2 7 2 2" xfId="8689" xr:uid="{00000000-0005-0000-0000-0000F51F0000}"/>
    <cellStyle name="Normal 9 3 2 7 2 2 2" xfId="24805" xr:uid="{5BBAAECE-2681-4491-9994-65F392BC85FE}"/>
    <cellStyle name="Normal 9 3 2 7 2 2 3" xfId="17184" xr:uid="{78A12118-4295-46E1-88F3-4209765FC1D3}"/>
    <cellStyle name="Normal 9 3 2 7 2 3" xfId="20592" xr:uid="{CBF04B0C-E1E2-4BB4-9748-6C7EC9AF26B6}"/>
    <cellStyle name="Normal 9 3 2 7 2 4" xfId="12971" xr:uid="{FC63649B-3D26-4D29-85D3-DB55264817DB}"/>
    <cellStyle name="Normal 9 3 2 7 3" xfId="6544" xr:uid="{00000000-0005-0000-0000-0000F61F0000}"/>
    <cellStyle name="Normal 9 3 2 7 3 2" xfId="22660" xr:uid="{4265C012-CF10-4389-953E-375515C9F5BF}"/>
    <cellStyle name="Normal 9 3 2 7 3 3" xfId="15039" xr:uid="{C85D33B1-57A2-44DA-88E3-A2C94396C422}"/>
    <cellStyle name="Normal 9 3 2 7 4" xfId="18447" xr:uid="{0882C82E-31C2-488B-93E9-425A44F948BA}"/>
    <cellStyle name="Normal 9 3 2 7 5" xfId="10826" xr:uid="{B0551899-73E2-4B44-AA53-E590EC65B689}"/>
    <cellStyle name="Normal 9 3 2 8" xfId="2674" xr:uid="{00000000-0005-0000-0000-0000F71F0000}"/>
    <cellStyle name="Normal 9 3 2 8 2" xfId="6957" xr:uid="{00000000-0005-0000-0000-0000F81F0000}"/>
    <cellStyle name="Normal 9 3 2 8 2 2" xfId="23073" xr:uid="{43BE87BB-693B-4EBB-B6D3-A00B7E1FDE9D}"/>
    <cellStyle name="Normal 9 3 2 8 2 3" xfId="15452" xr:uid="{1EDACFF3-FEB7-447C-A65F-240316F65DF8}"/>
    <cellStyle name="Normal 9 3 2 8 3" xfId="18860" xr:uid="{0651C406-48C9-4E72-A389-D861D838BFDA}"/>
    <cellStyle name="Normal 9 3 2 8 4" xfId="11239" xr:uid="{06C1DC01-1D3A-4F5C-A5E7-481009145502}"/>
    <cellStyle name="Normal 9 3 2 9" xfId="4892" xr:uid="{00000000-0005-0000-0000-0000F91F0000}"/>
    <cellStyle name="Normal 9 3 2 9 2" xfId="21008" xr:uid="{38261AD9-D243-4C93-A5B5-0C90FFEE8FC5}"/>
    <cellStyle name="Normal 9 3 2 9 3" xfId="13387" xr:uid="{FEFE7D0F-E731-471A-A617-EF788C777FE1}"/>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23571" xr:uid="{14044BE0-4C16-41BD-9FE8-3C73B66A19DC}"/>
    <cellStyle name="Normal 9 3 3 2 2 2 2 3" xfId="15950" xr:uid="{2E4F35BD-BBA7-49A1-9130-2D6FBE7B0AA6}"/>
    <cellStyle name="Normal 9 3 3 2 2 2 3" xfId="19358" xr:uid="{0EF18BB2-678A-4311-B084-6E34E2A82EF6}"/>
    <cellStyle name="Normal 9 3 3 2 2 2 4" xfId="11737" xr:uid="{189B8A05-C7DB-481E-9F72-D6441DC2CE96}"/>
    <cellStyle name="Normal 9 3 3 2 2 3" xfId="5310" xr:uid="{00000000-0005-0000-0000-0000FF1F0000}"/>
    <cellStyle name="Normal 9 3 3 2 2 3 2" xfId="21426" xr:uid="{1DBE7668-A895-4866-B77E-CDDB18F42A1E}"/>
    <cellStyle name="Normal 9 3 3 2 2 3 3" xfId="13805" xr:uid="{E6936414-4E69-4670-BEAE-1CC5E1137637}"/>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23984" xr:uid="{FFF7DC20-09BE-471C-893B-A2F4C1EAF9E2}"/>
    <cellStyle name="Normal 9 3 3 2 3 2 2 3" xfId="16363" xr:uid="{A7B0B7AD-3F49-40FD-B7E2-50C937F4F00C}"/>
    <cellStyle name="Normal 9 3 3 2 3 2 3" xfId="19771" xr:uid="{77EE2983-BA72-435F-A57C-4137E5A266ED}"/>
    <cellStyle name="Normal 9 3 3 2 3 2 4" xfId="12150" xr:uid="{E91A7931-7761-4D0B-ADE8-A5ABD0F9C24B}"/>
    <cellStyle name="Normal 9 3 3 2 3 3" xfId="5723" xr:uid="{00000000-0005-0000-0000-000003200000}"/>
    <cellStyle name="Normal 9 3 3 2 3 3 2" xfId="21839" xr:uid="{DEACDA7C-8124-4DE6-9232-956256FCF053}"/>
    <cellStyle name="Normal 9 3 3 2 3 3 3" xfId="14218" xr:uid="{13FC01DA-F8F1-46F3-96F1-2D0B721FA412}"/>
    <cellStyle name="Normal 9 3 3 2 3 4" xfId="17626" xr:uid="{7C61371B-FCB5-4267-8BBA-6EC14ABACDD4}"/>
    <cellStyle name="Normal 9 3 3 2 3 5" xfId="10005" xr:uid="{073F24EE-062A-42E4-A443-ABEDAC08EC00}"/>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24397" xr:uid="{ADB981A7-1883-4A02-A47D-72163414F143}"/>
    <cellStyle name="Normal 9 3 3 2 4 2 2 3" xfId="16776" xr:uid="{68D03449-0BEC-4A97-A644-59B332CDAAA0}"/>
    <cellStyle name="Normal 9 3 3 2 4 2 3" xfId="20184" xr:uid="{70A22091-E79A-4516-B182-8522B34C458F}"/>
    <cellStyle name="Normal 9 3 3 2 4 2 4" xfId="12563" xr:uid="{2E803E46-6544-4EF1-86E0-77C18FF1295A}"/>
    <cellStyle name="Normal 9 3 3 2 4 3" xfId="6136" xr:uid="{00000000-0005-0000-0000-000007200000}"/>
    <cellStyle name="Normal 9 3 3 2 4 3 2" xfId="22252" xr:uid="{2B31DFF7-5B8C-4EF6-AB9E-2D90F9139F9E}"/>
    <cellStyle name="Normal 9 3 3 2 4 3 3" xfId="14631" xr:uid="{E277C201-2E9B-4C61-B903-602D3C3842BF}"/>
    <cellStyle name="Normal 9 3 3 2 4 4" xfId="18039" xr:uid="{5277E244-0B72-48EC-A19A-DE46E6421196}"/>
    <cellStyle name="Normal 9 3 3 2 4 5" xfId="10418" xr:uid="{DB744A78-5FB9-470E-BEBA-721C6A0614B1}"/>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24810" xr:uid="{ABAC1277-95B0-4F96-925A-9F46254030D4}"/>
    <cellStyle name="Normal 9 3 3 2 5 2 2 3" xfId="17189" xr:uid="{86AED4ED-4BCA-4304-B4FD-3258400CEBDB}"/>
    <cellStyle name="Normal 9 3 3 2 5 2 3" xfId="20597" xr:uid="{65DC5C59-10BD-4D57-83F1-92A298472B21}"/>
    <cellStyle name="Normal 9 3 3 2 5 2 4" xfId="12976" xr:uid="{2E4BCC8A-7F6F-49B2-9549-DC88E1EDC0C3}"/>
    <cellStyle name="Normal 9 3 3 2 5 3" xfId="6549" xr:uid="{00000000-0005-0000-0000-00000B200000}"/>
    <cellStyle name="Normal 9 3 3 2 5 3 2" xfId="22665" xr:uid="{44BE11B0-4D75-42B2-AB13-9C1D46DE2CC7}"/>
    <cellStyle name="Normal 9 3 3 2 5 3 3" xfId="15044" xr:uid="{A518050C-1007-43FC-83C9-806DF15DCB01}"/>
    <cellStyle name="Normal 9 3 3 2 5 4" xfId="18452" xr:uid="{33DC89FD-9FFC-4EE5-9763-9CA60AA987B2}"/>
    <cellStyle name="Normal 9 3 3 2 5 5" xfId="10831" xr:uid="{276CC591-E6B7-43E6-B09E-BFDF00A26122}"/>
    <cellStyle name="Normal 9 3 3 2 6" xfId="2679" xr:uid="{00000000-0005-0000-0000-00000C200000}"/>
    <cellStyle name="Normal 9 3 3 2 6 2" xfId="6962" xr:uid="{00000000-0005-0000-0000-00000D200000}"/>
    <cellStyle name="Normal 9 3 3 2 6 2 2" xfId="23078" xr:uid="{B9F363CC-2F47-4AA3-B116-524E946ACEC3}"/>
    <cellStyle name="Normal 9 3 3 2 6 2 3" xfId="15457" xr:uid="{CEBC0829-BDB6-4CDB-AE0B-70192E971249}"/>
    <cellStyle name="Normal 9 3 3 2 6 3" xfId="18865" xr:uid="{2478E919-3F9F-44B7-8A3E-C7767FCD5EDB}"/>
    <cellStyle name="Normal 9 3 3 2 6 4" xfId="11244" xr:uid="{C3783D83-CC58-4F07-AA4A-D9D1564725B2}"/>
    <cellStyle name="Normal 9 3 3 2 7" xfId="4897" xr:uid="{00000000-0005-0000-0000-00000E200000}"/>
    <cellStyle name="Normal 9 3 3 2 7 2" xfId="21013" xr:uid="{4558F216-F28D-482C-B075-68637074A932}"/>
    <cellStyle name="Normal 9 3 3 2 7 3" xfId="13392" xr:uid="{AA9F8AFA-2E48-4A25-B3EB-A6034A13B1AB}"/>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2 2 2" xfId="23570" xr:uid="{9BC049E5-C70B-4EE6-8195-3766D324D7A5}"/>
    <cellStyle name="Normal 9 3 3 3 2 2 3" xfId="15949" xr:uid="{3E7452E4-51FE-43A6-8703-E73EBC5B7DB3}"/>
    <cellStyle name="Normal 9 3 3 3 2 3" xfId="19357" xr:uid="{E89DB1C1-8F09-4F05-9548-BAA59D782B22}"/>
    <cellStyle name="Normal 9 3 3 3 2 4" xfId="11736" xr:uid="{46F32E6E-74A7-477D-B8BE-3201E830D7F0}"/>
    <cellStyle name="Normal 9 3 3 3 3" xfId="5309" xr:uid="{00000000-0005-0000-0000-000012200000}"/>
    <cellStyle name="Normal 9 3 3 3 3 2" xfId="21425" xr:uid="{554F6910-15C3-4777-83E6-D9087B06FDE9}"/>
    <cellStyle name="Normal 9 3 3 3 3 3" xfId="13804" xr:uid="{4CA4EFBF-D391-4567-B0D9-9756B5F30884}"/>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2 2 2" xfId="23983" xr:uid="{7A7320C1-E480-4566-89A9-9EE0B6F494B9}"/>
    <cellStyle name="Normal 9 3 3 4 2 2 3" xfId="16362" xr:uid="{C8896804-E94A-45EB-A46B-18C245FC314F}"/>
    <cellStyle name="Normal 9 3 3 4 2 3" xfId="19770" xr:uid="{A606D273-5DBD-49BB-B8D1-FCAF055ACE32}"/>
    <cellStyle name="Normal 9 3 3 4 2 4" xfId="12149" xr:uid="{1BABDAB4-4B9B-4D46-A74E-92675C8BACCC}"/>
    <cellStyle name="Normal 9 3 3 4 3" xfId="5722" xr:uid="{00000000-0005-0000-0000-000016200000}"/>
    <cellStyle name="Normal 9 3 3 4 3 2" xfId="21838" xr:uid="{097AC5A9-5E46-49A6-AD2F-131F767FCA81}"/>
    <cellStyle name="Normal 9 3 3 4 3 3" xfId="14217" xr:uid="{9216C4E3-0FEF-484B-A2A0-8806E4E0355B}"/>
    <cellStyle name="Normal 9 3 3 4 4" xfId="17625" xr:uid="{01EBCCC6-0FE0-4A53-AFF2-3E189D188681}"/>
    <cellStyle name="Normal 9 3 3 4 5" xfId="10004" xr:uid="{941CD3E5-D130-4187-B33E-175A1AB235E8}"/>
    <cellStyle name="Normal 9 3 3 5" xfId="1828" xr:uid="{00000000-0005-0000-0000-000017200000}"/>
    <cellStyle name="Normal 9 3 3 5 2" xfId="4058" xr:uid="{00000000-0005-0000-0000-000018200000}"/>
    <cellStyle name="Normal 9 3 3 5 2 2" xfId="8280" xr:uid="{00000000-0005-0000-0000-000019200000}"/>
    <cellStyle name="Normal 9 3 3 5 2 2 2" xfId="24396" xr:uid="{4DC4F72D-3288-416F-BC4B-827C5F7A4E5E}"/>
    <cellStyle name="Normal 9 3 3 5 2 2 3" xfId="16775" xr:uid="{3C2763E7-5A2D-41DA-B271-382A603DC21C}"/>
    <cellStyle name="Normal 9 3 3 5 2 3" xfId="20183" xr:uid="{9F6739C7-43D4-40F6-B0E3-97CEF203AC1E}"/>
    <cellStyle name="Normal 9 3 3 5 2 4" xfId="12562" xr:uid="{985BC87C-AF81-47EB-B95A-929D07AE56A7}"/>
    <cellStyle name="Normal 9 3 3 5 3" xfId="6135" xr:uid="{00000000-0005-0000-0000-00001A200000}"/>
    <cellStyle name="Normal 9 3 3 5 3 2" xfId="22251" xr:uid="{49279653-B5D2-4FF8-A8DB-494806C23323}"/>
    <cellStyle name="Normal 9 3 3 5 3 3" xfId="14630" xr:uid="{B3E6E725-07AB-4EB0-B741-7B848DB9D50A}"/>
    <cellStyle name="Normal 9 3 3 5 4" xfId="18038" xr:uid="{952B7E97-A66F-4ADF-B8ED-CC68D3F3BAA7}"/>
    <cellStyle name="Normal 9 3 3 5 5" xfId="10417" xr:uid="{9FD2F3E0-8990-49D3-9C53-E58D690F17FD}"/>
    <cellStyle name="Normal 9 3 3 6" xfId="2242" xr:uid="{00000000-0005-0000-0000-00001B200000}"/>
    <cellStyle name="Normal 9 3 3 6 2" xfId="4471" xr:uid="{00000000-0005-0000-0000-00001C200000}"/>
    <cellStyle name="Normal 9 3 3 6 2 2" xfId="8693" xr:uid="{00000000-0005-0000-0000-00001D200000}"/>
    <cellStyle name="Normal 9 3 3 6 2 2 2" xfId="24809" xr:uid="{7915F7F5-9B81-4CDF-8187-2FE94684F596}"/>
    <cellStyle name="Normal 9 3 3 6 2 2 3" xfId="17188" xr:uid="{CDF5501C-7E35-4B4B-BEEF-521D64DFDF8F}"/>
    <cellStyle name="Normal 9 3 3 6 2 3" xfId="20596" xr:uid="{CC73F63A-A40D-4DE4-9702-30E43A4B0D26}"/>
    <cellStyle name="Normal 9 3 3 6 2 4" xfId="12975" xr:uid="{212CCC62-0C40-47D4-8F3E-73FCCC3661FC}"/>
    <cellStyle name="Normal 9 3 3 6 3" xfId="6548" xr:uid="{00000000-0005-0000-0000-00001E200000}"/>
    <cellStyle name="Normal 9 3 3 6 3 2" xfId="22664" xr:uid="{7080DA04-0997-46E8-9A6B-FA12FB2BEFAB}"/>
    <cellStyle name="Normal 9 3 3 6 3 3" xfId="15043" xr:uid="{FB00C875-2DB5-4D3B-9A7A-54292E427A85}"/>
    <cellStyle name="Normal 9 3 3 6 4" xfId="18451" xr:uid="{5D21EC34-5354-4FCC-98F0-443EA8A91160}"/>
    <cellStyle name="Normal 9 3 3 6 5" xfId="10830" xr:uid="{EE4435FB-8493-4C07-BDB7-12E7D567873E}"/>
    <cellStyle name="Normal 9 3 3 7" xfId="2678" xr:uid="{00000000-0005-0000-0000-00001F200000}"/>
    <cellStyle name="Normal 9 3 3 7 2" xfId="6961" xr:uid="{00000000-0005-0000-0000-000020200000}"/>
    <cellStyle name="Normal 9 3 3 7 2 2" xfId="23077" xr:uid="{FDB905D9-922B-4034-82DD-0042B307A399}"/>
    <cellStyle name="Normal 9 3 3 7 2 3" xfId="15456" xr:uid="{4B78CE4F-E1B8-432A-9783-C6B37E6E356C}"/>
    <cellStyle name="Normal 9 3 3 7 3" xfId="18864" xr:uid="{76D9CDCF-49DD-4C36-AE3F-FB6E8CFEC62B}"/>
    <cellStyle name="Normal 9 3 3 7 4" xfId="11243" xr:uid="{D195DC0B-6F90-43C0-8F51-D4ADCAC8ECD7}"/>
    <cellStyle name="Normal 9 3 3 8" xfId="4896" xr:uid="{00000000-0005-0000-0000-000021200000}"/>
    <cellStyle name="Normal 9 3 3 8 2" xfId="21012" xr:uid="{922F746F-6C07-4669-8007-2C40CD8AEF49}"/>
    <cellStyle name="Normal 9 3 3 8 3" xfId="13391" xr:uid="{0CB8DDF8-AC73-4E65-B1E9-518C11C9CAE6}"/>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23572" xr:uid="{59C293CC-C564-41F0-990A-10A31B3C88AB}"/>
    <cellStyle name="Normal 9 3 4 2 2 2 3" xfId="15951" xr:uid="{4EC8BC89-12F1-4916-A6A7-FBD75532D82A}"/>
    <cellStyle name="Normal 9 3 4 2 2 3" xfId="19359" xr:uid="{79788B2E-C362-4698-85EA-57D0CE02D2CB}"/>
    <cellStyle name="Normal 9 3 4 2 2 4" xfId="11738" xr:uid="{A14412B4-0545-468F-B18F-87389D758A2A}"/>
    <cellStyle name="Normal 9 3 4 2 3" xfId="5311" xr:uid="{00000000-0005-0000-0000-000026200000}"/>
    <cellStyle name="Normal 9 3 4 2 3 2" xfId="21427" xr:uid="{6FA779C5-5E02-4519-8F92-9EE532CBF58E}"/>
    <cellStyle name="Normal 9 3 4 2 3 3" xfId="13806" xr:uid="{BDD11D4F-9F97-4CF8-BDC8-34A6B510FA8A}"/>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2 2 2" xfId="23985" xr:uid="{92C9BEAF-8E33-4FF5-A423-B2188E38A030}"/>
    <cellStyle name="Normal 9 3 4 3 2 2 3" xfId="16364" xr:uid="{A59CEC21-5135-4D3A-8E39-3254EF219EFA}"/>
    <cellStyle name="Normal 9 3 4 3 2 3" xfId="19772" xr:uid="{5CA7B174-0D16-41E7-ACE5-BABCF1A0BF5D}"/>
    <cellStyle name="Normal 9 3 4 3 2 4" xfId="12151" xr:uid="{1D6E5A01-A0AD-4D57-944C-0A58981C0972}"/>
    <cellStyle name="Normal 9 3 4 3 3" xfId="5724" xr:uid="{00000000-0005-0000-0000-00002A200000}"/>
    <cellStyle name="Normal 9 3 4 3 3 2" xfId="21840" xr:uid="{8481581F-5E31-4ABD-8B6A-4306B5270FEA}"/>
    <cellStyle name="Normal 9 3 4 3 3 3" xfId="14219" xr:uid="{ECD5BCF0-92B1-4D83-BC40-B5B0F2074552}"/>
    <cellStyle name="Normal 9 3 4 3 4" xfId="17627" xr:uid="{F971D826-A30E-41E3-99E1-19497D3ADC39}"/>
    <cellStyle name="Normal 9 3 4 3 5" xfId="10006" xr:uid="{8A5ADCF5-9D11-4571-9D8A-A342A4BF0CD1}"/>
    <cellStyle name="Normal 9 3 4 4" xfId="1830" xr:uid="{00000000-0005-0000-0000-00002B200000}"/>
    <cellStyle name="Normal 9 3 4 4 2" xfId="4060" xr:uid="{00000000-0005-0000-0000-00002C200000}"/>
    <cellStyle name="Normal 9 3 4 4 2 2" xfId="8282" xr:uid="{00000000-0005-0000-0000-00002D200000}"/>
    <cellStyle name="Normal 9 3 4 4 2 2 2" xfId="24398" xr:uid="{1A0855AF-74FA-4C43-A08D-4823C15A282A}"/>
    <cellStyle name="Normal 9 3 4 4 2 2 3" xfId="16777" xr:uid="{64FD83D0-3588-4E9F-9DE6-5B48A726CB59}"/>
    <cellStyle name="Normal 9 3 4 4 2 3" xfId="20185" xr:uid="{3527DCDE-CEE7-4897-AA1B-5D40C6F50B7E}"/>
    <cellStyle name="Normal 9 3 4 4 2 4" xfId="12564" xr:uid="{9E50D5B1-C9FE-4557-9B00-3D75AFF40EA4}"/>
    <cellStyle name="Normal 9 3 4 4 3" xfId="6137" xr:uid="{00000000-0005-0000-0000-00002E200000}"/>
    <cellStyle name="Normal 9 3 4 4 3 2" xfId="22253" xr:uid="{F7B4D8F8-30F4-4129-AAA7-2EAE30AE990C}"/>
    <cellStyle name="Normal 9 3 4 4 3 3" xfId="14632" xr:uid="{977ACF47-D006-4B28-A13E-D59641FE9542}"/>
    <cellStyle name="Normal 9 3 4 4 4" xfId="18040" xr:uid="{93137071-5A73-4B37-92DC-7AB9C990D1B0}"/>
    <cellStyle name="Normal 9 3 4 4 5" xfId="10419" xr:uid="{A9608329-03FC-4A58-9344-C3C4A021F325}"/>
    <cellStyle name="Normal 9 3 4 5" xfId="2244" xr:uid="{00000000-0005-0000-0000-00002F200000}"/>
    <cellStyle name="Normal 9 3 4 5 2" xfId="4473" xr:uid="{00000000-0005-0000-0000-000030200000}"/>
    <cellStyle name="Normal 9 3 4 5 2 2" xfId="8695" xr:uid="{00000000-0005-0000-0000-000031200000}"/>
    <cellStyle name="Normal 9 3 4 5 2 2 2" xfId="24811" xr:uid="{E878CE30-B511-4870-BEBA-3F9686159E0B}"/>
    <cellStyle name="Normal 9 3 4 5 2 2 3" xfId="17190" xr:uid="{E5DDA66E-71C9-4055-A93C-A3E315741635}"/>
    <cellStyle name="Normal 9 3 4 5 2 3" xfId="20598" xr:uid="{64384CB9-D749-4EAD-A98E-BADF3515142A}"/>
    <cellStyle name="Normal 9 3 4 5 2 4" xfId="12977" xr:uid="{6B413AAF-89E0-48E5-A292-E8D3DE4EC5E0}"/>
    <cellStyle name="Normal 9 3 4 5 3" xfId="6550" xr:uid="{00000000-0005-0000-0000-000032200000}"/>
    <cellStyle name="Normal 9 3 4 5 3 2" xfId="22666" xr:uid="{87A4E780-01F4-4FF6-8B7D-80785D9354E5}"/>
    <cellStyle name="Normal 9 3 4 5 3 3" xfId="15045" xr:uid="{3B7C585E-0AF5-408A-B006-30C9E05425A2}"/>
    <cellStyle name="Normal 9 3 4 5 4" xfId="18453" xr:uid="{9C515B20-CAEA-4785-8D57-0F1DB484832D}"/>
    <cellStyle name="Normal 9 3 4 5 5" xfId="10832" xr:uid="{3EB6E2B0-E22B-40B9-9124-7939679219A8}"/>
    <cellStyle name="Normal 9 3 4 6" xfId="2680" xr:uid="{00000000-0005-0000-0000-000033200000}"/>
    <cellStyle name="Normal 9 3 4 6 2" xfId="6963" xr:uid="{00000000-0005-0000-0000-000034200000}"/>
    <cellStyle name="Normal 9 3 4 6 2 2" xfId="23079" xr:uid="{AA4E5079-0BE2-46F1-BCEA-E183B0C525E7}"/>
    <cellStyle name="Normal 9 3 4 6 2 3" xfId="15458" xr:uid="{E11BBB55-7298-41C3-B146-B873476AE627}"/>
    <cellStyle name="Normal 9 3 4 6 3" xfId="18866" xr:uid="{23FD7815-AE4B-42E2-A9B1-82A5E3A17D8C}"/>
    <cellStyle name="Normal 9 3 4 6 4" xfId="11245" xr:uid="{8FD6EC36-A224-4E38-BBF8-C768F086F02C}"/>
    <cellStyle name="Normal 9 3 4 7" xfId="4898" xr:uid="{00000000-0005-0000-0000-000035200000}"/>
    <cellStyle name="Normal 9 3 4 7 2" xfId="21014" xr:uid="{795AAF2B-6A19-4E6B-8449-EFFE818705DD}"/>
    <cellStyle name="Normal 9 3 4 7 3" xfId="13393" xr:uid="{1310DC7C-4509-4E48-9A3B-A1D8C9DB0471}"/>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2 2 2" xfId="23565" xr:uid="{8D136F70-C889-461F-816C-9BFFD80FE875}"/>
    <cellStyle name="Normal 9 3 5 2 2 3" xfId="15944" xr:uid="{8774F28D-F99E-4FA2-845A-80097D67DDD6}"/>
    <cellStyle name="Normal 9 3 5 2 3" xfId="19352" xr:uid="{BF415998-3C02-4876-8276-3C5B7E59ABED}"/>
    <cellStyle name="Normal 9 3 5 2 4" xfId="11731" xr:uid="{7517B89A-3A33-469A-B2B2-B804730A5DF7}"/>
    <cellStyle name="Normal 9 3 5 3" xfId="5304" xr:uid="{00000000-0005-0000-0000-000039200000}"/>
    <cellStyle name="Normal 9 3 5 3 2" xfId="21420" xr:uid="{07484522-F1AC-4487-AD6E-C9A7DF721CCD}"/>
    <cellStyle name="Normal 9 3 5 3 3" xfId="13799" xr:uid="{ADAAE14A-4664-448E-8616-0C74D21AD9B8}"/>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2 2 2" xfId="23978" xr:uid="{20C76D7B-B4B3-4BFE-886A-5200CE876EA8}"/>
    <cellStyle name="Normal 9 3 6 2 2 3" xfId="16357" xr:uid="{A6A5F471-4971-4D70-A405-1232B12E06B1}"/>
    <cellStyle name="Normal 9 3 6 2 3" xfId="19765" xr:uid="{89B046F8-301B-4521-A4A3-67F18DE724AE}"/>
    <cellStyle name="Normal 9 3 6 2 4" xfId="12144" xr:uid="{F7ED7F44-D0C8-4B42-B414-BCB0C20B7E3A}"/>
    <cellStyle name="Normal 9 3 6 3" xfId="5717" xr:uid="{00000000-0005-0000-0000-00003D200000}"/>
    <cellStyle name="Normal 9 3 6 3 2" xfId="21833" xr:uid="{2387C447-9D98-4B6D-91DB-1ED7B64E2154}"/>
    <cellStyle name="Normal 9 3 6 3 3" xfId="14212" xr:uid="{6A44EC24-7528-4F72-B54D-64D571BB341A}"/>
    <cellStyle name="Normal 9 3 6 4" xfId="17620" xr:uid="{AA7B9FE4-9185-49A8-B1DC-21AC2346F63B}"/>
    <cellStyle name="Normal 9 3 6 5" xfId="9999" xr:uid="{9C700F0B-F823-44E3-8736-5D5605DD73E4}"/>
    <cellStyle name="Normal 9 3 7" xfId="1823" xr:uid="{00000000-0005-0000-0000-00003E200000}"/>
    <cellStyle name="Normal 9 3 7 2" xfId="4053" xr:uid="{00000000-0005-0000-0000-00003F200000}"/>
    <cellStyle name="Normal 9 3 7 2 2" xfId="8275" xr:uid="{00000000-0005-0000-0000-000040200000}"/>
    <cellStyle name="Normal 9 3 7 2 2 2" xfId="24391" xr:uid="{C0CC6FE8-8763-476D-8A1F-F66FD53E8DE2}"/>
    <cellStyle name="Normal 9 3 7 2 2 3" xfId="16770" xr:uid="{F784A75B-DC91-4AEA-A0E0-A86A2B81A397}"/>
    <cellStyle name="Normal 9 3 7 2 3" xfId="20178" xr:uid="{9E0F2F91-0064-48D0-9F6C-6268571EA292}"/>
    <cellStyle name="Normal 9 3 7 2 4" xfId="12557" xr:uid="{DE03ECBE-9C8F-4D06-BF77-43B6CE554820}"/>
    <cellStyle name="Normal 9 3 7 3" xfId="6130" xr:uid="{00000000-0005-0000-0000-000041200000}"/>
    <cellStyle name="Normal 9 3 7 3 2" xfId="22246" xr:uid="{B96F7FC9-C480-4B36-96C3-55D4720C83E2}"/>
    <cellStyle name="Normal 9 3 7 3 3" xfId="14625" xr:uid="{467C3299-2586-4C30-83CF-B6B870982C5E}"/>
    <cellStyle name="Normal 9 3 7 4" xfId="18033" xr:uid="{6D15B66E-8A1A-4E80-AA44-E651A717ED61}"/>
    <cellStyle name="Normal 9 3 7 5" xfId="10412" xr:uid="{91E780D9-E5D1-479E-B343-FB5AED75485D}"/>
    <cellStyle name="Normal 9 3 8" xfId="2237" xr:uid="{00000000-0005-0000-0000-000042200000}"/>
    <cellStyle name="Normal 9 3 8 2" xfId="4466" xr:uid="{00000000-0005-0000-0000-000043200000}"/>
    <cellStyle name="Normal 9 3 8 2 2" xfId="8688" xr:uid="{00000000-0005-0000-0000-000044200000}"/>
    <cellStyle name="Normal 9 3 8 2 2 2" xfId="24804" xr:uid="{7294DDDA-07A5-457D-9519-05BEB8682894}"/>
    <cellStyle name="Normal 9 3 8 2 2 3" xfId="17183" xr:uid="{5B941663-53AD-4FAB-A05A-E71567CCC214}"/>
    <cellStyle name="Normal 9 3 8 2 3" xfId="20591" xr:uid="{2E5CE47D-2D7B-4C03-A709-3161168C8183}"/>
    <cellStyle name="Normal 9 3 8 2 4" xfId="12970" xr:uid="{C6F984B0-E9C8-49BD-AB4E-3F44DE499DF4}"/>
    <cellStyle name="Normal 9 3 8 3" xfId="6543" xr:uid="{00000000-0005-0000-0000-000045200000}"/>
    <cellStyle name="Normal 9 3 8 3 2" xfId="22659" xr:uid="{DEDCBCFA-BBBC-4378-80A7-20224040926A}"/>
    <cellStyle name="Normal 9 3 8 3 3" xfId="15038" xr:uid="{4C21F439-0867-4599-A813-B5015B5CADE2}"/>
    <cellStyle name="Normal 9 3 8 4" xfId="18446" xr:uid="{49EE850D-287E-4C23-A42F-ACB804A274E1}"/>
    <cellStyle name="Normal 9 3 8 5" xfId="10825" xr:uid="{92CA9DC9-214E-4494-AB2C-6331164830FE}"/>
    <cellStyle name="Normal 9 3 9" xfId="2673" xr:uid="{00000000-0005-0000-0000-000046200000}"/>
    <cellStyle name="Normal 9 3 9 2" xfId="6956" xr:uid="{00000000-0005-0000-0000-000047200000}"/>
    <cellStyle name="Normal 9 3 9 2 2" xfId="23072" xr:uid="{5E6563CE-157E-406B-B8D8-683B8C12EE65}"/>
    <cellStyle name="Normal 9 3 9 2 3" xfId="15451" xr:uid="{4B44F94D-5FAF-4FF4-A2A6-8CAB81023DED}"/>
    <cellStyle name="Normal 9 3 9 3" xfId="18859" xr:uid="{C3F4CFA3-B56C-40F0-97C0-7057934DD8FE}"/>
    <cellStyle name="Normal 9 3 9 4" xfId="11238" xr:uid="{669B6E00-6720-4B7F-A600-BAE352C2509B}"/>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23574" xr:uid="{CA8AB420-CEB0-4144-A147-FDC0217BDC51}"/>
    <cellStyle name="Normal 9 5 2 2 2 2 3" xfId="15953" xr:uid="{218AFB96-800E-494D-B835-3989623B78B2}"/>
    <cellStyle name="Normal 9 5 2 2 2 3" xfId="19361" xr:uid="{7DFA750B-577E-4790-B2A3-146DE924B646}"/>
    <cellStyle name="Normal 9 5 2 2 2 4" xfId="11740" xr:uid="{91ADA3A6-7FAB-4F29-A3E0-00D664110D4B}"/>
    <cellStyle name="Normal 9 5 2 2 3" xfId="5313" xr:uid="{00000000-0005-0000-0000-00004F200000}"/>
    <cellStyle name="Normal 9 5 2 2 3 2" xfId="21429" xr:uid="{49F9A4C7-D883-40B8-9233-10C6E9141BE8}"/>
    <cellStyle name="Normal 9 5 2 2 3 3" xfId="13808" xr:uid="{9939F291-C3B7-4C01-BABC-6E4E708FAD82}"/>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2 2 2" xfId="23987" xr:uid="{3F1AFB78-570D-4816-A2DB-E9D4A2EDB666}"/>
    <cellStyle name="Normal 9 5 2 3 2 2 3" xfId="16366" xr:uid="{75A42587-3DFF-4F5F-B37A-580130E59B39}"/>
    <cellStyle name="Normal 9 5 2 3 2 3" xfId="19774" xr:uid="{F5D9FEFD-58E8-4C28-94CF-DF99099992F6}"/>
    <cellStyle name="Normal 9 5 2 3 2 4" xfId="12153" xr:uid="{A8F16AD5-FC8A-405A-8FDD-31015BA33BDD}"/>
    <cellStyle name="Normal 9 5 2 3 3" xfId="5726" xr:uid="{00000000-0005-0000-0000-000053200000}"/>
    <cellStyle name="Normal 9 5 2 3 3 2" xfId="21842" xr:uid="{36D62470-2F6E-4A9E-8ACA-AD294EE59D9F}"/>
    <cellStyle name="Normal 9 5 2 3 3 3" xfId="14221" xr:uid="{CE33A8CA-2B2A-4CC6-8C47-4EF0D89CFA43}"/>
    <cellStyle name="Normal 9 5 2 3 4" xfId="17629" xr:uid="{AFA99E90-0522-47B6-8FD7-EC414129E517}"/>
    <cellStyle name="Normal 9 5 2 3 5" xfId="10008" xr:uid="{0F504407-646E-4502-8C39-A4C0945D349A}"/>
    <cellStyle name="Normal 9 5 2 4" xfId="1832" xr:uid="{00000000-0005-0000-0000-000054200000}"/>
    <cellStyle name="Normal 9 5 2 4 2" xfId="4062" xr:uid="{00000000-0005-0000-0000-000055200000}"/>
    <cellStyle name="Normal 9 5 2 4 2 2" xfId="8284" xr:uid="{00000000-0005-0000-0000-000056200000}"/>
    <cellStyle name="Normal 9 5 2 4 2 2 2" xfId="24400" xr:uid="{4E083303-EA01-4A25-A792-0DCFCD984EDD}"/>
    <cellStyle name="Normal 9 5 2 4 2 2 3" xfId="16779" xr:uid="{68D52128-D969-4911-ACDE-A18F5F2030C8}"/>
    <cellStyle name="Normal 9 5 2 4 2 3" xfId="20187" xr:uid="{25925244-F0E1-4353-BE9A-917824AE2A67}"/>
    <cellStyle name="Normal 9 5 2 4 2 4" xfId="12566" xr:uid="{EBA96EDA-ACAD-4B45-A24B-668BC625C120}"/>
    <cellStyle name="Normal 9 5 2 4 3" xfId="6139" xr:uid="{00000000-0005-0000-0000-000057200000}"/>
    <cellStyle name="Normal 9 5 2 4 3 2" xfId="22255" xr:uid="{C3096AC2-3E03-47AF-BD2E-96C9CA081226}"/>
    <cellStyle name="Normal 9 5 2 4 3 3" xfId="14634" xr:uid="{E7A522B5-7A50-4CD8-83E1-3F93F172304A}"/>
    <cellStyle name="Normal 9 5 2 4 4" xfId="18042" xr:uid="{209216D4-538F-4F7B-B46C-D6F6A2305E5D}"/>
    <cellStyle name="Normal 9 5 2 4 5" xfId="10421" xr:uid="{4B5F3340-F238-489A-A99C-F20DB93B1CA1}"/>
    <cellStyle name="Normal 9 5 2 5" xfId="2246" xr:uid="{00000000-0005-0000-0000-000058200000}"/>
    <cellStyle name="Normal 9 5 2 5 2" xfId="4475" xr:uid="{00000000-0005-0000-0000-000059200000}"/>
    <cellStyle name="Normal 9 5 2 5 2 2" xfId="8697" xr:uid="{00000000-0005-0000-0000-00005A200000}"/>
    <cellStyle name="Normal 9 5 2 5 2 2 2" xfId="24813" xr:uid="{78F937CE-26EC-45A2-9FCA-830B84787C9C}"/>
    <cellStyle name="Normal 9 5 2 5 2 2 3" xfId="17192" xr:uid="{5E86BDC4-77DA-4DCF-A6E7-DE95B7838A49}"/>
    <cellStyle name="Normal 9 5 2 5 2 3" xfId="20600" xr:uid="{484A3583-2813-4A5C-9593-40AA63300699}"/>
    <cellStyle name="Normal 9 5 2 5 2 4" xfId="12979" xr:uid="{4AF93B45-C298-4FEF-BC7A-4E09E3E879BB}"/>
    <cellStyle name="Normal 9 5 2 5 3" xfId="6552" xr:uid="{00000000-0005-0000-0000-00005B200000}"/>
    <cellStyle name="Normal 9 5 2 5 3 2" xfId="22668" xr:uid="{79051E9E-2866-4E01-A72D-B7E455362A8E}"/>
    <cellStyle name="Normal 9 5 2 5 3 3" xfId="15047" xr:uid="{4D0FDDD4-C9F4-4470-9377-8F7D68BD0193}"/>
    <cellStyle name="Normal 9 5 2 5 4" xfId="18455" xr:uid="{2109AF04-92E2-48BD-96B5-7105C32FAE10}"/>
    <cellStyle name="Normal 9 5 2 5 5" xfId="10834" xr:uid="{B9371B52-61BA-4760-A024-4D6F2767BE75}"/>
    <cellStyle name="Normal 9 5 2 6" xfId="2682" xr:uid="{00000000-0005-0000-0000-00005C200000}"/>
    <cellStyle name="Normal 9 5 2 6 2" xfId="6965" xr:uid="{00000000-0005-0000-0000-00005D200000}"/>
    <cellStyle name="Normal 9 5 2 6 2 2" xfId="23081" xr:uid="{2E15C6A2-7130-4630-B16C-2495DB7E27CF}"/>
    <cellStyle name="Normal 9 5 2 6 2 3" xfId="15460" xr:uid="{38665E3F-B7AF-4E41-BFDB-6884EDCC6E12}"/>
    <cellStyle name="Normal 9 5 2 6 3" xfId="18868" xr:uid="{2E119DD7-2815-47CA-ABC2-7E2A4D45E33F}"/>
    <cellStyle name="Normal 9 5 2 6 4" xfId="11247" xr:uid="{13A0FFB5-803F-48C1-A0AB-92FF21EEB716}"/>
    <cellStyle name="Normal 9 5 2 7" xfId="4900" xr:uid="{00000000-0005-0000-0000-00005E200000}"/>
    <cellStyle name="Normal 9 5 2 7 2" xfId="21016" xr:uid="{FC555D78-5638-429B-9178-ABAFB7E271B0}"/>
    <cellStyle name="Normal 9 5 2 7 3" xfId="13395" xr:uid="{374456F2-E963-4428-909B-E8EA3DD8A88C}"/>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2 2 2" xfId="23573" xr:uid="{C7D02821-D287-4FD2-986C-EC59F0AAC490}"/>
    <cellStyle name="Normal 9 5 3 2 2 3" xfId="15952" xr:uid="{776F8F2A-35C1-4A58-8EE0-E732A90E824D}"/>
    <cellStyle name="Normal 9 5 3 2 3" xfId="19360" xr:uid="{A1F076EC-B682-4411-B54C-BA9CB0E287E3}"/>
    <cellStyle name="Normal 9 5 3 2 4" xfId="11739" xr:uid="{CB5E0EA5-71FD-4320-8430-1C01B3259557}"/>
    <cellStyle name="Normal 9 5 3 3" xfId="5312" xr:uid="{00000000-0005-0000-0000-000062200000}"/>
    <cellStyle name="Normal 9 5 3 3 2" xfId="21428" xr:uid="{8B340715-713A-4893-A2D9-FFB025F29AE4}"/>
    <cellStyle name="Normal 9 5 3 3 3" xfId="13807" xr:uid="{4F5AC625-5C99-41BF-B59D-03FA45B1C43F}"/>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2 2 2" xfId="23986" xr:uid="{B88DBA35-D8F1-4EE9-B02F-6E1CB919DC23}"/>
    <cellStyle name="Normal 9 5 4 2 2 3" xfId="16365" xr:uid="{15FD0B3A-EA63-49BA-9CC1-0A0D2865FE97}"/>
    <cellStyle name="Normal 9 5 4 2 3" xfId="19773" xr:uid="{44DC1042-8781-4354-B66D-049574D1C573}"/>
    <cellStyle name="Normal 9 5 4 2 4" xfId="12152" xr:uid="{C64703C4-0E76-4207-81FA-6C49C5C9C74B}"/>
    <cellStyle name="Normal 9 5 4 3" xfId="5725" xr:uid="{00000000-0005-0000-0000-000066200000}"/>
    <cellStyle name="Normal 9 5 4 3 2" xfId="21841" xr:uid="{6CC773B8-3A2B-4612-AF06-A1BC7A314D35}"/>
    <cellStyle name="Normal 9 5 4 3 3" xfId="14220" xr:uid="{D422EFD5-1D1D-4C6B-A272-5295554CCAD9}"/>
    <cellStyle name="Normal 9 5 4 4" xfId="17628" xr:uid="{46FE3DD7-6C6A-455A-BA78-B0A4FD45C8EA}"/>
    <cellStyle name="Normal 9 5 4 5" xfId="10007" xr:uid="{A26E7846-358D-44BF-B763-131AE26AA8F0}"/>
    <cellStyle name="Normal 9 5 5" xfId="1831" xr:uid="{00000000-0005-0000-0000-000067200000}"/>
    <cellStyle name="Normal 9 5 5 2" xfId="4061" xr:uid="{00000000-0005-0000-0000-000068200000}"/>
    <cellStyle name="Normal 9 5 5 2 2" xfId="8283" xr:uid="{00000000-0005-0000-0000-000069200000}"/>
    <cellStyle name="Normal 9 5 5 2 2 2" xfId="24399" xr:uid="{18BC0667-0C01-4F75-9BC5-95F8762742B5}"/>
    <cellStyle name="Normal 9 5 5 2 2 3" xfId="16778" xr:uid="{0443DDD6-6540-48BA-981F-0A9F6543E8F7}"/>
    <cellStyle name="Normal 9 5 5 2 3" xfId="20186" xr:uid="{5E92BF42-0A2D-431F-BDCB-B6B8DC7F25D9}"/>
    <cellStyle name="Normal 9 5 5 2 4" xfId="12565" xr:uid="{1F8B5F45-371C-4CB8-B822-F090B97B5F5D}"/>
    <cellStyle name="Normal 9 5 5 3" xfId="6138" xr:uid="{00000000-0005-0000-0000-00006A200000}"/>
    <cellStyle name="Normal 9 5 5 3 2" xfId="22254" xr:uid="{DF5D2BF5-3272-47CB-A791-71896563B051}"/>
    <cellStyle name="Normal 9 5 5 3 3" xfId="14633" xr:uid="{A7645113-D9DA-420F-B95A-D2FF955E023E}"/>
    <cellStyle name="Normal 9 5 5 4" xfId="18041" xr:uid="{6286E771-6547-4A00-9DAA-AB6F0E0DE096}"/>
    <cellStyle name="Normal 9 5 5 5" xfId="10420" xr:uid="{7D6C5BAC-BDCA-4181-8456-DAB1A87B09CA}"/>
    <cellStyle name="Normal 9 5 6" xfId="2245" xr:uid="{00000000-0005-0000-0000-00006B200000}"/>
    <cellStyle name="Normal 9 5 6 2" xfId="4474" xr:uid="{00000000-0005-0000-0000-00006C200000}"/>
    <cellStyle name="Normal 9 5 6 2 2" xfId="8696" xr:uid="{00000000-0005-0000-0000-00006D200000}"/>
    <cellStyle name="Normal 9 5 6 2 2 2" xfId="24812" xr:uid="{DAFA0BC7-E789-44BE-A12F-8A8C9DAC9CCB}"/>
    <cellStyle name="Normal 9 5 6 2 2 3" xfId="17191" xr:uid="{047B28F6-DDC1-46AE-9951-ACE5A440BDA7}"/>
    <cellStyle name="Normal 9 5 6 2 3" xfId="20599" xr:uid="{72EE928E-C9B6-4DC4-9152-1656F32AE881}"/>
    <cellStyle name="Normal 9 5 6 2 4" xfId="12978" xr:uid="{476241EE-89E3-4E62-8177-38CA9E6887D7}"/>
    <cellStyle name="Normal 9 5 6 3" xfId="6551" xr:uid="{00000000-0005-0000-0000-00006E200000}"/>
    <cellStyle name="Normal 9 5 6 3 2" xfId="22667" xr:uid="{AE323BEA-5E7D-4D9F-8492-CC55585D4A71}"/>
    <cellStyle name="Normal 9 5 6 3 3" xfId="15046" xr:uid="{C5FDDD5A-918B-4528-BFB4-1704DE05BCDE}"/>
    <cellStyle name="Normal 9 5 6 4" xfId="18454" xr:uid="{06395B6D-B6EA-4C32-AC24-92D066D4E41D}"/>
    <cellStyle name="Normal 9 5 6 5" xfId="10833" xr:uid="{92DFD49B-F878-4F6F-8238-760527703E55}"/>
    <cellStyle name="Normal 9 5 7" xfId="2681" xr:uid="{00000000-0005-0000-0000-00006F200000}"/>
    <cellStyle name="Normal 9 5 7 2" xfId="6964" xr:uid="{00000000-0005-0000-0000-000070200000}"/>
    <cellStyle name="Normal 9 5 7 2 2" xfId="23080" xr:uid="{9E6C9E00-5750-4CF6-BB11-F4F5050A6B2E}"/>
    <cellStyle name="Normal 9 5 7 2 3" xfId="15459" xr:uid="{94233349-B91F-45FA-8B7C-2AC694134ADF}"/>
    <cellStyle name="Normal 9 5 7 3" xfId="18867" xr:uid="{4BFD2051-838C-4256-A7E1-5242F829C547}"/>
    <cellStyle name="Normal 9 5 7 4" xfId="11246" xr:uid="{C0563832-9081-4666-BA87-033ED64058A9}"/>
    <cellStyle name="Normal 9 5 8" xfId="4899" xr:uid="{00000000-0005-0000-0000-000071200000}"/>
    <cellStyle name="Normal 9 5 8 2" xfId="21015" xr:uid="{C7127498-E92D-4BD3-9B81-0A7354171561}"/>
    <cellStyle name="Normal 9 5 8 3" xfId="13394" xr:uid="{D69F313C-DF17-43B6-AB51-6E61A6527818}"/>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23575" xr:uid="{123EF5E3-6E4F-431C-BE5B-82B8A8129E13}"/>
    <cellStyle name="Normal 9 6 2 2 2 3" xfId="15954" xr:uid="{1C0F3905-B804-4E86-9E5D-9D33453783E3}"/>
    <cellStyle name="Normal 9 6 2 2 3" xfId="19362" xr:uid="{B7A527B1-0968-4D8C-90E4-DDC62B9A980A}"/>
    <cellStyle name="Normal 9 6 2 2 4" xfId="11741" xr:uid="{C8520705-CDD8-4DE6-AB62-26E92CF25C04}"/>
    <cellStyle name="Normal 9 6 2 3" xfId="5314" xr:uid="{00000000-0005-0000-0000-000076200000}"/>
    <cellStyle name="Normal 9 6 2 3 2" xfId="21430" xr:uid="{C65AADCA-1CF0-4920-B31D-F9BAF2E005EC}"/>
    <cellStyle name="Normal 9 6 2 3 3" xfId="13809" xr:uid="{22D46069-E755-4755-82C5-3C8FD716590D}"/>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2 2 2" xfId="23988" xr:uid="{18E9D53C-44E3-4A13-8B0D-6BAF3E592CA8}"/>
    <cellStyle name="Normal 9 6 3 2 2 3" xfId="16367" xr:uid="{CEC0BE42-5824-4E84-A3BE-E852DB8B6B54}"/>
    <cellStyle name="Normal 9 6 3 2 3" xfId="19775" xr:uid="{AB24F430-42E4-4BC2-B981-0D5A98C6C3E3}"/>
    <cellStyle name="Normal 9 6 3 2 4" xfId="12154" xr:uid="{77D14B58-FE48-4161-8992-639C178CB802}"/>
    <cellStyle name="Normal 9 6 3 3" xfId="5727" xr:uid="{00000000-0005-0000-0000-00007A200000}"/>
    <cellStyle name="Normal 9 6 3 3 2" xfId="21843" xr:uid="{1EF3541F-3DE4-43C6-9BAD-6189DC969DF1}"/>
    <cellStyle name="Normal 9 6 3 3 3" xfId="14222" xr:uid="{B0582725-E4CB-48DA-ADB7-D279D587C7E5}"/>
    <cellStyle name="Normal 9 6 3 4" xfId="17630" xr:uid="{02CFA71B-CD06-461B-AEEF-BE6B416FE044}"/>
    <cellStyle name="Normal 9 6 3 5" xfId="10009" xr:uid="{E16DEA81-AC9F-4901-9C23-8DDA565677E8}"/>
    <cellStyle name="Normal 9 6 4" xfId="1833" xr:uid="{00000000-0005-0000-0000-00007B200000}"/>
    <cellStyle name="Normal 9 6 4 2" xfId="4063" xr:uid="{00000000-0005-0000-0000-00007C200000}"/>
    <cellStyle name="Normal 9 6 4 2 2" xfId="8285" xr:uid="{00000000-0005-0000-0000-00007D200000}"/>
    <cellStyle name="Normal 9 6 4 2 2 2" xfId="24401" xr:uid="{B2BEE5E2-6B39-4C76-A7DA-C1B8398744CA}"/>
    <cellStyle name="Normal 9 6 4 2 2 3" xfId="16780" xr:uid="{53BED0E0-89A2-420F-9F15-86A1C77895A4}"/>
    <cellStyle name="Normal 9 6 4 2 3" xfId="20188" xr:uid="{EA60F44F-B020-4089-8B9D-A76DCA9C22B3}"/>
    <cellStyle name="Normal 9 6 4 2 4" xfId="12567" xr:uid="{DFFFD186-F43B-4059-A882-7BDF8FA77C5F}"/>
    <cellStyle name="Normal 9 6 4 3" xfId="6140" xr:uid="{00000000-0005-0000-0000-00007E200000}"/>
    <cellStyle name="Normal 9 6 4 3 2" xfId="22256" xr:uid="{D602E5D5-8FC3-4C79-9D98-641BA1FFFF10}"/>
    <cellStyle name="Normal 9 6 4 3 3" xfId="14635" xr:uid="{6490BD5C-5147-4979-99E4-9DA8ABEE749E}"/>
    <cellStyle name="Normal 9 6 4 4" xfId="18043" xr:uid="{37B75A60-0C9F-4A74-A2C1-257A8BF6AEAE}"/>
    <cellStyle name="Normal 9 6 4 5" xfId="10422" xr:uid="{BC78672F-0343-41FC-A631-BA904175DB53}"/>
    <cellStyle name="Normal 9 6 5" xfId="2247" xr:uid="{00000000-0005-0000-0000-00007F200000}"/>
    <cellStyle name="Normal 9 6 5 2" xfId="4476" xr:uid="{00000000-0005-0000-0000-000080200000}"/>
    <cellStyle name="Normal 9 6 5 2 2" xfId="8698" xr:uid="{00000000-0005-0000-0000-000081200000}"/>
    <cellStyle name="Normal 9 6 5 2 2 2" xfId="24814" xr:uid="{304A64B8-7BBD-4E97-825D-2F96A70AFF21}"/>
    <cellStyle name="Normal 9 6 5 2 2 3" xfId="17193" xr:uid="{DA329FF7-ECD5-4957-A83A-283BCD2AB407}"/>
    <cellStyle name="Normal 9 6 5 2 3" xfId="20601" xr:uid="{90F50EC2-2B22-4DE5-BF4A-AC9FAF7F0441}"/>
    <cellStyle name="Normal 9 6 5 2 4" xfId="12980" xr:uid="{6E853820-D8F4-4743-BEDF-9CB5E7C49700}"/>
    <cellStyle name="Normal 9 6 5 3" xfId="6553" xr:uid="{00000000-0005-0000-0000-000082200000}"/>
    <cellStyle name="Normal 9 6 5 3 2" xfId="22669" xr:uid="{4D9CEC09-827E-4159-9830-820B0FAA8C3D}"/>
    <cellStyle name="Normal 9 6 5 3 3" xfId="15048" xr:uid="{1905C3CC-4FEE-4B8D-ABE0-330DDE80A904}"/>
    <cellStyle name="Normal 9 6 5 4" xfId="18456" xr:uid="{0A5CC6A0-4B70-43EA-A3CC-64FD75BFA008}"/>
    <cellStyle name="Normal 9 6 5 5" xfId="10835" xr:uid="{A8E98C68-86BA-419E-90F4-834F60AA4FAE}"/>
    <cellStyle name="Normal 9 6 6" xfId="2683" xr:uid="{00000000-0005-0000-0000-000083200000}"/>
    <cellStyle name="Normal 9 6 6 2" xfId="6966" xr:uid="{00000000-0005-0000-0000-000084200000}"/>
    <cellStyle name="Normal 9 6 6 2 2" xfId="23082" xr:uid="{5BC4128A-4AFA-493A-A0DD-A242744CCFEA}"/>
    <cellStyle name="Normal 9 6 6 2 3" xfId="15461" xr:uid="{7E28048F-2C3E-4227-94B8-B51E7BBE65A3}"/>
    <cellStyle name="Normal 9 6 6 3" xfId="18869" xr:uid="{65502147-7395-4FEF-A7E5-624317378086}"/>
    <cellStyle name="Normal 9 6 6 4" xfId="11248" xr:uid="{2E524682-58D8-45E0-87D3-9BB10C760B55}"/>
    <cellStyle name="Normal 9 6 7" xfId="4901" xr:uid="{00000000-0005-0000-0000-000085200000}"/>
    <cellStyle name="Normal 9 6 7 2" xfId="21017" xr:uid="{9FE3769E-810A-42CD-A67A-FBE7E9BA4113}"/>
    <cellStyle name="Normal 9 6 7 3" xfId="13396" xr:uid="{57A50CCD-19F6-4D6B-A0A0-94518A755765}"/>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23163" xr:uid="{25BD84FE-362C-40CD-91B5-73EC150E0BB2}"/>
    <cellStyle name="Note 2 2 10 2 3" xfId="15542" xr:uid="{5F52C043-993C-4AF3-A580-D68EAC928FD4}"/>
    <cellStyle name="Note 2 2 10 3" xfId="18950" xr:uid="{EB74B333-BC97-4CD6-B4C8-DECEB247424C}"/>
    <cellStyle name="Note 2 2 10 4" xfId="11329" xr:uid="{BCD112CE-31B9-43EF-BF8F-F45203D32A39}"/>
    <cellStyle name="Note 2 2 11" xfId="4902" xr:uid="{00000000-0005-0000-0000-000094200000}"/>
    <cellStyle name="Note 2 2 11 2" xfId="21018" xr:uid="{254ED71D-3B0D-4BFA-8E06-6D856D318CB4}"/>
    <cellStyle name="Note 2 2 11 3" xfId="13397" xr:uid="{1E75CAA5-53B2-4EE6-9AF6-916834083A59}"/>
    <cellStyle name="Note 2 2 12" xfId="8841" xr:uid="{E94E1FD8-31C4-4718-9658-C7A587CBF323}"/>
    <cellStyle name="Note 2 2 2" xfId="546" xr:uid="{00000000-0005-0000-0000-000095200000}"/>
    <cellStyle name="Note 2 2 2 10" xfId="4903" xr:uid="{00000000-0005-0000-0000-000096200000}"/>
    <cellStyle name="Note 2 2 2 10 2" xfId="21019" xr:uid="{D5CFB6BF-2959-4D0B-AEE6-EC24D9C03E2A}"/>
    <cellStyle name="Note 2 2 2 10 3" xfId="13398" xr:uid="{0A0F0B36-8DCD-4F54-AA40-FF1F683A779B}"/>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2 2 2" xfId="23578" xr:uid="{01D8C3FA-B981-4E00-B163-6D177A3B6A22}"/>
    <cellStyle name="Note 2 2 2 2 2 2 2 3" xfId="15957" xr:uid="{27C7ECCD-45C6-4F1B-899A-C72CB406ECAB}"/>
    <cellStyle name="Note 2 2 2 2 2 2 3" xfId="19365" xr:uid="{ECFAFE4A-BF98-4694-88CE-6DE20ED8869E}"/>
    <cellStyle name="Note 2 2 2 2 2 2 4" xfId="11744" xr:uid="{30121A56-AE78-4B17-A8E1-9862863D5B34}"/>
    <cellStyle name="Note 2 2 2 2 2 3" xfId="5317" xr:uid="{00000000-0005-0000-0000-00009B200000}"/>
    <cellStyle name="Note 2 2 2 2 2 3 2" xfId="21433" xr:uid="{8D9FE5EB-82F7-45AB-804C-22DAE7C66934}"/>
    <cellStyle name="Note 2 2 2 2 2 3 3" xfId="13812" xr:uid="{D91684B8-54A5-449F-83D1-34078E557D9A}"/>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2 2 2" xfId="23991" xr:uid="{E71B5440-9205-4F6D-A9A5-05DB371BECE1}"/>
    <cellStyle name="Note 2 2 2 2 3 2 2 3" xfId="16370" xr:uid="{5705C37B-01CC-461A-A6B3-33BF376C3227}"/>
    <cellStyle name="Note 2 2 2 2 3 2 3" xfId="19778" xr:uid="{681DBE4A-A739-415E-9B84-E85AE1935B31}"/>
    <cellStyle name="Note 2 2 2 2 3 2 4" xfId="12157" xr:uid="{812D4A4C-3BC9-49F3-9501-6A3EE24EAD34}"/>
    <cellStyle name="Note 2 2 2 2 3 3" xfId="5730" xr:uid="{00000000-0005-0000-0000-00009F200000}"/>
    <cellStyle name="Note 2 2 2 2 3 3 2" xfId="21846" xr:uid="{C0D812F5-3A89-4BBF-B2E9-31DA9F26CAD9}"/>
    <cellStyle name="Note 2 2 2 2 3 3 3" xfId="14225" xr:uid="{57AD517D-B406-4F64-BF5F-04621B2AFA26}"/>
    <cellStyle name="Note 2 2 2 2 3 4" xfId="17633" xr:uid="{1E032759-0C92-4519-9E97-1B7FB9CC6908}"/>
    <cellStyle name="Note 2 2 2 2 3 5" xfId="10012" xr:uid="{00FE0BDC-04A3-4DA0-A784-D31D9068F899}"/>
    <cellStyle name="Note 2 2 2 2 4" xfId="1837" xr:uid="{00000000-0005-0000-0000-0000A0200000}"/>
    <cellStyle name="Note 2 2 2 2 4 2" xfId="4066" xr:uid="{00000000-0005-0000-0000-0000A1200000}"/>
    <cellStyle name="Note 2 2 2 2 4 2 2" xfId="8288" xr:uid="{00000000-0005-0000-0000-0000A2200000}"/>
    <cellStyle name="Note 2 2 2 2 4 2 2 2" xfId="24404" xr:uid="{112B20C2-D123-4B95-814B-4E65E6ADE158}"/>
    <cellStyle name="Note 2 2 2 2 4 2 2 3" xfId="16783" xr:uid="{3020363E-3782-4863-9BB4-7DB3A80C9C7C}"/>
    <cellStyle name="Note 2 2 2 2 4 2 3" xfId="20191" xr:uid="{AAE6F837-48B3-4888-9E71-FFFC4F1D38E1}"/>
    <cellStyle name="Note 2 2 2 2 4 2 4" xfId="12570" xr:uid="{0389A801-3C74-45CD-94DF-9DB1D3F3C62E}"/>
    <cellStyle name="Note 2 2 2 2 4 3" xfId="6143" xr:uid="{00000000-0005-0000-0000-0000A3200000}"/>
    <cellStyle name="Note 2 2 2 2 4 3 2" xfId="22259" xr:uid="{D78170C0-14BE-48BB-AA6A-A9EB3E8954F6}"/>
    <cellStyle name="Note 2 2 2 2 4 3 3" xfId="14638" xr:uid="{E05B88F7-21F9-428B-AA18-585964718CAE}"/>
    <cellStyle name="Note 2 2 2 2 4 4" xfId="18046" xr:uid="{B69F8D1E-0479-472C-B872-0E14F795E7B3}"/>
    <cellStyle name="Note 2 2 2 2 4 5" xfId="10425" xr:uid="{64287AB3-880A-486B-899F-EA36EBAE226B}"/>
    <cellStyle name="Note 2 2 2 2 5" xfId="2250" xr:uid="{00000000-0005-0000-0000-0000A4200000}"/>
    <cellStyle name="Note 2 2 2 2 5 2" xfId="4479" xr:uid="{00000000-0005-0000-0000-0000A5200000}"/>
    <cellStyle name="Note 2 2 2 2 5 2 2" xfId="8701" xr:uid="{00000000-0005-0000-0000-0000A6200000}"/>
    <cellStyle name="Note 2 2 2 2 5 2 2 2" xfId="24817" xr:uid="{3EB3E777-7A2C-43D4-883C-8F14E18FB40B}"/>
    <cellStyle name="Note 2 2 2 2 5 2 2 3" xfId="17196" xr:uid="{1F0C75A1-90CE-4D53-AD1D-1D19A0D04720}"/>
    <cellStyle name="Note 2 2 2 2 5 2 3" xfId="20604" xr:uid="{80224CCE-DD0D-43A9-854D-CE3FA9496515}"/>
    <cellStyle name="Note 2 2 2 2 5 2 4" xfId="12983" xr:uid="{4AD7C711-A110-4229-B686-B293383EDEFD}"/>
    <cellStyle name="Note 2 2 2 2 5 3" xfId="6556" xr:uid="{00000000-0005-0000-0000-0000A7200000}"/>
    <cellStyle name="Note 2 2 2 2 5 3 2" xfId="22672" xr:uid="{934CAA5A-2430-4CC8-BCCA-41E6C701B7C5}"/>
    <cellStyle name="Note 2 2 2 2 5 3 3" xfId="15051" xr:uid="{F0886AE5-3EA1-40FF-831B-F1D373E33C98}"/>
    <cellStyle name="Note 2 2 2 2 5 4" xfId="18459" xr:uid="{1552F9F7-DFA2-483B-852D-4C6CBEE0181B}"/>
    <cellStyle name="Note 2 2 2 2 5 5" xfId="10838" xr:uid="{EB353461-7B9E-4E65-9FEA-BA1029501FC8}"/>
    <cellStyle name="Note 2 2 2 2 6" xfId="2686" xr:uid="{00000000-0005-0000-0000-0000A8200000}"/>
    <cellStyle name="Note 2 2 2 2 6 2" xfId="6969" xr:uid="{00000000-0005-0000-0000-0000A9200000}"/>
    <cellStyle name="Note 2 2 2 2 6 2 2" xfId="23085" xr:uid="{6B8F150F-FB3A-461F-8A8D-D7F85435F9AC}"/>
    <cellStyle name="Note 2 2 2 2 6 2 3" xfId="15464" xr:uid="{84F4E3DC-6C1A-4194-A645-B2656C10363F}"/>
    <cellStyle name="Note 2 2 2 2 6 3" xfId="18872" xr:uid="{3125DC06-AE08-42D3-8CC0-DBE0323995E0}"/>
    <cellStyle name="Note 2 2 2 2 6 4" xfId="11251" xr:uid="{CFF73234-C462-4A90-852F-83FCF9B1A3C8}"/>
    <cellStyle name="Note 2 2 2 2 7" xfId="2745" xr:uid="{00000000-0005-0000-0000-0000AA200000}"/>
    <cellStyle name="Note 2 2 2 2 8" xfId="2826" xr:uid="{00000000-0005-0000-0000-0000AB200000}"/>
    <cellStyle name="Note 2 2 2 2 8 2" xfId="7049" xr:uid="{00000000-0005-0000-0000-0000AC200000}"/>
    <cellStyle name="Note 2 2 2 2 8 2 2" xfId="23165" xr:uid="{C74B4524-29F2-47BE-A42C-358315B6C121}"/>
    <cellStyle name="Note 2 2 2 2 8 2 3" xfId="15544" xr:uid="{CF3BD68D-7806-48EF-9F75-14CE205BCCF7}"/>
    <cellStyle name="Note 2 2 2 2 8 3" xfId="18952" xr:uid="{9C701F81-0D19-49BC-B9BB-8DD5B5803269}"/>
    <cellStyle name="Note 2 2 2 2 8 4" xfId="11331" xr:uid="{79244B09-A474-4A73-8DC1-5CE544F1EBB2}"/>
    <cellStyle name="Note 2 2 2 2 9" xfId="4904" xr:uid="{00000000-0005-0000-0000-0000AD200000}"/>
    <cellStyle name="Note 2 2 2 2 9 2" xfId="21020" xr:uid="{D9E45FB3-F83B-4372-96B4-7C7820C676C7}"/>
    <cellStyle name="Note 2 2 2 2 9 3" xfId="13399" xr:uid="{606B026D-9C8E-422B-8B0F-31DA6F444B66}"/>
    <cellStyle name="Note 2 2 2 3" xfId="1007" xr:uid="{00000000-0005-0000-0000-0000AE200000}"/>
    <cellStyle name="Note 2 2 2 3 2" xfId="3239" xr:uid="{00000000-0005-0000-0000-0000AF200000}"/>
    <cellStyle name="Note 2 2 2 3 2 2" xfId="7461" xr:uid="{00000000-0005-0000-0000-0000B0200000}"/>
    <cellStyle name="Note 2 2 2 3 2 2 2" xfId="23577" xr:uid="{2AE26087-96DF-4B25-AC52-EC8485893172}"/>
    <cellStyle name="Note 2 2 2 3 2 2 3" xfId="15956" xr:uid="{3506CDF7-512D-4C5F-81C2-08F4D0900D1B}"/>
    <cellStyle name="Note 2 2 2 3 2 3" xfId="19364" xr:uid="{E7D62DC0-C2E6-4958-8F0F-E6FF2E5A3263}"/>
    <cellStyle name="Note 2 2 2 3 2 4" xfId="11743" xr:uid="{635896DC-83FE-4EE0-AF94-AACD08D78F5A}"/>
    <cellStyle name="Note 2 2 2 3 3" xfId="5316" xr:uid="{00000000-0005-0000-0000-0000B1200000}"/>
    <cellStyle name="Note 2 2 2 3 3 2" xfId="21432" xr:uid="{7FE9872A-F18D-4329-B99D-1765F344E2E8}"/>
    <cellStyle name="Note 2 2 2 3 3 3" xfId="13811" xr:uid="{6D24D6D0-46B3-472C-A7CA-AA93B16FAD55}"/>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2 2 2" xfId="23990" xr:uid="{DC15BD21-A33B-4236-A21C-D76376DA9235}"/>
    <cellStyle name="Note 2 2 2 4 2 2 3" xfId="16369" xr:uid="{242328D9-1592-4CD7-AAAC-D160E18603D1}"/>
    <cellStyle name="Note 2 2 2 4 2 3" xfId="19777" xr:uid="{807A4F2D-9B43-49DB-99A6-4CAAC5E7F487}"/>
    <cellStyle name="Note 2 2 2 4 2 4" xfId="12156" xr:uid="{71EA15A4-43E7-4DAF-8045-B200B74E8CA9}"/>
    <cellStyle name="Note 2 2 2 4 3" xfId="5729" xr:uid="{00000000-0005-0000-0000-0000B5200000}"/>
    <cellStyle name="Note 2 2 2 4 3 2" xfId="21845" xr:uid="{CEB3E7A0-5C78-4535-BD99-1736D040391E}"/>
    <cellStyle name="Note 2 2 2 4 3 3" xfId="14224" xr:uid="{1EA024C6-1E0F-4E8E-9B9D-AFCAAD351F11}"/>
    <cellStyle name="Note 2 2 2 4 4" xfId="17632" xr:uid="{912A5167-6005-4F94-872B-CC158CA1B651}"/>
    <cellStyle name="Note 2 2 2 4 5" xfId="10011" xr:uid="{B96347CB-7E97-4A18-AADD-7E19296759AB}"/>
    <cellStyle name="Note 2 2 2 5" xfId="1836" xr:uid="{00000000-0005-0000-0000-0000B6200000}"/>
    <cellStyle name="Note 2 2 2 5 2" xfId="4065" xr:uid="{00000000-0005-0000-0000-0000B7200000}"/>
    <cellStyle name="Note 2 2 2 5 2 2" xfId="8287" xr:uid="{00000000-0005-0000-0000-0000B8200000}"/>
    <cellStyle name="Note 2 2 2 5 2 2 2" xfId="24403" xr:uid="{54B46FC3-94EF-4355-805F-D6D76A0732C4}"/>
    <cellStyle name="Note 2 2 2 5 2 2 3" xfId="16782" xr:uid="{9B7E2233-87A6-4FF6-94CD-6A472F8DA96A}"/>
    <cellStyle name="Note 2 2 2 5 2 3" xfId="20190" xr:uid="{21975295-93E4-458F-B4EB-0DA3BD41408B}"/>
    <cellStyle name="Note 2 2 2 5 2 4" xfId="12569" xr:uid="{1AC782D6-00F7-4E13-80E0-85E260667551}"/>
    <cellStyle name="Note 2 2 2 5 3" xfId="6142" xr:uid="{00000000-0005-0000-0000-0000B9200000}"/>
    <cellStyle name="Note 2 2 2 5 3 2" xfId="22258" xr:uid="{42D62F0E-D52B-4B13-94E5-B6BA658DC51B}"/>
    <cellStyle name="Note 2 2 2 5 3 3" xfId="14637" xr:uid="{68881452-D888-42EF-9FDD-2F02E459EDB3}"/>
    <cellStyle name="Note 2 2 2 5 4" xfId="18045" xr:uid="{F2D44F0D-E785-4A29-B6A4-ACFAB0B4C89F}"/>
    <cellStyle name="Note 2 2 2 5 5" xfId="10424" xr:uid="{06F77825-D3A1-41F9-8E51-42119C90E1E9}"/>
    <cellStyle name="Note 2 2 2 6" xfId="2249" xr:uid="{00000000-0005-0000-0000-0000BA200000}"/>
    <cellStyle name="Note 2 2 2 6 2" xfId="4478" xr:uid="{00000000-0005-0000-0000-0000BB200000}"/>
    <cellStyle name="Note 2 2 2 6 2 2" xfId="8700" xr:uid="{00000000-0005-0000-0000-0000BC200000}"/>
    <cellStyle name="Note 2 2 2 6 2 2 2" xfId="24816" xr:uid="{0A17EA42-EAF0-414F-B25A-620F63545BA9}"/>
    <cellStyle name="Note 2 2 2 6 2 2 3" xfId="17195" xr:uid="{936B4264-3EE3-4094-9D90-E3E511DC0A14}"/>
    <cellStyle name="Note 2 2 2 6 2 3" xfId="20603" xr:uid="{F8F2ADA5-9F7A-486C-ADB3-6F89C66C14CA}"/>
    <cellStyle name="Note 2 2 2 6 2 4" xfId="12982" xr:uid="{EDD6F57C-F948-4D19-83FE-E59279212A6B}"/>
    <cellStyle name="Note 2 2 2 6 3" xfId="6555" xr:uid="{00000000-0005-0000-0000-0000BD200000}"/>
    <cellStyle name="Note 2 2 2 6 3 2" xfId="22671" xr:uid="{B5F08EFA-33F4-4F2A-BDAA-A5BBF7140681}"/>
    <cellStyle name="Note 2 2 2 6 3 3" xfId="15050" xr:uid="{F3E67B1A-2D04-489D-B4E4-74FD48B944A7}"/>
    <cellStyle name="Note 2 2 2 6 4" xfId="18458" xr:uid="{6DCD71ED-EB3A-4C4C-859C-5BEAC1B92B6D}"/>
    <cellStyle name="Note 2 2 2 6 5" xfId="10837" xr:uid="{D79DF45C-90C2-4E09-9404-4B02B307F688}"/>
    <cellStyle name="Note 2 2 2 7" xfId="2685" xr:uid="{00000000-0005-0000-0000-0000BE200000}"/>
    <cellStyle name="Note 2 2 2 7 2" xfId="6968" xr:uid="{00000000-0005-0000-0000-0000BF200000}"/>
    <cellStyle name="Note 2 2 2 7 2 2" xfId="23084" xr:uid="{E84656B5-D89F-4839-99A4-7EC9359940F9}"/>
    <cellStyle name="Note 2 2 2 7 2 3" xfId="15463" xr:uid="{BF17ACF6-3D1E-4EFD-9DFD-38E732AAE833}"/>
    <cellStyle name="Note 2 2 2 7 3" xfId="18871" xr:uid="{EFCBF34C-82E8-4718-B905-1A239DA03014}"/>
    <cellStyle name="Note 2 2 2 7 4" xfId="11250" xr:uid="{EABC9F6E-9E7C-4CE3-8063-6E2B7D790251}"/>
    <cellStyle name="Note 2 2 2 8" xfId="2744" xr:uid="{00000000-0005-0000-0000-0000C0200000}"/>
    <cellStyle name="Note 2 2 2 9" xfId="2825" xr:uid="{00000000-0005-0000-0000-0000C1200000}"/>
    <cellStyle name="Note 2 2 2 9 2" xfId="7048" xr:uid="{00000000-0005-0000-0000-0000C2200000}"/>
    <cellStyle name="Note 2 2 2 9 2 2" xfId="23164" xr:uid="{A9CE1841-A919-48B8-9AF2-1CB4A1B6F110}"/>
    <cellStyle name="Note 2 2 2 9 2 3" xfId="15543" xr:uid="{236FD055-5089-48FA-A591-9E3C78F9C9D2}"/>
    <cellStyle name="Note 2 2 2 9 3" xfId="18951" xr:uid="{9377FA87-99AD-4A5E-9281-596215986C76}"/>
    <cellStyle name="Note 2 2 2 9 4" xfId="11330" xr:uid="{27560644-CAFA-421B-84D8-520B6F12EB28}"/>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2 2 2" xfId="23579" xr:uid="{48F14F38-A12F-4ABF-96D7-A56CFC30F767}"/>
    <cellStyle name="Note 2 2 3 2 2 2 3" xfId="15958" xr:uid="{C178B03F-AD71-4D04-B0AF-756E10E51A7D}"/>
    <cellStyle name="Note 2 2 3 2 2 3" xfId="19366" xr:uid="{8D28B2FF-44FF-497A-8FF2-423B5C3641DC}"/>
    <cellStyle name="Note 2 2 3 2 2 4" xfId="11745" xr:uid="{4E349128-3326-40B3-9BF8-83484B0E928E}"/>
    <cellStyle name="Note 2 2 3 2 3" xfId="5318" xr:uid="{00000000-0005-0000-0000-0000C7200000}"/>
    <cellStyle name="Note 2 2 3 2 3 2" xfId="21434" xr:uid="{8654977F-BA58-4278-81D4-77D89056633B}"/>
    <cellStyle name="Note 2 2 3 2 3 3" xfId="13813" xr:uid="{97EC5393-BE06-47E2-8BBC-637CB2645DFE}"/>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2 2 2" xfId="23992" xr:uid="{05F79786-2453-4F04-8673-B15A8D198B9D}"/>
    <cellStyle name="Note 2 2 3 3 2 2 3" xfId="16371" xr:uid="{F0F7E6F2-53E1-4827-B5A1-FEB20246CDB4}"/>
    <cellStyle name="Note 2 2 3 3 2 3" xfId="19779" xr:uid="{89B2D9AE-81F2-4A29-AA8E-A282A9F9DA2F}"/>
    <cellStyle name="Note 2 2 3 3 2 4" xfId="12158" xr:uid="{6DE07DCE-0073-447F-A76B-FD319A6B7564}"/>
    <cellStyle name="Note 2 2 3 3 3" xfId="5731" xr:uid="{00000000-0005-0000-0000-0000CB200000}"/>
    <cellStyle name="Note 2 2 3 3 3 2" xfId="21847" xr:uid="{9EEF069F-7C2C-470D-BE4B-2EB941FD5206}"/>
    <cellStyle name="Note 2 2 3 3 3 3" xfId="14226" xr:uid="{2FEF5800-0899-4F84-AC8C-801621BE703D}"/>
    <cellStyle name="Note 2 2 3 3 4" xfId="17634" xr:uid="{E4AD400A-805F-4711-BAA9-C7F071DD9B3C}"/>
    <cellStyle name="Note 2 2 3 3 5" xfId="10013" xr:uid="{66C38DC9-3447-4012-B1F5-3C6D8FB4AC5A}"/>
    <cellStyle name="Note 2 2 3 4" xfId="1838" xr:uid="{00000000-0005-0000-0000-0000CC200000}"/>
    <cellStyle name="Note 2 2 3 4 2" xfId="4067" xr:uid="{00000000-0005-0000-0000-0000CD200000}"/>
    <cellStyle name="Note 2 2 3 4 2 2" xfId="8289" xr:uid="{00000000-0005-0000-0000-0000CE200000}"/>
    <cellStyle name="Note 2 2 3 4 2 2 2" xfId="24405" xr:uid="{A26C45B7-3906-4C0A-8D17-1FE599F3B2EC}"/>
    <cellStyle name="Note 2 2 3 4 2 2 3" xfId="16784" xr:uid="{12ED2419-09BD-4588-AA6E-40D1C30E8DDF}"/>
    <cellStyle name="Note 2 2 3 4 2 3" xfId="20192" xr:uid="{A0A79581-6EDA-4A7F-83A4-AFD501925F52}"/>
    <cellStyle name="Note 2 2 3 4 2 4" xfId="12571" xr:uid="{F8D312BB-4F94-4A42-8E43-D5DAA884DF2D}"/>
    <cellStyle name="Note 2 2 3 4 3" xfId="6144" xr:uid="{00000000-0005-0000-0000-0000CF200000}"/>
    <cellStyle name="Note 2 2 3 4 3 2" xfId="22260" xr:uid="{D3AC7187-DDE2-4301-9066-741A33B899C0}"/>
    <cellStyle name="Note 2 2 3 4 3 3" xfId="14639" xr:uid="{6323B4DA-FD50-4000-BD4B-9718A1319A79}"/>
    <cellStyle name="Note 2 2 3 4 4" xfId="18047" xr:uid="{3F19E5B4-9CB6-457E-BDB0-246B56B6D185}"/>
    <cellStyle name="Note 2 2 3 4 5" xfId="10426" xr:uid="{8EA5B235-A960-4E2F-A8B7-7E81C10A93F3}"/>
    <cellStyle name="Note 2 2 3 5" xfId="2251" xr:uid="{00000000-0005-0000-0000-0000D0200000}"/>
    <cellStyle name="Note 2 2 3 5 2" xfId="4480" xr:uid="{00000000-0005-0000-0000-0000D1200000}"/>
    <cellStyle name="Note 2 2 3 5 2 2" xfId="8702" xr:uid="{00000000-0005-0000-0000-0000D2200000}"/>
    <cellStyle name="Note 2 2 3 5 2 2 2" xfId="24818" xr:uid="{F52E5DB0-7255-4FFF-BD02-8718027DD185}"/>
    <cellStyle name="Note 2 2 3 5 2 2 3" xfId="17197" xr:uid="{2B8E0CC0-01CA-4865-A331-756091349856}"/>
    <cellStyle name="Note 2 2 3 5 2 3" xfId="20605" xr:uid="{D8564CD4-21F4-44E0-9736-81DDF7B7D7A2}"/>
    <cellStyle name="Note 2 2 3 5 2 4" xfId="12984" xr:uid="{30C01ECC-BCF4-4C58-8925-C8890B2FE7A1}"/>
    <cellStyle name="Note 2 2 3 5 3" xfId="6557" xr:uid="{00000000-0005-0000-0000-0000D3200000}"/>
    <cellStyle name="Note 2 2 3 5 3 2" xfId="22673" xr:uid="{B4FEB227-BFFC-4356-8D3F-05C74B89DE9E}"/>
    <cellStyle name="Note 2 2 3 5 3 3" xfId="15052" xr:uid="{F6853E65-8A38-411A-9131-09260558090A}"/>
    <cellStyle name="Note 2 2 3 5 4" xfId="18460" xr:uid="{6896B15A-CA88-4D35-A72D-70DAD179D2E3}"/>
    <cellStyle name="Note 2 2 3 5 5" xfId="10839" xr:uid="{CC77A5FE-869F-419A-AB20-4746B274641F}"/>
    <cellStyle name="Note 2 2 3 6" xfId="2687" xr:uid="{00000000-0005-0000-0000-0000D4200000}"/>
    <cellStyle name="Note 2 2 3 6 2" xfId="6970" xr:uid="{00000000-0005-0000-0000-0000D5200000}"/>
    <cellStyle name="Note 2 2 3 6 2 2" xfId="23086" xr:uid="{AE47ED08-5700-4E12-8166-C562F2508AD6}"/>
    <cellStyle name="Note 2 2 3 6 2 3" xfId="15465" xr:uid="{3EF8EF8A-E857-43CE-9BB9-37E685235D53}"/>
    <cellStyle name="Note 2 2 3 6 3" xfId="18873" xr:uid="{AD7AAA45-5B5A-4CE4-97B4-4E96102A849E}"/>
    <cellStyle name="Note 2 2 3 6 4" xfId="11252" xr:uid="{456BB3E2-05C9-4B65-8484-98BB66B618E6}"/>
    <cellStyle name="Note 2 2 3 7" xfId="2746" xr:uid="{00000000-0005-0000-0000-0000D6200000}"/>
    <cellStyle name="Note 2 2 3 8" xfId="2827" xr:uid="{00000000-0005-0000-0000-0000D7200000}"/>
    <cellStyle name="Note 2 2 3 8 2" xfId="7050" xr:uid="{00000000-0005-0000-0000-0000D8200000}"/>
    <cellStyle name="Note 2 2 3 8 2 2" xfId="23166" xr:uid="{55BDC3E6-8F75-462A-86DD-38E1F41EAD0E}"/>
    <cellStyle name="Note 2 2 3 8 2 3" xfId="15545" xr:uid="{1A79E255-E702-4F34-B9AC-E32B1474D5DA}"/>
    <cellStyle name="Note 2 2 3 8 3" xfId="18953" xr:uid="{B4C03E21-906C-4040-95C2-721587D08D7D}"/>
    <cellStyle name="Note 2 2 3 8 4" xfId="11332" xr:uid="{C0E12057-7EFE-4758-8246-48F8D1B4214A}"/>
    <cellStyle name="Note 2 2 3 9" xfId="4905" xr:uid="{00000000-0005-0000-0000-0000D9200000}"/>
    <cellStyle name="Note 2 2 3 9 2" xfId="21021" xr:uid="{4832E13A-FAE8-44E6-9482-2CF48379E239}"/>
    <cellStyle name="Note 2 2 3 9 3" xfId="13400" xr:uid="{C12890A6-936F-4BC9-B783-FCDA6CB4F5B4}"/>
    <cellStyle name="Note 2 2 4" xfId="1006" xr:uid="{00000000-0005-0000-0000-0000DA200000}"/>
    <cellStyle name="Note 2 2 4 2" xfId="3238" xr:uid="{00000000-0005-0000-0000-0000DB200000}"/>
    <cellStyle name="Note 2 2 4 2 2" xfId="7460" xr:uid="{00000000-0005-0000-0000-0000DC200000}"/>
    <cellStyle name="Note 2 2 4 2 2 2" xfId="23576" xr:uid="{71DF99E4-77F4-47DF-BF53-C9EAD557B2A5}"/>
    <cellStyle name="Note 2 2 4 2 2 3" xfId="15955" xr:uid="{D4892557-0EF8-4E2B-B9F0-2DEC83102DF6}"/>
    <cellStyle name="Note 2 2 4 2 3" xfId="19363" xr:uid="{EF920CBD-D4B3-4973-9DDF-B3CFE2072E58}"/>
    <cellStyle name="Note 2 2 4 2 4" xfId="11742" xr:uid="{10D75898-BCB1-489B-9B2B-ED0FF867B587}"/>
    <cellStyle name="Note 2 2 4 3" xfId="5315" xr:uid="{00000000-0005-0000-0000-0000DD200000}"/>
    <cellStyle name="Note 2 2 4 3 2" xfId="21431" xr:uid="{103934E9-59DA-45F5-B0AF-AD694A2A8880}"/>
    <cellStyle name="Note 2 2 4 3 3" xfId="13810" xr:uid="{0C9C8D9D-1E3B-4637-85F0-9AE1B80E8732}"/>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2 2 2" xfId="23989" xr:uid="{3EC7E4B0-1CB3-476F-8F57-E9DA3A90C880}"/>
    <cellStyle name="Note 2 2 5 2 2 3" xfId="16368" xr:uid="{AD3C2BA0-9030-4707-B8B4-9EE4657ADD94}"/>
    <cellStyle name="Note 2 2 5 2 3" xfId="19776" xr:uid="{5AA7EA67-28FB-47C4-B9C3-CE8C319FD099}"/>
    <cellStyle name="Note 2 2 5 2 4" xfId="12155" xr:uid="{E509BEC9-4B79-4806-9FA5-A413F67DD187}"/>
    <cellStyle name="Note 2 2 5 3" xfId="5728" xr:uid="{00000000-0005-0000-0000-0000E1200000}"/>
    <cellStyle name="Note 2 2 5 3 2" xfId="21844" xr:uid="{3CA34DCB-194F-4B03-AD40-E0AAC4F3A321}"/>
    <cellStyle name="Note 2 2 5 3 3" xfId="14223" xr:uid="{90D3CFF2-E7D9-4369-8A12-47C3B5BD0C7D}"/>
    <cellStyle name="Note 2 2 5 4" xfId="17631" xr:uid="{8795D19F-DAFC-4EF7-9E1D-2C3279261ADA}"/>
    <cellStyle name="Note 2 2 5 5" xfId="10010" xr:uid="{647A4E0E-3EA0-4947-99D3-744F38350FCC}"/>
    <cellStyle name="Note 2 2 6" xfId="1835" xr:uid="{00000000-0005-0000-0000-0000E2200000}"/>
    <cellStyle name="Note 2 2 6 2" xfId="4064" xr:uid="{00000000-0005-0000-0000-0000E3200000}"/>
    <cellStyle name="Note 2 2 6 2 2" xfId="8286" xr:uid="{00000000-0005-0000-0000-0000E4200000}"/>
    <cellStyle name="Note 2 2 6 2 2 2" xfId="24402" xr:uid="{54644E63-DBF5-4C3C-85E2-AC099F733FF2}"/>
    <cellStyle name="Note 2 2 6 2 2 3" xfId="16781" xr:uid="{3BD27929-B471-42F8-A9DA-FB93E8D2195A}"/>
    <cellStyle name="Note 2 2 6 2 3" xfId="20189" xr:uid="{6B2083CF-F6BC-4F1C-A46C-9F894A1A11D2}"/>
    <cellStyle name="Note 2 2 6 2 4" xfId="12568" xr:uid="{C023ACFF-AA7B-491B-8C7C-769183EFA584}"/>
    <cellStyle name="Note 2 2 6 3" xfId="6141" xr:uid="{00000000-0005-0000-0000-0000E5200000}"/>
    <cellStyle name="Note 2 2 6 3 2" xfId="22257" xr:uid="{FF6E902F-681E-47A0-B3A4-EFB2BBD86D28}"/>
    <cellStyle name="Note 2 2 6 3 3" xfId="14636" xr:uid="{2CDE3AE4-8675-413E-A45E-A688D35EE63A}"/>
    <cellStyle name="Note 2 2 6 4" xfId="18044" xr:uid="{24A25FE9-DEC4-4822-BC64-7850EFADABF3}"/>
    <cellStyle name="Note 2 2 6 5" xfId="10423" xr:uid="{2D0398C2-78A3-41EC-9C2A-C3D416688BEB}"/>
    <cellStyle name="Note 2 2 7" xfId="2248" xr:uid="{00000000-0005-0000-0000-0000E6200000}"/>
    <cellStyle name="Note 2 2 7 2" xfId="4477" xr:uid="{00000000-0005-0000-0000-0000E7200000}"/>
    <cellStyle name="Note 2 2 7 2 2" xfId="8699" xr:uid="{00000000-0005-0000-0000-0000E8200000}"/>
    <cellStyle name="Note 2 2 7 2 2 2" xfId="24815" xr:uid="{64F0A3DA-5301-4FCF-99BA-0664725BA8FD}"/>
    <cellStyle name="Note 2 2 7 2 2 3" xfId="17194" xr:uid="{F553057B-41CE-4252-A865-350EBCF57931}"/>
    <cellStyle name="Note 2 2 7 2 3" xfId="20602" xr:uid="{CB8D4182-CB38-4C92-B3F1-24E66EC65025}"/>
    <cellStyle name="Note 2 2 7 2 4" xfId="12981" xr:uid="{1CB24FD1-8F49-4488-A1A9-C5FB6499095C}"/>
    <cellStyle name="Note 2 2 7 3" xfId="6554" xr:uid="{00000000-0005-0000-0000-0000E9200000}"/>
    <cellStyle name="Note 2 2 7 3 2" xfId="22670" xr:uid="{21E159F9-EEA9-4E41-9EA7-C33D07576104}"/>
    <cellStyle name="Note 2 2 7 3 3" xfId="15049" xr:uid="{3674237F-ED95-4D0C-9D0E-D9139890FF69}"/>
    <cellStyle name="Note 2 2 7 4" xfId="18457" xr:uid="{71A2C47B-F7AC-4D69-BA5F-02D62DB4CC9A}"/>
    <cellStyle name="Note 2 2 7 5" xfId="10836" xr:uid="{7946E954-9268-4608-A338-39627EF6035E}"/>
    <cellStyle name="Note 2 2 8" xfId="2684" xr:uid="{00000000-0005-0000-0000-0000EA200000}"/>
    <cellStyle name="Note 2 2 8 2" xfId="6967" xr:uid="{00000000-0005-0000-0000-0000EB200000}"/>
    <cellStyle name="Note 2 2 8 2 2" xfId="23083" xr:uid="{A7F52CC6-1C88-4913-BC6C-9F97466BEF48}"/>
    <cellStyle name="Note 2 2 8 2 3" xfId="15462" xr:uid="{CA7C96BF-32F4-4C42-BCE8-687CE7B6E572}"/>
    <cellStyle name="Note 2 2 8 3" xfId="18870" xr:uid="{4E0F18EC-ACF8-469B-AD86-29B4A079DD92}"/>
    <cellStyle name="Note 2 2 8 4" xfId="11249" xr:uid="{51AA5D0D-1342-478F-9633-068ACD478A97}"/>
    <cellStyle name="Note 2 2 9" xfId="2743" xr:uid="{00000000-0005-0000-0000-0000EC200000}"/>
    <cellStyle name="Note 2 3" xfId="549" xr:uid="{00000000-0005-0000-0000-0000ED200000}"/>
    <cellStyle name="Note 2 3 10" xfId="4906" xr:uid="{00000000-0005-0000-0000-0000EE200000}"/>
    <cellStyle name="Note 2 3 10 2" xfId="21022" xr:uid="{ED76D22F-4D16-41FC-8589-981F64082A87}"/>
    <cellStyle name="Note 2 3 10 3" xfId="13401" xr:uid="{5F9D7FCD-27FA-4066-BE80-3E580A9D0155}"/>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2 2 2" xfId="23581" xr:uid="{21EDC6CD-B132-4611-B8DF-F416029C1C74}"/>
    <cellStyle name="Note 2 3 2 2 2 2 3" xfId="15960" xr:uid="{7E923DBE-8224-4798-8643-EB5A5F85AA18}"/>
    <cellStyle name="Note 2 3 2 2 2 3" xfId="19368" xr:uid="{F809D7B8-4F94-451B-9EEE-6D3E9FD2B5BC}"/>
    <cellStyle name="Note 2 3 2 2 2 4" xfId="11747" xr:uid="{8431DD26-4F25-4C41-AC13-F96545928110}"/>
    <cellStyle name="Note 2 3 2 2 3" xfId="5320" xr:uid="{00000000-0005-0000-0000-0000F3200000}"/>
    <cellStyle name="Note 2 3 2 2 3 2" xfId="21436" xr:uid="{55E752DD-0A4D-4EC2-882B-5D59577A4A97}"/>
    <cellStyle name="Note 2 3 2 2 3 3" xfId="13815" xr:uid="{60A3F5A9-5A19-4A35-9038-7E59BC971022}"/>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2 2 2" xfId="23994" xr:uid="{8D0F3BDF-F98D-43DB-86F1-92D17753DFFE}"/>
    <cellStyle name="Note 2 3 2 3 2 2 3" xfId="16373" xr:uid="{0FC73097-6BCA-40C8-A9E2-719A51047716}"/>
    <cellStyle name="Note 2 3 2 3 2 3" xfId="19781" xr:uid="{5646B95F-BF22-44A0-9140-2FD720A8DB65}"/>
    <cellStyle name="Note 2 3 2 3 2 4" xfId="12160" xr:uid="{C44F9B96-6A4C-4A12-B27A-44B8CDB81AEC}"/>
    <cellStyle name="Note 2 3 2 3 3" xfId="5733" xr:uid="{00000000-0005-0000-0000-0000F7200000}"/>
    <cellStyle name="Note 2 3 2 3 3 2" xfId="21849" xr:uid="{DCFEF139-3580-49B2-BDC8-8B4A86D0888D}"/>
    <cellStyle name="Note 2 3 2 3 3 3" xfId="14228" xr:uid="{76C8422D-3AAF-46E5-8E8A-18D2128D7612}"/>
    <cellStyle name="Note 2 3 2 3 4" xfId="17636" xr:uid="{0F24A5C1-8C92-4CC3-9C09-F8503CAE603F}"/>
    <cellStyle name="Note 2 3 2 3 5" xfId="10015" xr:uid="{C18217E4-6896-4095-942E-8B1192F41288}"/>
    <cellStyle name="Note 2 3 2 4" xfId="1840" xr:uid="{00000000-0005-0000-0000-0000F8200000}"/>
    <cellStyle name="Note 2 3 2 4 2" xfId="4069" xr:uid="{00000000-0005-0000-0000-0000F9200000}"/>
    <cellStyle name="Note 2 3 2 4 2 2" xfId="8291" xr:uid="{00000000-0005-0000-0000-0000FA200000}"/>
    <cellStyle name="Note 2 3 2 4 2 2 2" xfId="24407" xr:uid="{ED7421E1-4935-4C89-A8A6-389708926ED2}"/>
    <cellStyle name="Note 2 3 2 4 2 2 3" xfId="16786" xr:uid="{388B2E9B-00B8-4840-9E98-B4FF2A9EBA21}"/>
    <cellStyle name="Note 2 3 2 4 2 3" xfId="20194" xr:uid="{62E73B5B-4BCD-43C0-8927-4D4AC94DB5F1}"/>
    <cellStyle name="Note 2 3 2 4 2 4" xfId="12573" xr:uid="{2D01451C-B015-4161-8668-C34E6CF3D4F5}"/>
    <cellStyle name="Note 2 3 2 4 3" xfId="6146" xr:uid="{00000000-0005-0000-0000-0000FB200000}"/>
    <cellStyle name="Note 2 3 2 4 3 2" xfId="22262" xr:uid="{D03E8C12-6BD7-498D-943F-59CC49867ABE}"/>
    <cellStyle name="Note 2 3 2 4 3 3" xfId="14641" xr:uid="{B1F10A8E-78DF-45AE-A58B-889AF76843AF}"/>
    <cellStyle name="Note 2 3 2 4 4" xfId="18049" xr:uid="{FCC8BD09-5E72-4FE5-A7AD-2B1BA9C0C56F}"/>
    <cellStyle name="Note 2 3 2 4 5" xfId="10428" xr:uid="{038071FF-B2AF-4E37-B255-E8DFB98AD2B1}"/>
    <cellStyle name="Note 2 3 2 5" xfId="2253" xr:uid="{00000000-0005-0000-0000-0000FC200000}"/>
    <cellStyle name="Note 2 3 2 5 2" xfId="4482" xr:uid="{00000000-0005-0000-0000-0000FD200000}"/>
    <cellStyle name="Note 2 3 2 5 2 2" xfId="8704" xr:uid="{00000000-0005-0000-0000-0000FE200000}"/>
    <cellStyle name="Note 2 3 2 5 2 2 2" xfId="24820" xr:uid="{B8D07CCC-B22B-459E-9848-E6B363731AF3}"/>
    <cellStyle name="Note 2 3 2 5 2 2 3" xfId="17199" xr:uid="{EB1452C4-228C-4212-BFDF-16FEE0D01B16}"/>
    <cellStyle name="Note 2 3 2 5 2 3" xfId="20607" xr:uid="{DB057221-6A4A-4545-891F-9E808740D0E7}"/>
    <cellStyle name="Note 2 3 2 5 2 4" xfId="12986" xr:uid="{2038B8B8-A3AD-494D-99B0-B627BC6CB8CB}"/>
    <cellStyle name="Note 2 3 2 5 3" xfId="6559" xr:uid="{00000000-0005-0000-0000-0000FF200000}"/>
    <cellStyle name="Note 2 3 2 5 3 2" xfId="22675" xr:uid="{A767840A-2354-4FB6-BCA8-FC7AE7C5D77D}"/>
    <cellStyle name="Note 2 3 2 5 3 3" xfId="15054" xr:uid="{CC221076-D085-480D-91D0-3B3969CE8935}"/>
    <cellStyle name="Note 2 3 2 5 4" xfId="18462" xr:uid="{3D0573A6-FBD2-45B9-BF67-CFF62309468B}"/>
    <cellStyle name="Note 2 3 2 5 5" xfId="10841" xr:uid="{EA3CEFA2-F497-42E2-B055-F3EC8B8FAF11}"/>
    <cellStyle name="Note 2 3 2 6" xfId="2689" xr:uid="{00000000-0005-0000-0000-000000210000}"/>
    <cellStyle name="Note 2 3 2 6 2" xfId="6972" xr:uid="{00000000-0005-0000-0000-000001210000}"/>
    <cellStyle name="Note 2 3 2 6 2 2" xfId="23088" xr:uid="{0D71ECAA-E56C-430E-BFA2-2D025D0F6E1E}"/>
    <cellStyle name="Note 2 3 2 6 2 3" xfId="15467" xr:uid="{F3EBBCEC-470C-40B9-BD64-BC5B9839DBE7}"/>
    <cellStyle name="Note 2 3 2 6 3" xfId="18875" xr:uid="{54B20A33-980A-44B4-8764-5130FF36030C}"/>
    <cellStyle name="Note 2 3 2 6 4" xfId="11254" xr:uid="{59CD8FA5-CEEE-435B-A04D-DCCA1670308C}"/>
    <cellStyle name="Note 2 3 2 7" xfId="2748" xr:uid="{00000000-0005-0000-0000-000002210000}"/>
    <cellStyle name="Note 2 3 2 8" xfId="2829" xr:uid="{00000000-0005-0000-0000-000003210000}"/>
    <cellStyle name="Note 2 3 2 8 2" xfId="7052" xr:uid="{00000000-0005-0000-0000-000004210000}"/>
    <cellStyle name="Note 2 3 2 8 2 2" xfId="23168" xr:uid="{DD839A3F-B35F-4556-A9AD-1D3FE7C05B14}"/>
    <cellStyle name="Note 2 3 2 8 2 3" xfId="15547" xr:uid="{DD3BC435-0A0D-4134-8BE2-DBECD19B9734}"/>
    <cellStyle name="Note 2 3 2 8 3" xfId="18955" xr:uid="{F1234298-09FF-4B71-AA65-E5A4AA9705B3}"/>
    <cellStyle name="Note 2 3 2 8 4" xfId="11334" xr:uid="{78E50F1A-755D-4B3C-92FE-DFED03981079}"/>
    <cellStyle name="Note 2 3 2 9" xfId="4907" xr:uid="{00000000-0005-0000-0000-000005210000}"/>
    <cellStyle name="Note 2 3 2 9 2" xfId="21023" xr:uid="{37377A9B-DC22-4CB5-8C16-045F5B667599}"/>
    <cellStyle name="Note 2 3 2 9 3" xfId="13402" xr:uid="{16C786ED-3CFB-46F5-B7AD-02D6A14FFCAA}"/>
    <cellStyle name="Note 2 3 3" xfId="1010" xr:uid="{00000000-0005-0000-0000-000006210000}"/>
    <cellStyle name="Note 2 3 3 2" xfId="3242" xr:uid="{00000000-0005-0000-0000-000007210000}"/>
    <cellStyle name="Note 2 3 3 2 2" xfId="7464" xr:uid="{00000000-0005-0000-0000-000008210000}"/>
    <cellStyle name="Note 2 3 3 2 2 2" xfId="23580" xr:uid="{F04A2DDC-87C1-4BD5-B289-09B8C8E2223A}"/>
    <cellStyle name="Note 2 3 3 2 2 3" xfId="15959" xr:uid="{4AD0F769-50CB-4B94-BD2D-30CA10935749}"/>
    <cellStyle name="Note 2 3 3 2 3" xfId="19367" xr:uid="{D0D6B26B-8CDF-4254-9C98-BB5354909BE8}"/>
    <cellStyle name="Note 2 3 3 2 4" xfId="11746" xr:uid="{D21C433F-32AD-4014-8685-7ECAD3EF0619}"/>
    <cellStyle name="Note 2 3 3 3" xfId="5319" xr:uid="{00000000-0005-0000-0000-000009210000}"/>
    <cellStyle name="Note 2 3 3 3 2" xfId="21435" xr:uid="{F09CDC77-1835-41F6-A2BC-18AA91061939}"/>
    <cellStyle name="Note 2 3 3 3 3" xfId="13814" xr:uid="{61CCA2B7-2E3D-46C3-A248-8646F6BEFA22}"/>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2 2 2" xfId="23993" xr:uid="{DC90C3CB-EC33-4987-B3B6-EBD9D17A4E81}"/>
    <cellStyle name="Note 2 3 4 2 2 3" xfId="16372" xr:uid="{C1E2363C-E077-4C74-B7B9-C04C625ADC4F}"/>
    <cellStyle name="Note 2 3 4 2 3" xfId="19780" xr:uid="{B120FB16-9B32-4AEA-8E64-4B3B102B3123}"/>
    <cellStyle name="Note 2 3 4 2 4" xfId="12159" xr:uid="{3D442A29-5CFE-4226-925B-EE7FC83DEB35}"/>
    <cellStyle name="Note 2 3 4 3" xfId="5732" xr:uid="{00000000-0005-0000-0000-00000D210000}"/>
    <cellStyle name="Note 2 3 4 3 2" xfId="21848" xr:uid="{B9D888C8-40BF-4F90-B3D4-B9CE2DC2B8BB}"/>
    <cellStyle name="Note 2 3 4 3 3" xfId="14227" xr:uid="{739D3EB8-53D5-4F8A-9B10-B8C61454C6F1}"/>
    <cellStyle name="Note 2 3 4 4" xfId="17635" xr:uid="{6BC782DE-7EBF-4AEB-870C-E489F5451466}"/>
    <cellStyle name="Note 2 3 4 5" xfId="10014" xr:uid="{98FF2597-8C4F-4166-A2E4-34F275ABE3E8}"/>
    <cellStyle name="Note 2 3 5" xfId="1839" xr:uid="{00000000-0005-0000-0000-00000E210000}"/>
    <cellStyle name="Note 2 3 5 2" xfId="4068" xr:uid="{00000000-0005-0000-0000-00000F210000}"/>
    <cellStyle name="Note 2 3 5 2 2" xfId="8290" xr:uid="{00000000-0005-0000-0000-000010210000}"/>
    <cellStyle name="Note 2 3 5 2 2 2" xfId="24406" xr:uid="{CADC34D2-989A-4925-A679-DF1205C7BE10}"/>
    <cellStyle name="Note 2 3 5 2 2 3" xfId="16785" xr:uid="{F6BE1DCF-8546-4BC0-AAA9-7DEB8DA644D8}"/>
    <cellStyle name="Note 2 3 5 2 3" xfId="20193" xr:uid="{FBA5C4C7-0DA3-4F50-82A6-9F1270DAD600}"/>
    <cellStyle name="Note 2 3 5 2 4" xfId="12572" xr:uid="{053054A0-E219-4D1C-BC55-76B22ED7EF21}"/>
    <cellStyle name="Note 2 3 5 3" xfId="6145" xr:uid="{00000000-0005-0000-0000-000011210000}"/>
    <cellStyle name="Note 2 3 5 3 2" xfId="22261" xr:uid="{2B5AC86F-27DE-4FE4-9507-F19BFFAEEEC0}"/>
    <cellStyle name="Note 2 3 5 3 3" xfId="14640" xr:uid="{915DEF79-3F4B-4DC1-B487-02B781BA5399}"/>
    <cellStyle name="Note 2 3 5 4" xfId="18048" xr:uid="{96BCBAB0-45D8-4835-9302-94F511B900C5}"/>
    <cellStyle name="Note 2 3 5 5" xfId="10427" xr:uid="{6224937A-1144-4040-B915-4E78CA052E22}"/>
    <cellStyle name="Note 2 3 6" xfId="2252" xr:uid="{00000000-0005-0000-0000-000012210000}"/>
    <cellStyle name="Note 2 3 6 2" xfId="4481" xr:uid="{00000000-0005-0000-0000-000013210000}"/>
    <cellStyle name="Note 2 3 6 2 2" xfId="8703" xr:uid="{00000000-0005-0000-0000-000014210000}"/>
    <cellStyle name="Note 2 3 6 2 2 2" xfId="24819" xr:uid="{6B314AD9-89E3-4B30-905B-0EDE2BB7511B}"/>
    <cellStyle name="Note 2 3 6 2 2 3" xfId="17198" xr:uid="{BA8D26ED-5737-4322-90C6-E88D5EEC50D7}"/>
    <cellStyle name="Note 2 3 6 2 3" xfId="20606" xr:uid="{CDD5103F-BE4A-4BFC-81A6-1C2BF278C235}"/>
    <cellStyle name="Note 2 3 6 2 4" xfId="12985" xr:uid="{1935AB40-BDD0-42CD-99C4-6C3AC08DEB9D}"/>
    <cellStyle name="Note 2 3 6 3" xfId="6558" xr:uid="{00000000-0005-0000-0000-000015210000}"/>
    <cellStyle name="Note 2 3 6 3 2" xfId="22674" xr:uid="{78788E6B-6BE3-4D36-8685-DF11A82E2415}"/>
    <cellStyle name="Note 2 3 6 3 3" xfId="15053" xr:uid="{8D78EF98-9C69-4869-969D-EC10EB698327}"/>
    <cellStyle name="Note 2 3 6 4" xfId="18461" xr:uid="{0DE7790C-4352-4DCC-ACE0-78DFA40BBFE5}"/>
    <cellStyle name="Note 2 3 6 5" xfId="10840" xr:uid="{077BFD80-EC41-49CA-B4D6-1B8155694537}"/>
    <cellStyle name="Note 2 3 7" xfId="2688" xr:uid="{00000000-0005-0000-0000-000016210000}"/>
    <cellStyle name="Note 2 3 7 2" xfId="6971" xr:uid="{00000000-0005-0000-0000-000017210000}"/>
    <cellStyle name="Note 2 3 7 2 2" xfId="23087" xr:uid="{239727E9-38C6-4098-BC0C-0548410698AE}"/>
    <cellStyle name="Note 2 3 7 2 3" xfId="15466" xr:uid="{F7A834D0-2929-4135-88D6-932C3B2D8E3A}"/>
    <cellStyle name="Note 2 3 7 3" xfId="18874" xr:uid="{391E0EE5-E715-4F04-98B7-B2B38460A2CC}"/>
    <cellStyle name="Note 2 3 7 4" xfId="11253" xr:uid="{24E07B6A-73B2-4017-8E7A-349B194865ED}"/>
    <cellStyle name="Note 2 3 8" xfId="2747" xr:uid="{00000000-0005-0000-0000-000018210000}"/>
    <cellStyle name="Note 2 3 9" xfId="2828" xr:uid="{00000000-0005-0000-0000-000019210000}"/>
    <cellStyle name="Note 2 3 9 2" xfId="7051" xr:uid="{00000000-0005-0000-0000-00001A210000}"/>
    <cellStyle name="Note 2 3 9 2 2" xfId="23167" xr:uid="{DBF73278-ED86-4A4A-81EE-97942CF0CD7F}"/>
    <cellStyle name="Note 2 3 9 2 3" xfId="15546" xr:uid="{6712647F-5351-4F82-874F-77C6D4B13E6C}"/>
    <cellStyle name="Note 2 3 9 3" xfId="18954" xr:uid="{C55D7E4E-BE84-468E-B6AE-2970C48D65EA}"/>
    <cellStyle name="Note 2 3 9 4" xfId="11333" xr:uid="{C9E3DD7A-062A-4EA7-9D80-675CE75D388B}"/>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2 2 2" xfId="23582" xr:uid="{48A983DE-53DB-4571-AC26-9EFF1B3C3920}"/>
    <cellStyle name="Note 2 4 2 2 2 3" xfId="15961" xr:uid="{84035C84-9C1B-4F3D-84AC-3257F1C81C53}"/>
    <cellStyle name="Note 2 4 2 2 3" xfId="19369" xr:uid="{9AF03862-BE17-49F4-A42C-BFA5DA4B9B31}"/>
    <cellStyle name="Note 2 4 2 2 4" xfId="11748" xr:uid="{09500616-EED5-450D-8684-A2A82E2F3821}"/>
    <cellStyle name="Note 2 4 2 3" xfId="5321" xr:uid="{00000000-0005-0000-0000-00001F210000}"/>
    <cellStyle name="Note 2 4 2 3 2" xfId="21437" xr:uid="{FC36C8F1-2B11-4E3A-A3EC-26AD197FB2B8}"/>
    <cellStyle name="Note 2 4 2 3 3" xfId="13816" xr:uid="{7DBA0A33-7373-46C3-B72E-A67C83F9F65A}"/>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2 2 2" xfId="23995" xr:uid="{FDDEC2D1-329E-429A-927C-8282F12AA88F}"/>
    <cellStyle name="Note 2 4 3 2 2 3" xfId="16374" xr:uid="{5B0BF1BC-7CF5-44B1-8A71-015BC449CD17}"/>
    <cellStyle name="Note 2 4 3 2 3" xfId="19782" xr:uid="{361C8145-54F6-4552-86B8-2488DE6F3E4D}"/>
    <cellStyle name="Note 2 4 3 2 4" xfId="12161" xr:uid="{7ADE5D05-D56C-41A8-B672-447840F2E3C5}"/>
    <cellStyle name="Note 2 4 3 3" xfId="5734" xr:uid="{00000000-0005-0000-0000-000023210000}"/>
    <cellStyle name="Note 2 4 3 3 2" xfId="21850" xr:uid="{3C26A45B-FE62-4091-AA74-D35A401E8AC7}"/>
    <cellStyle name="Note 2 4 3 3 3" xfId="14229" xr:uid="{E9FFE878-7313-4366-B9F9-F7E6A72604A4}"/>
    <cellStyle name="Note 2 4 3 4" xfId="17637" xr:uid="{010E5C0F-6A74-4C38-8D39-F06A0308EFE1}"/>
    <cellStyle name="Note 2 4 3 5" xfId="10016" xr:uid="{516B492A-DB83-474B-85F9-8A8ABD151938}"/>
    <cellStyle name="Note 2 4 4" xfId="1841" xr:uid="{00000000-0005-0000-0000-000024210000}"/>
    <cellStyle name="Note 2 4 4 2" xfId="4070" xr:uid="{00000000-0005-0000-0000-000025210000}"/>
    <cellStyle name="Note 2 4 4 2 2" xfId="8292" xr:uid="{00000000-0005-0000-0000-000026210000}"/>
    <cellStyle name="Note 2 4 4 2 2 2" xfId="24408" xr:uid="{8BDB304D-C75B-48FA-B87B-2BBF6855F01D}"/>
    <cellStyle name="Note 2 4 4 2 2 3" xfId="16787" xr:uid="{A051C379-93AB-47E8-8CA9-1FEA586D54C0}"/>
    <cellStyle name="Note 2 4 4 2 3" xfId="20195" xr:uid="{1D8F3A86-528B-4BF5-8F3D-BA54C970258D}"/>
    <cellStyle name="Note 2 4 4 2 4" xfId="12574" xr:uid="{652CF35F-E1C7-4587-94B9-F59398375073}"/>
    <cellStyle name="Note 2 4 4 3" xfId="6147" xr:uid="{00000000-0005-0000-0000-000027210000}"/>
    <cellStyle name="Note 2 4 4 3 2" xfId="22263" xr:uid="{94BA0F13-0EC4-4CCC-880E-413799D658A8}"/>
    <cellStyle name="Note 2 4 4 3 3" xfId="14642" xr:uid="{03B5AAF8-4BD0-4375-8CB2-56701E20E979}"/>
    <cellStyle name="Note 2 4 4 4" xfId="18050" xr:uid="{56A34D55-A872-4429-B083-4BB2A377EC8A}"/>
    <cellStyle name="Note 2 4 4 5" xfId="10429" xr:uid="{1291E6E8-146B-441D-AC86-C6460B77C962}"/>
    <cellStyle name="Note 2 4 5" xfId="2254" xr:uid="{00000000-0005-0000-0000-000028210000}"/>
    <cellStyle name="Note 2 4 5 2" xfId="4483" xr:uid="{00000000-0005-0000-0000-000029210000}"/>
    <cellStyle name="Note 2 4 5 2 2" xfId="8705" xr:uid="{00000000-0005-0000-0000-00002A210000}"/>
    <cellStyle name="Note 2 4 5 2 2 2" xfId="24821" xr:uid="{CDBA4FC3-A51C-4B0B-A08E-48EBC48566C2}"/>
    <cellStyle name="Note 2 4 5 2 2 3" xfId="17200" xr:uid="{74F7308A-D916-4457-9B73-504DE3D8EEEB}"/>
    <cellStyle name="Note 2 4 5 2 3" xfId="20608" xr:uid="{019211CE-ADDF-4032-95DD-B18D3C3506E2}"/>
    <cellStyle name="Note 2 4 5 2 4" xfId="12987" xr:uid="{5F5943FE-AAD5-496E-A40F-BD1B5D869193}"/>
    <cellStyle name="Note 2 4 5 3" xfId="6560" xr:uid="{00000000-0005-0000-0000-00002B210000}"/>
    <cellStyle name="Note 2 4 5 3 2" xfId="22676" xr:uid="{840D4D57-B5B0-4E5F-8D01-AD0EA7FDC5AC}"/>
    <cellStyle name="Note 2 4 5 3 3" xfId="15055" xr:uid="{8CA9419C-528E-4400-B31C-152062E13040}"/>
    <cellStyle name="Note 2 4 5 4" xfId="18463" xr:uid="{51E1B642-63E6-4718-8A2C-46A3C2C62E63}"/>
    <cellStyle name="Note 2 4 5 5" xfId="10842" xr:uid="{8208A207-ACBB-4872-BF56-2F8E2AAD59B6}"/>
    <cellStyle name="Note 2 4 6" xfId="2690" xr:uid="{00000000-0005-0000-0000-00002C210000}"/>
    <cellStyle name="Note 2 4 6 2" xfId="6973" xr:uid="{00000000-0005-0000-0000-00002D210000}"/>
    <cellStyle name="Note 2 4 6 2 2" xfId="23089" xr:uid="{B6E6D1C7-714D-418B-BCBC-C619893AEEEF}"/>
    <cellStyle name="Note 2 4 6 2 3" xfId="15468" xr:uid="{E382B35E-332B-4F27-A76C-D107BCB5B3F7}"/>
    <cellStyle name="Note 2 4 6 3" xfId="18876" xr:uid="{592D9A49-E115-444E-940F-3FE1BD2EA262}"/>
    <cellStyle name="Note 2 4 6 4" xfId="11255" xr:uid="{2AAD4285-495F-44A3-82C3-D5A139540BEC}"/>
    <cellStyle name="Note 2 4 7" xfId="2749" xr:uid="{00000000-0005-0000-0000-00002E210000}"/>
    <cellStyle name="Note 2 4 8" xfId="2830" xr:uid="{00000000-0005-0000-0000-00002F210000}"/>
    <cellStyle name="Note 2 4 8 2" xfId="7053" xr:uid="{00000000-0005-0000-0000-000030210000}"/>
    <cellStyle name="Note 2 4 8 2 2" xfId="23169" xr:uid="{32A6A527-4C89-4A83-A06B-276E46E8147E}"/>
    <cellStyle name="Note 2 4 8 2 3" xfId="15548" xr:uid="{D984BF27-6BBC-4472-8C5E-8020F07276FC}"/>
    <cellStyle name="Note 2 4 8 3" xfId="18956" xr:uid="{F7D9D956-2CEB-4AA8-A4A1-866384159AF9}"/>
    <cellStyle name="Note 2 4 8 4" xfId="11335" xr:uid="{05FFE950-031F-4D68-85AC-0EB980519F59}"/>
    <cellStyle name="Note 2 4 9" xfId="4908" xr:uid="{00000000-0005-0000-0000-000031210000}"/>
    <cellStyle name="Note 2 4 9 2" xfId="21024" xr:uid="{6421B6B7-3A9D-4286-98E3-CAC19DCB30AF}"/>
    <cellStyle name="Note 2 4 9 3" xfId="13403" xr:uid="{37A921FE-2047-4E70-9079-94A52464B9DE}"/>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2 2 2" xfId="23583" xr:uid="{E2D37B80-2B81-4B2F-8103-B64BCCE38F19}"/>
    <cellStyle name="Note 2 5 2 2 2 3" xfId="15962" xr:uid="{3FF5FE95-F252-47B0-8A94-3119E98DF3B7}"/>
    <cellStyle name="Note 2 5 2 2 3" xfId="19370" xr:uid="{C8C90F61-44C1-4F8C-87FE-1603E4166A24}"/>
    <cellStyle name="Note 2 5 2 2 4" xfId="11749" xr:uid="{005A140F-6E6F-42EA-98C7-66B9E3FECFC4}"/>
    <cellStyle name="Note 2 5 2 3" xfId="5322" xr:uid="{00000000-0005-0000-0000-000036210000}"/>
    <cellStyle name="Note 2 5 2 3 2" xfId="21438" xr:uid="{5210EE2A-3AA4-4DFD-A006-6C71DB2D493D}"/>
    <cellStyle name="Note 2 5 2 3 3" xfId="13817" xr:uid="{9F4C050B-86A5-4904-AF0A-508758E62F54}"/>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2 2 2" xfId="23996" xr:uid="{53CB76E9-9354-4C2C-80E8-34A93FB3BE95}"/>
    <cellStyle name="Note 2 5 3 2 2 3" xfId="16375" xr:uid="{B8440A19-5575-4A5B-86F8-A3B0EB064C1E}"/>
    <cellStyle name="Note 2 5 3 2 3" xfId="19783" xr:uid="{C9E6A3CB-4A15-4C9B-B6B0-C49B65124CCA}"/>
    <cellStyle name="Note 2 5 3 2 4" xfId="12162" xr:uid="{0B625DED-1EB0-4F41-BAC9-D45F35DD2213}"/>
    <cellStyle name="Note 2 5 3 3" xfId="5735" xr:uid="{00000000-0005-0000-0000-00003A210000}"/>
    <cellStyle name="Note 2 5 3 3 2" xfId="21851" xr:uid="{359FD1ED-057E-499C-BAEF-49FC62B6856C}"/>
    <cellStyle name="Note 2 5 3 3 3" xfId="14230" xr:uid="{CE9D4F61-90CD-4E6A-BEE7-A03829A7CC2E}"/>
    <cellStyle name="Note 2 5 3 4" xfId="17638" xr:uid="{E6173572-88EF-4380-BF3E-829CAC0A43F7}"/>
    <cellStyle name="Note 2 5 3 5" xfId="10017" xr:uid="{1F674B9A-A69F-4AFD-9032-4895E59A51CD}"/>
    <cellStyle name="Note 2 5 4" xfId="1842" xr:uid="{00000000-0005-0000-0000-00003B210000}"/>
    <cellStyle name="Note 2 5 4 2" xfId="4071" xr:uid="{00000000-0005-0000-0000-00003C210000}"/>
    <cellStyle name="Note 2 5 4 2 2" xfId="8293" xr:uid="{00000000-0005-0000-0000-00003D210000}"/>
    <cellStyle name="Note 2 5 4 2 2 2" xfId="24409" xr:uid="{742D9E14-609F-4B4F-A502-EDA431908153}"/>
    <cellStyle name="Note 2 5 4 2 2 3" xfId="16788" xr:uid="{77DAA8B7-6CB8-49C5-B2D6-BC6059A97A53}"/>
    <cellStyle name="Note 2 5 4 2 3" xfId="20196" xr:uid="{273751BD-6F4A-49B0-9CDC-B0947D9BE09F}"/>
    <cellStyle name="Note 2 5 4 2 4" xfId="12575" xr:uid="{8FA5F039-33E9-492F-A084-8D8DBC26D24A}"/>
    <cellStyle name="Note 2 5 4 3" xfId="6148" xr:uid="{00000000-0005-0000-0000-00003E210000}"/>
    <cellStyle name="Note 2 5 4 3 2" xfId="22264" xr:uid="{00E7A9C1-8890-45BF-98BE-99346559B719}"/>
    <cellStyle name="Note 2 5 4 3 3" xfId="14643" xr:uid="{0FB10E57-4250-4B3D-BF24-1E5C94E3ECFA}"/>
    <cellStyle name="Note 2 5 4 4" xfId="18051" xr:uid="{B33C6F62-CF91-4C3E-A6E4-6C3342346E0C}"/>
    <cellStyle name="Note 2 5 4 5" xfId="10430" xr:uid="{8C370512-3492-4FAF-ADC7-74FC43AE8D6E}"/>
    <cellStyle name="Note 2 5 5" xfId="2255" xr:uid="{00000000-0005-0000-0000-00003F210000}"/>
    <cellStyle name="Note 2 5 5 2" xfId="4484" xr:uid="{00000000-0005-0000-0000-000040210000}"/>
    <cellStyle name="Note 2 5 5 2 2" xfId="8706" xr:uid="{00000000-0005-0000-0000-000041210000}"/>
    <cellStyle name="Note 2 5 5 2 2 2" xfId="24822" xr:uid="{B70B38D1-6FA8-4926-9F60-72C6F395E334}"/>
    <cellStyle name="Note 2 5 5 2 2 3" xfId="17201" xr:uid="{9790919A-6460-424A-91FA-410EDD0F2457}"/>
    <cellStyle name="Note 2 5 5 2 3" xfId="20609" xr:uid="{C83CA5B9-24A7-4FF3-849E-2F1DD2260FA6}"/>
    <cellStyle name="Note 2 5 5 2 4" xfId="12988" xr:uid="{A4BFB154-EC53-4786-AD5F-E02207B0F5DF}"/>
    <cellStyle name="Note 2 5 5 3" xfId="6561" xr:uid="{00000000-0005-0000-0000-000042210000}"/>
    <cellStyle name="Note 2 5 5 3 2" xfId="22677" xr:uid="{E560981E-9EA3-49D8-A3B9-2C969BF75A86}"/>
    <cellStyle name="Note 2 5 5 3 3" xfId="15056" xr:uid="{934F6461-BCD8-494F-8987-C427D96266DA}"/>
    <cellStyle name="Note 2 5 5 4" xfId="18464" xr:uid="{CA1730CF-310D-4BCA-AFD2-75ACFB547357}"/>
    <cellStyle name="Note 2 5 5 5" xfId="10843" xr:uid="{D66CEF10-2DC0-42A7-95FF-A80EC6736F15}"/>
    <cellStyle name="Note 2 5 6" xfId="2691" xr:uid="{00000000-0005-0000-0000-000043210000}"/>
    <cellStyle name="Note 2 5 6 2" xfId="6974" xr:uid="{00000000-0005-0000-0000-000044210000}"/>
    <cellStyle name="Note 2 5 6 2 2" xfId="23090" xr:uid="{D9FD90CE-31C1-4B6D-ACA6-7A1767D5809E}"/>
    <cellStyle name="Note 2 5 6 2 3" xfId="15469" xr:uid="{93C7199A-98BE-4127-8B27-C4B56A834869}"/>
    <cellStyle name="Note 2 5 6 3" xfId="18877" xr:uid="{C8BB6387-1210-4D76-B9D4-9FCCEE6B10CE}"/>
    <cellStyle name="Note 2 5 6 4" xfId="11256" xr:uid="{53B45829-9A74-4106-8665-45AE86DD3BCD}"/>
    <cellStyle name="Note 2 5 7" xfId="2750" xr:uid="{00000000-0005-0000-0000-000045210000}"/>
    <cellStyle name="Note 2 5 8" xfId="2831" xr:uid="{00000000-0005-0000-0000-000046210000}"/>
    <cellStyle name="Note 2 5 8 2" xfId="7054" xr:uid="{00000000-0005-0000-0000-000047210000}"/>
    <cellStyle name="Note 2 5 8 2 2" xfId="23170" xr:uid="{DF7C66AC-3230-46D4-B887-104625EFF7C7}"/>
    <cellStyle name="Note 2 5 8 2 3" xfId="15549" xr:uid="{05DD0AE6-CC26-4AAB-8DAF-0AE6F9DC31E3}"/>
    <cellStyle name="Note 2 5 8 3" xfId="18957" xr:uid="{8A0DAC6E-F891-43B4-8931-3E77A8535BBC}"/>
    <cellStyle name="Note 2 5 8 4" xfId="11336" xr:uid="{FCA98E74-0FD1-4DA4-A122-D56AC37063E9}"/>
    <cellStyle name="Note 2 5 9" xfId="4909" xr:uid="{00000000-0005-0000-0000-000048210000}"/>
    <cellStyle name="Note 2 5 9 2" xfId="21025" xr:uid="{B567500D-D8BA-498D-BEA0-4C09084AFA6D}"/>
    <cellStyle name="Note 2 5 9 3" xfId="13404" xr:uid="{DCBC512E-8648-4D98-B638-46285FEED65A}"/>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23171" xr:uid="{CD1309D4-0BA1-4CBE-A6CA-B7D1416B1811}"/>
    <cellStyle name="Note 3 2 10 2 3" xfId="15550" xr:uid="{B07AD4E8-14F8-4017-B9E6-491D4782C21C}"/>
    <cellStyle name="Note 3 2 10 3" xfId="18958" xr:uid="{8B70C293-D965-40BB-9649-74E3F1C9480D}"/>
    <cellStyle name="Note 3 2 10 4" xfId="11337" xr:uid="{D638D6D5-41E7-480E-ACF6-C7845EE10F37}"/>
    <cellStyle name="Note 3 2 11" xfId="4910" xr:uid="{00000000-0005-0000-0000-00004D210000}"/>
    <cellStyle name="Note 3 2 11 2" xfId="21026" xr:uid="{953ED7E5-7ACE-4C5E-B5FB-1C980A337262}"/>
    <cellStyle name="Note 3 2 11 3" xfId="13405" xr:uid="{A3C57475-1D08-4897-8A49-60594C6C8220}"/>
    <cellStyle name="Note 3 2 12" xfId="8842" xr:uid="{646587AC-B7A9-43E2-AC1E-1B77745805D8}"/>
    <cellStyle name="Note 3 2 2" xfId="555" xr:uid="{00000000-0005-0000-0000-00004E210000}"/>
    <cellStyle name="Note 3 2 2 10" xfId="4911" xr:uid="{00000000-0005-0000-0000-00004F210000}"/>
    <cellStyle name="Note 3 2 2 10 2" xfId="21027" xr:uid="{5C009A32-7DAB-4F91-9F9A-2FFA2B4C4534}"/>
    <cellStyle name="Note 3 2 2 10 3" xfId="13406" xr:uid="{423C6B79-57F9-46ED-81B8-B65A580A2602}"/>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2 2 2" xfId="23586" xr:uid="{7F8B553C-0D83-44A8-83A5-78147ED5314E}"/>
    <cellStyle name="Note 3 2 2 2 2 2 2 3" xfId="15965" xr:uid="{AEA078D6-3C2D-457C-A0B2-8C7EB8B50429}"/>
    <cellStyle name="Note 3 2 2 2 2 2 3" xfId="19373" xr:uid="{AF25F404-ECB9-4183-A937-35C539DFDC66}"/>
    <cellStyle name="Note 3 2 2 2 2 2 4" xfId="11752" xr:uid="{023C33C7-0694-44A9-8B6E-D195772673CF}"/>
    <cellStyle name="Note 3 2 2 2 2 3" xfId="5325" xr:uid="{00000000-0005-0000-0000-000054210000}"/>
    <cellStyle name="Note 3 2 2 2 2 3 2" xfId="21441" xr:uid="{49F9AE95-DFC9-435F-8B07-12C8F2708B1B}"/>
    <cellStyle name="Note 3 2 2 2 2 3 3" xfId="13820" xr:uid="{33139137-E4A4-4BCE-82E7-857033FA63C4}"/>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2 2 2" xfId="23999" xr:uid="{D4A56817-C065-4E97-843C-3F0ACAB150C7}"/>
    <cellStyle name="Note 3 2 2 2 3 2 2 3" xfId="16378" xr:uid="{130225CC-DF48-435E-825A-3CF76A4DDFB9}"/>
    <cellStyle name="Note 3 2 2 2 3 2 3" xfId="19786" xr:uid="{4D9C3042-2F83-4B2F-B372-8DF7AEEB2671}"/>
    <cellStyle name="Note 3 2 2 2 3 2 4" xfId="12165" xr:uid="{293C0F1B-745B-4A75-81D0-24C9721CEF75}"/>
    <cellStyle name="Note 3 2 2 2 3 3" xfId="5738" xr:uid="{00000000-0005-0000-0000-000058210000}"/>
    <cellStyle name="Note 3 2 2 2 3 3 2" xfId="21854" xr:uid="{103B285C-599E-4DCF-B60C-7D26A1442D06}"/>
    <cellStyle name="Note 3 2 2 2 3 3 3" xfId="14233" xr:uid="{EB691BB2-623B-4B50-A5AB-BCD3D4274C07}"/>
    <cellStyle name="Note 3 2 2 2 3 4" xfId="17641" xr:uid="{0E23A604-5AAE-4428-814B-A82F8F2766C3}"/>
    <cellStyle name="Note 3 2 2 2 3 5" xfId="10020" xr:uid="{2C194302-7DE8-408B-87E8-9D06612A83FA}"/>
    <cellStyle name="Note 3 2 2 2 4" xfId="1845" xr:uid="{00000000-0005-0000-0000-000059210000}"/>
    <cellStyle name="Note 3 2 2 2 4 2" xfId="4074" xr:uid="{00000000-0005-0000-0000-00005A210000}"/>
    <cellStyle name="Note 3 2 2 2 4 2 2" xfId="8296" xr:uid="{00000000-0005-0000-0000-00005B210000}"/>
    <cellStyle name="Note 3 2 2 2 4 2 2 2" xfId="24412" xr:uid="{635A749B-930E-4CDE-9DA2-FBC2FCBC0285}"/>
    <cellStyle name="Note 3 2 2 2 4 2 2 3" xfId="16791" xr:uid="{29728767-05FB-4027-BDDA-15BDD3D9BF76}"/>
    <cellStyle name="Note 3 2 2 2 4 2 3" xfId="20199" xr:uid="{2B32058F-9720-42FD-95B3-16DD5C413068}"/>
    <cellStyle name="Note 3 2 2 2 4 2 4" xfId="12578" xr:uid="{25B24C8C-0DE7-4D2F-A695-7C4A9E3C02EE}"/>
    <cellStyle name="Note 3 2 2 2 4 3" xfId="6151" xr:uid="{00000000-0005-0000-0000-00005C210000}"/>
    <cellStyle name="Note 3 2 2 2 4 3 2" xfId="22267" xr:uid="{6EB1458C-D0FB-4B6B-A660-A6B8BF9C46A7}"/>
    <cellStyle name="Note 3 2 2 2 4 3 3" xfId="14646" xr:uid="{3D41F221-5F28-436E-8E85-C99F6106613C}"/>
    <cellStyle name="Note 3 2 2 2 4 4" xfId="18054" xr:uid="{42C6AB1B-DD7E-402B-9BE9-4FD272C80C65}"/>
    <cellStyle name="Note 3 2 2 2 4 5" xfId="10433" xr:uid="{DC15CE23-7C5F-4C99-8628-2FE2F714344A}"/>
    <cellStyle name="Note 3 2 2 2 5" xfId="2258" xr:uid="{00000000-0005-0000-0000-00005D210000}"/>
    <cellStyle name="Note 3 2 2 2 5 2" xfId="4487" xr:uid="{00000000-0005-0000-0000-00005E210000}"/>
    <cellStyle name="Note 3 2 2 2 5 2 2" xfId="8709" xr:uid="{00000000-0005-0000-0000-00005F210000}"/>
    <cellStyle name="Note 3 2 2 2 5 2 2 2" xfId="24825" xr:uid="{1FF7393F-FDFB-4215-BFDB-08D764D63FC5}"/>
    <cellStyle name="Note 3 2 2 2 5 2 2 3" xfId="17204" xr:uid="{DB394F8C-20B0-4DED-8D87-07C49B378811}"/>
    <cellStyle name="Note 3 2 2 2 5 2 3" xfId="20612" xr:uid="{DA9F53A8-3C30-44EE-BB31-D0E57D30EC70}"/>
    <cellStyle name="Note 3 2 2 2 5 2 4" xfId="12991" xr:uid="{AE5C45AC-9ED7-4255-8551-6CB0171B6F6B}"/>
    <cellStyle name="Note 3 2 2 2 5 3" xfId="6564" xr:uid="{00000000-0005-0000-0000-000060210000}"/>
    <cellStyle name="Note 3 2 2 2 5 3 2" xfId="22680" xr:uid="{17EF5AB2-42F3-45FF-9225-7FC6CD164A4D}"/>
    <cellStyle name="Note 3 2 2 2 5 3 3" xfId="15059" xr:uid="{2A1646AC-433C-452C-B797-7D4ED93ED1A2}"/>
    <cellStyle name="Note 3 2 2 2 5 4" xfId="18467" xr:uid="{7F7A015F-72D8-4122-9E66-A02320EAC7E2}"/>
    <cellStyle name="Note 3 2 2 2 5 5" xfId="10846" xr:uid="{31341BB2-E869-470D-A318-9708367EBCEF}"/>
    <cellStyle name="Note 3 2 2 2 6" xfId="2694" xr:uid="{00000000-0005-0000-0000-000061210000}"/>
    <cellStyle name="Note 3 2 2 2 6 2" xfId="6977" xr:uid="{00000000-0005-0000-0000-000062210000}"/>
    <cellStyle name="Note 3 2 2 2 6 2 2" xfId="23093" xr:uid="{48917F0F-C114-4769-BDEC-005A349519E8}"/>
    <cellStyle name="Note 3 2 2 2 6 2 3" xfId="15472" xr:uid="{08FB5061-2DEC-412C-98E3-C683148F7063}"/>
    <cellStyle name="Note 3 2 2 2 6 3" xfId="18880" xr:uid="{95C1D858-5F4C-4602-B282-B4ABA4071138}"/>
    <cellStyle name="Note 3 2 2 2 6 4" xfId="11259" xr:uid="{C47EB33D-169C-41CB-B415-66F0D07D34E0}"/>
    <cellStyle name="Note 3 2 2 2 7" xfId="2753" xr:uid="{00000000-0005-0000-0000-000063210000}"/>
    <cellStyle name="Note 3 2 2 2 8" xfId="2834" xr:uid="{00000000-0005-0000-0000-000064210000}"/>
    <cellStyle name="Note 3 2 2 2 8 2" xfId="7057" xr:uid="{00000000-0005-0000-0000-000065210000}"/>
    <cellStyle name="Note 3 2 2 2 8 2 2" xfId="23173" xr:uid="{31A46503-D405-44FD-B1CC-90858D18325E}"/>
    <cellStyle name="Note 3 2 2 2 8 2 3" xfId="15552" xr:uid="{FF7AAB9E-AA28-4057-B503-C26EE8B8E552}"/>
    <cellStyle name="Note 3 2 2 2 8 3" xfId="18960" xr:uid="{D6525E17-68CE-4A29-B0C1-848D271FAAD0}"/>
    <cellStyle name="Note 3 2 2 2 8 4" xfId="11339" xr:uid="{3EF16D00-5A49-4D32-AE2E-8272F4799845}"/>
    <cellStyle name="Note 3 2 2 2 9" xfId="4912" xr:uid="{00000000-0005-0000-0000-000066210000}"/>
    <cellStyle name="Note 3 2 2 2 9 2" xfId="21028" xr:uid="{FF008B5B-4997-421A-ACC7-9262C5F95DCC}"/>
    <cellStyle name="Note 3 2 2 2 9 3" xfId="13407" xr:uid="{01408D23-7CBA-4FBF-A65C-603E9C8183AB}"/>
    <cellStyle name="Note 3 2 2 3" xfId="1015" xr:uid="{00000000-0005-0000-0000-000067210000}"/>
    <cellStyle name="Note 3 2 2 3 2" xfId="3247" xr:uid="{00000000-0005-0000-0000-000068210000}"/>
    <cellStyle name="Note 3 2 2 3 2 2" xfId="7469" xr:uid="{00000000-0005-0000-0000-000069210000}"/>
    <cellStyle name="Note 3 2 2 3 2 2 2" xfId="23585" xr:uid="{C1A14E6E-44E6-43B8-9374-B5AC9249E5F1}"/>
    <cellStyle name="Note 3 2 2 3 2 2 3" xfId="15964" xr:uid="{B9B5BF6D-E6BC-4893-BC36-314730141393}"/>
    <cellStyle name="Note 3 2 2 3 2 3" xfId="19372" xr:uid="{DCDC0DEC-994D-4749-B40D-7E5580CB6A13}"/>
    <cellStyle name="Note 3 2 2 3 2 4" xfId="11751" xr:uid="{C486D7F1-6A01-4CBE-B11F-6BDB585E0D3E}"/>
    <cellStyle name="Note 3 2 2 3 3" xfId="5324" xr:uid="{00000000-0005-0000-0000-00006A210000}"/>
    <cellStyle name="Note 3 2 2 3 3 2" xfId="21440" xr:uid="{44DEDCCA-C8CA-447B-9A09-94C32937D6EF}"/>
    <cellStyle name="Note 3 2 2 3 3 3" xfId="13819" xr:uid="{E7D4D4B2-CEB4-4D16-86D8-3BB77E7A7B67}"/>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2 2 2" xfId="23998" xr:uid="{015F215C-C7F3-40F2-9CDF-1128491379A3}"/>
    <cellStyle name="Note 3 2 2 4 2 2 3" xfId="16377" xr:uid="{2CBEC709-FFEF-4BBF-B15D-6CA9B5E1B389}"/>
    <cellStyle name="Note 3 2 2 4 2 3" xfId="19785" xr:uid="{B33D4626-C176-4531-B5A3-16462BDECA8A}"/>
    <cellStyle name="Note 3 2 2 4 2 4" xfId="12164" xr:uid="{F690BBAC-EA70-430D-80D5-9E7D67661599}"/>
    <cellStyle name="Note 3 2 2 4 3" xfId="5737" xr:uid="{00000000-0005-0000-0000-00006E210000}"/>
    <cellStyle name="Note 3 2 2 4 3 2" xfId="21853" xr:uid="{9661C1A1-343A-43D8-8C69-E2E06C2A19DB}"/>
    <cellStyle name="Note 3 2 2 4 3 3" xfId="14232" xr:uid="{40899F44-933F-47A6-B10E-20483F7BBCAA}"/>
    <cellStyle name="Note 3 2 2 4 4" xfId="17640" xr:uid="{8402F60C-9777-47C2-8AD2-9A56BA600873}"/>
    <cellStyle name="Note 3 2 2 4 5" xfId="10019" xr:uid="{1386C327-E180-4829-BC6A-F2ACF7A7074D}"/>
    <cellStyle name="Note 3 2 2 5" xfId="1844" xr:uid="{00000000-0005-0000-0000-00006F210000}"/>
    <cellStyle name="Note 3 2 2 5 2" xfId="4073" xr:uid="{00000000-0005-0000-0000-000070210000}"/>
    <cellStyle name="Note 3 2 2 5 2 2" xfId="8295" xr:uid="{00000000-0005-0000-0000-000071210000}"/>
    <cellStyle name="Note 3 2 2 5 2 2 2" xfId="24411" xr:uid="{DF6B481A-E7CA-4FD0-934F-EDDB7F5376C4}"/>
    <cellStyle name="Note 3 2 2 5 2 2 3" xfId="16790" xr:uid="{15BB7415-5FD4-417E-B9E9-675D4DFCA994}"/>
    <cellStyle name="Note 3 2 2 5 2 3" xfId="20198" xr:uid="{73EDC2A3-8FF3-42D7-A989-A50B83C15664}"/>
    <cellStyle name="Note 3 2 2 5 2 4" xfId="12577" xr:uid="{C2DB1F60-6F77-41E7-B819-6D330F89553E}"/>
    <cellStyle name="Note 3 2 2 5 3" xfId="6150" xr:uid="{00000000-0005-0000-0000-000072210000}"/>
    <cellStyle name="Note 3 2 2 5 3 2" xfId="22266" xr:uid="{9819ABA5-B861-41DE-9921-BE78519DCA55}"/>
    <cellStyle name="Note 3 2 2 5 3 3" xfId="14645" xr:uid="{96440A1A-6736-4DC7-9389-32D5F575B5C5}"/>
    <cellStyle name="Note 3 2 2 5 4" xfId="18053" xr:uid="{CB57E769-C5E6-4CE4-9C8E-421E95561755}"/>
    <cellStyle name="Note 3 2 2 5 5" xfId="10432" xr:uid="{49B1C81F-4C60-47E3-9E35-AD42FE9D3C41}"/>
    <cellStyle name="Note 3 2 2 6" xfId="2257" xr:uid="{00000000-0005-0000-0000-000073210000}"/>
    <cellStyle name="Note 3 2 2 6 2" xfId="4486" xr:uid="{00000000-0005-0000-0000-000074210000}"/>
    <cellStyle name="Note 3 2 2 6 2 2" xfId="8708" xr:uid="{00000000-0005-0000-0000-000075210000}"/>
    <cellStyle name="Note 3 2 2 6 2 2 2" xfId="24824" xr:uid="{45485244-EB42-40A7-B9D6-241F785F3965}"/>
    <cellStyle name="Note 3 2 2 6 2 2 3" xfId="17203" xr:uid="{04FA5600-9A0D-422A-88E8-7192CA1C31C2}"/>
    <cellStyle name="Note 3 2 2 6 2 3" xfId="20611" xr:uid="{460B7CF5-CADB-46A1-84F2-AF46B2B4AE16}"/>
    <cellStyle name="Note 3 2 2 6 2 4" xfId="12990" xr:uid="{759B5E62-3FA0-44FA-8C02-2DBF13385F08}"/>
    <cellStyle name="Note 3 2 2 6 3" xfId="6563" xr:uid="{00000000-0005-0000-0000-000076210000}"/>
    <cellStyle name="Note 3 2 2 6 3 2" xfId="22679" xr:uid="{EDCAF08D-7052-475D-87E0-F3FEC39F6CD2}"/>
    <cellStyle name="Note 3 2 2 6 3 3" xfId="15058" xr:uid="{BBE1DB0A-747D-4BDB-96D9-35FEF214B45B}"/>
    <cellStyle name="Note 3 2 2 6 4" xfId="18466" xr:uid="{801EC57E-12B7-4802-AE36-9D2668E72347}"/>
    <cellStyle name="Note 3 2 2 6 5" xfId="10845" xr:uid="{87AF7A81-A0B3-4C9E-81FA-8CF248902A14}"/>
    <cellStyle name="Note 3 2 2 7" xfId="2693" xr:uid="{00000000-0005-0000-0000-000077210000}"/>
    <cellStyle name="Note 3 2 2 7 2" xfId="6976" xr:uid="{00000000-0005-0000-0000-000078210000}"/>
    <cellStyle name="Note 3 2 2 7 2 2" xfId="23092" xr:uid="{F2F24424-B7EE-4D2D-8F69-FDF221175B85}"/>
    <cellStyle name="Note 3 2 2 7 2 3" xfId="15471" xr:uid="{752047B2-54AF-42D0-AE62-34BA64D7F4DF}"/>
    <cellStyle name="Note 3 2 2 7 3" xfId="18879" xr:uid="{D9F9A7E1-D643-45CC-AC1A-E9EAABB89F56}"/>
    <cellStyle name="Note 3 2 2 7 4" xfId="11258" xr:uid="{3E4831E4-FCF7-4A3A-9286-51F91ABA8BE1}"/>
    <cellStyle name="Note 3 2 2 8" xfId="2752" xr:uid="{00000000-0005-0000-0000-000079210000}"/>
    <cellStyle name="Note 3 2 2 9" xfId="2833" xr:uid="{00000000-0005-0000-0000-00007A210000}"/>
    <cellStyle name="Note 3 2 2 9 2" xfId="7056" xr:uid="{00000000-0005-0000-0000-00007B210000}"/>
    <cellStyle name="Note 3 2 2 9 2 2" xfId="23172" xr:uid="{CEB13A10-B6AC-454D-A617-D5F5DD1299AA}"/>
    <cellStyle name="Note 3 2 2 9 2 3" xfId="15551" xr:uid="{E6050C27-F67B-4BD1-8410-5E44DA068815}"/>
    <cellStyle name="Note 3 2 2 9 3" xfId="18959" xr:uid="{B49B798D-7CB3-4E3A-8777-D8EC0E04CB95}"/>
    <cellStyle name="Note 3 2 2 9 4" xfId="11338" xr:uid="{BD2E9595-06BC-4CE9-8B35-5402D32007A1}"/>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2 2 2" xfId="23587" xr:uid="{8282BBB4-B80D-47F6-B407-111FB85A5B97}"/>
    <cellStyle name="Note 3 2 3 2 2 2 3" xfId="15966" xr:uid="{92F9EC89-FBBB-416C-9927-1B771A62BE0C}"/>
    <cellStyle name="Note 3 2 3 2 2 3" xfId="19374" xr:uid="{FB522A94-03E8-4C33-B0DA-1FD5FE745911}"/>
    <cellStyle name="Note 3 2 3 2 2 4" xfId="11753" xr:uid="{0A3D9A3B-5925-4B6B-BA2A-4FB39C735C66}"/>
    <cellStyle name="Note 3 2 3 2 3" xfId="5326" xr:uid="{00000000-0005-0000-0000-000080210000}"/>
    <cellStyle name="Note 3 2 3 2 3 2" xfId="21442" xr:uid="{B141BD79-17E8-4F6E-8E47-90C0C7FEC0AF}"/>
    <cellStyle name="Note 3 2 3 2 3 3" xfId="13821" xr:uid="{B9D7861E-9D78-466D-B171-260EED62FDEF}"/>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2 2 2" xfId="24000" xr:uid="{1DE1C012-2206-4025-ACB5-1C4EB626EAD6}"/>
    <cellStyle name="Note 3 2 3 3 2 2 3" xfId="16379" xr:uid="{F908CA7D-F2EA-4543-8A92-8046B93CDC7B}"/>
    <cellStyle name="Note 3 2 3 3 2 3" xfId="19787" xr:uid="{D4588D28-3AF5-46CA-8CB7-35D4EBC42BBD}"/>
    <cellStyle name="Note 3 2 3 3 2 4" xfId="12166" xr:uid="{CFAFAAA3-93D7-4F48-BC9B-88ED34EC1A8E}"/>
    <cellStyle name="Note 3 2 3 3 3" xfId="5739" xr:uid="{00000000-0005-0000-0000-000084210000}"/>
    <cellStyle name="Note 3 2 3 3 3 2" xfId="21855" xr:uid="{32C44927-2275-4D0B-85DE-5BFE8F04867F}"/>
    <cellStyle name="Note 3 2 3 3 3 3" xfId="14234" xr:uid="{85EF5434-EB99-40A8-9DB8-FA4F882BB9FD}"/>
    <cellStyle name="Note 3 2 3 3 4" xfId="17642" xr:uid="{C6311B30-BE28-4252-9785-8110D485BBA8}"/>
    <cellStyle name="Note 3 2 3 3 5" xfId="10021" xr:uid="{D42258C9-D750-4396-BF22-E9048C130B0A}"/>
    <cellStyle name="Note 3 2 3 4" xfId="1846" xr:uid="{00000000-0005-0000-0000-000085210000}"/>
    <cellStyle name="Note 3 2 3 4 2" xfId="4075" xr:uid="{00000000-0005-0000-0000-000086210000}"/>
    <cellStyle name="Note 3 2 3 4 2 2" xfId="8297" xr:uid="{00000000-0005-0000-0000-000087210000}"/>
    <cellStyle name="Note 3 2 3 4 2 2 2" xfId="24413" xr:uid="{833F4E6A-E50A-450D-8843-A6FE087C0F5D}"/>
    <cellStyle name="Note 3 2 3 4 2 2 3" xfId="16792" xr:uid="{63506968-490D-4270-A842-9F38ADC5E646}"/>
    <cellStyle name="Note 3 2 3 4 2 3" xfId="20200" xr:uid="{24FD844E-2A05-44C9-B3E0-AF8A101526C7}"/>
    <cellStyle name="Note 3 2 3 4 2 4" xfId="12579" xr:uid="{E575FEC2-40F3-496D-BFB7-6DF773FA961A}"/>
    <cellStyle name="Note 3 2 3 4 3" xfId="6152" xr:uid="{00000000-0005-0000-0000-000088210000}"/>
    <cellStyle name="Note 3 2 3 4 3 2" xfId="22268" xr:uid="{997F941C-8149-494B-B2D2-D43000C14584}"/>
    <cellStyle name="Note 3 2 3 4 3 3" xfId="14647" xr:uid="{9388E26B-4377-4805-A858-9A3188490C8E}"/>
    <cellStyle name="Note 3 2 3 4 4" xfId="18055" xr:uid="{3F172DC4-B453-4382-A5CA-E3CB865E83E7}"/>
    <cellStyle name="Note 3 2 3 4 5" xfId="10434" xr:uid="{7B5B845A-6E9D-4655-9436-EF8CF9468390}"/>
    <cellStyle name="Note 3 2 3 5" xfId="2259" xr:uid="{00000000-0005-0000-0000-000089210000}"/>
    <cellStyle name="Note 3 2 3 5 2" xfId="4488" xr:uid="{00000000-0005-0000-0000-00008A210000}"/>
    <cellStyle name="Note 3 2 3 5 2 2" xfId="8710" xr:uid="{00000000-0005-0000-0000-00008B210000}"/>
    <cellStyle name="Note 3 2 3 5 2 2 2" xfId="24826" xr:uid="{AA5D9F4A-A889-46E9-887F-560EEF360E6B}"/>
    <cellStyle name="Note 3 2 3 5 2 2 3" xfId="17205" xr:uid="{D82AC1AD-AC98-468B-A05B-BF39EE9AD81E}"/>
    <cellStyle name="Note 3 2 3 5 2 3" xfId="20613" xr:uid="{D0FF2FA6-FAB0-4D2F-A196-3A056A6BD56F}"/>
    <cellStyle name="Note 3 2 3 5 2 4" xfId="12992" xr:uid="{739E9A0B-F2D3-4C47-B2AD-0F341BF8977B}"/>
    <cellStyle name="Note 3 2 3 5 3" xfId="6565" xr:uid="{00000000-0005-0000-0000-00008C210000}"/>
    <cellStyle name="Note 3 2 3 5 3 2" xfId="22681" xr:uid="{04FE87E6-B0CA-4FE5-9718-B0CC0405C3D8}"/>
    <cellStyle name="Note 3 2 3 5 3 3" xfId="15060" xr:uid="{33CA0DEA-74F9-4C91-B91B-7B7429211916}"/>
    <cellStyle name="Note 3 2 3 5 4" xfId="18468" xr:uid="{46601036-F90A-4827-9622-B4B99B0DA1D9}"/>
    <cellStyle name="Note 3 2 3 5 5" xfId="10847" xr:uid="{143166B4-8950-43EA-B59B-379D8760F3DB}"/>
    <cellStyle name="Note 3 2 3 6" xfId="2695" xr:uid="{00000000-0005-0000-0000-00008D210000}"/>
    <cellStyle name="Note 3 2 3 6 2" xfId="6978" xr:uid="{00000000-0005-0000-0000-00008E210000}"/>
    <cellStyle name="Note 3 2 3 6 2 2" xfId="23094" xr:uid="{121A9A8D-164A-4DE0-BBFF-C6A6F73A4D3D}"/>
    <cellStyle name="Note 3 2 3 6 2 3" xfId="15473" xr:uid="{AE0143AC-B96B-455B-B23E-0CD911168AFA}"/>
    <cellStyle name="Note 3 2 3 6 3" xfId="18881" xr:uid="{256F38BF-65F3-40B7-B061-EAFC6F000D41}"/>
    <cellStyle name="Note 3 2 3 6 4" xfId="11260" xr:uid="{6A41282F-B04D-4670-8F56-D6CF88C1D598}"/>
    <cellStyle name="Note 3 2 3 7" xfId="2754" xr:uid="{00000000-0005-0000-0000-00008F210000}"/>
    <cellStyle name="Note 3 2 3 8" xfId="2835" xr:uid="{00000000-0005-0000-0000-000090210000}"/>
    <cellStyle name="Note 3 2 3 8 2" xfId="7058" xr:uid="{00000000-0005-0000-0000-000091210000}"/>
    <cellStyle name="Note 3 2 3 8 2 2" xfId="23174" xr:uid="{5C3311C7-5BCB-4153-BA8A-E59286D98794}"/>
    <cellStyle name="Note 3 2 3 8 2 3" xfId="15553" xr:uid="{BE329C59-ED89-4D79-B4A6-CFAC54AA921C}"/>
    <cellStyle name="Note 3 2 3 8 3" xfId="18961" xr:uid="{E82F771C-E861-4BFA-A1B6-FF762684DBAC}"/>
    <cellStyle name="Note 3 2 3 8 4" xfId="11340" xr:uid="{B0FF8037-F1D7-4C55-A3B3-CC4DB22D40C6}"/>
    <cellStyle name="Note 3 2 3 9" xfId="4913" xr:uid="{00000000-0005-0000-0000-000092210000}"/>
    <cellStyle name="Note 3 2 3 9 2" xfId="21029" xr:uid="{71FB9573-92A2-429A-9FDF-19B1BCDE01CD}"/>
    <cellStyle name="Note 3 2 3 9 3" xfId="13408" xr:uid="{FB5B9607-B6E3-4F97-A9F0-F1D0FD0DE0DC}"/>
    <cellStyle name="Note 3 2 4" xfId="1014" xr:uid="{00000000-0005-0000-0000-000093210000}"/>
    <cellStyle name="Note 3 2 4 2" xfId="3246" xr:uid="{00000000-0005-0000-0000-000094210000}"/>
    <cellStyle name="Note 3 2 4 2 2" xfId="7468" xr:uid="{00000000-0005-0000-0000-000095210000}"/>
    <cellStyle name="Note 3 2 4 2 2 2" xfId="23584" xr:uid="{146BCAD6-91CA-49ED-9550-DD2536B5E0B5}"/>
    <cellStyle name="Note 3 2 4 2 2 3" xfId="15963" xr:uid="{8BE2BBAE-712D-49BE-AD52-CE044B87001A}"/>
    <cellStyle name="Note 3 2 4 2 3" xfId="19371" xr:uid="{DFBC32DE-1C79-4546-842B-BB402CAA25AD}"/>
    <cellStyle name="Note 3 2 4 2 4" xfId="11750" xr:uid="{68CC5167-1665-40E2-BCB7-5717B9913C84}"/>
    <cellStyle name="Note 3 2 4 3" xfId="5323" xr:uid="{00000000-0005-0000-0000-000096210000}"/>
    <cellStyle name="Note 3 2 4 3 2" xfId="21439" xr:uid="{54F51675-1A61-45C3-ADFC-B43BCFC519AB}"/>
    <cellStyle name="Note 3 2 4 3 3" xfId="13818" xr:uid="{B891A37C-187C-4D56-B17C-182BCFE1A565}"/>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2 2 2" xfId="23997" xr:uid="{F8A4FB37-E2CF-4F47-82DA-6859FD36583D}"/>
    <cellStyle name="Note 3 2 5 2 2 3" xfId="16376" xr:uid="{F1F3BCC4-D3B8-4AFC-893A-C72E7F5EC117}"/>
    <cellStyle name="Note 3 2 5 2 3" xfId="19784" xr:uid="{8CCFEB88-CCDE-45EF-ADB2-4F7EAEB63FA5}"/>
    <cellStyle name="Note 3 2 5 2 4" xfId="12163" xr:uid="{5CEE1BA9-6312-4A15-90F3-B08BA07ECB20}"/>
    <cellStyle name="Note 3 2 5 3" xfId="5736" xr:uid="{00000000-0005-0000-0000-00009A210000}"/>
    <cellStyle name="Note 3 2 5 3 2" xfId="21852" xr:uid="{9F12B338-5AC7-4283-81B5-0F568A6D9F1F}"/>
    <cellStyle name="Note 3 2 5 3 3" xfId="14231" xr:uid="{E1F611E2-9D53-4F75-B833-924A50AB3AE3}"/>
    <cellStyle name="Note 3 2 5 4" xfId="17639" xr:uid="{6E8D4B36-0D17-457A-A6D1-D3C286F05FEF}"/>
    <cellStyle name="Note 3 2 5 5" xfId="10018" xr:uid="{62C7496A-7461-416C-93AA-6013FEF105CA}"/>
    <cellStyle name="Note 3 2 6" xfId="1843" xr:uid="{00000000-0005-0000-0000-00009B210000}"/>
    <cellStyle name="Note 3 2 6 2" xfId="4072" xr:uid="{00000000-0005-0000-0000-00009C210000}"/>
    <cellStyle name="Note 3 2 6 2 2" xfId="8294" xr:uid="{00000000-0005-0000-0000-00009D210000}"/>
    <cellStyle name="Note 3 2 6 2 2 2" xfId="24410" xr:uid="{24592203-92D6-403D-B0E9-B2B6F5044E55}"/>
    <cellStyle name="Note 3 2 6 2 2 3" xfId="16789" xr:uid="{A474F347-2E8F-4870-94D2-59474018B18F}"/>
    <cellStyle name="Note 3 2 6 2 3" xfId="20197" xr:uid="{8696780A-1925-4394-BCFF-5ED36611CF1A}"/>
    <cellStyle name="Note 3 2 6 2 4" xfId="12576" xr:uid="{480EB72C-D619-4FF0-A2C7-63A5CB15EAB4}"/>
    <cellStyle name="Note 3 2 6 3" xfId="6149" xr:uid="{00000000-0005-0000-0000-00009E210000}"/>
    <cellStyle name="Note 3 2 6 3 2" xfId="22265" xr:uid="{0C3CF4E5-3063-4F2A-8BF4-4D8126A4AD51}"/>
    <cellStyle name="Note 3 2 6 3 3" xfId="14644" xr:uid="{2360DDFD-77DA-4C27-A9C3-92EF2E73B1CE}"/>
    <cellStyle name="Note 3 2 6 4" xfId="18052" xr:uid="{A72F3AED-DDC2-49E1-ADC2-C28DB5C0754A}"/>
    <cellStyle name="Note 3 2 6 5" xfId="10431" xr:uid="{6B6D73FD-3D0B-4FA8-AE9E-D2B1794FBBB2}"/>
    <cellStyle name="Note 3 2 7" xfId="2256" xr:uid="{00000000-0005-0000-0000-00009F210000}"/>
    <cellStyle name="Note 3 2 7 2" xfId="4485" xr:uid="{00000000-0005-0000-0000-0000A0210000}"/>
    <cellStyle name="Note 3 2 7 2 2" xfId="8707" xr:uid="{00000000-0005-0000-0000-0000A1210000}"/>
    <cellStyle name="Note 3 2 7 2 2 2" xfId="24823" xr:uid="{A0778075-A248-4106-AAB3-AEA43EB43446}"/>
    <cellStyle name="Note 3 2 7 2 2 3" xfId="17202" xr:uid="{08DE7024-1A3E-4927-8700-4AB5D658F8E7}"/>
    <cellStyle name="Note 3 2 7 2 3" xfId="20610" xr:uid="{3AFEDA33-786E-42D7-A805-FD9BCA74D151}"/>
    <cellStyle name="Note 3 2 7 2 4" xfId="12989" xr:uid="{B04F1AAB-9B57-4278-8830-FE6FBA6702A6}"/>
    <cellStyle name="Note 3 2 7 3" xfId="6562" xr:uid="{00000000-0005-0000-0000-0000A2210000}"/>
    <cellStyle name="Note 3 2 7 3 2" xfId="22678" xr:uid="{69CDD063-E344-44DA-8C8C-43FD089B3DA5}"/>
    <cellStyle name="Note 3 2 7 3 3" xfId="15057" xr:uid="{A47B683A-1078-4EBA-BA60-727F3EF2CD76}"/>
    <cellStyle name="Note 3 2 7 4" xfId="18465" xr:uid="{3F2E1989-AFF0-4B61-A85C-89F89609CE44}"/>
    <cellStyle name="Note 3 2 7 5" xfId="10844" xr:uid="{66FFA5E5-7C5B-444D-A869-5FD07EB3908D}"/>
    <cellStyle name="Note 3 2 8" xfId="2692" xr:uid="{00000000-0005-0000-0000-0000A3210000}"/>
    <cellStyle name="Note 3 2 8 2" xfId="6975" xr:uid="{00000000-0005-0000-0000-0000A4210000}"/>
    <cellStyle name="Note 3 2 8 2 2" xfId="23091" xr:uid="{D9AA4785-AFA0-40E9-AC26-1078BD4D1399}"/>
    <cellStyle name="Note 3 2 8 2 3" xfId="15470" xr:uid="{68FE10D7-FAA7-4176-A1EA-7EF9136C310A}"/>
    <cellStyle name="Note 3 2 8 3" xfId="18878" xr:uid="{E991D4E2-6317-436A-84A2-10D4555716E8}"/>
    <cellStyle name="Note 3 2 8 4" xfId="11257" xr:uid="{E948EFE2-CA43-4D51-B617-28E68CC2B96F}"/>
    <cellStyle name="Note 3 2 9" xfId="2751" xr:uid="{00000000-0005-0000-0000-0000A5210000}"/>
    <cellStyle name="Note 3 3" xfId="558" xr:uid="{00000000-0005-0000-0000-0000A6210000}"/>
    <cellStyle name="Note 3 3 10" xfId="4914" xr:uid="{00000000-0005-0000-0000-0000A7210000}"/>
    <cellStyle name="Note 3 3 10 2" xfId="21030" xr:uid="{A5B2415D-1BBE-455C-AB6D-7A9B8B26A77C}"/>
    <cellStyle name="Note 3 3 10 3" xfId="13409" xr:uid="{B86AC4CF-723B-454B-A1C5-87EAEC4BEC1F}"/>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2 2 2" xfId="23589" xr:uid="{9F7AE6C7-B0DE-44CE-8DBF-CD75986282BB}"/>
    <cellStyle name="Note 3 3 2 2 2 2 3" xfId="15968" xr:uid="{F0575FFC-3DE4-40AE-93DC-E781D8C1FA38}"/>
    <cellStyle name="Note 3 3 2 2 2 3" xfId="19376" xr:uid="{81AEB6B3-85DE-489E-8C01-82271FFBEF98}"/>
    <cellStyle name="Note 3 3 2 2 2 4" xfId="11755" xr:uid="{42301FDB-1DB7-422C-83AA-0E7F77312C14}"/>
    <cellStyle name="Note 3 3 2 2 3" xfId="5328" xr:uid="{00000000-0005-0000-0000-0000AC210000}"/>
    <cellStyle name="Note 3 3 2 2 3 2" xfId="21444" xr:uid="{198DF7FA-FEB7-4E2B-A9A3-9D34E9BE70DB}"/>
    <cellStyle name="Note 3 3 2 2 3 3" xfId="13823" xr:uid="{56EAF154-53B6-49BC-A864-4CCCDF05D874}"/>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2 2 2" xfId="24002" xr:uid="{8EFE9797-091A-4858-B63C-66C51D2B3410}"/>
    <cellStyle name="Note 3 3 2 3 2 2 3" xfId="16381" xr:uid="{FD9766C8-1DBA-4BCB-AC72-72038F6FE562}"/>
    <cellStyle name="Note 3 3 2 3 2 3" xfId="19789" xr:uid="{C643A0C7-5445-442D-9C7A-632C35EE7AF6}"/>
    <cellStyle name="Note 3 3 2 3 2 4" xfId="12168" xr:uid="{70ED1FDD-32BE-40C8-B30B-38B53291471D}"/>
    <cellStyle name="Note 3 3 2 3 3" xfId="5741" xr:uid="{00000000-0005-0000-0000-0000B0210000}"/>
    <cellStyle name="Note 3 3 2 3 3 2" xfId="21857" xr:uid="{009FCB31-6885-4062-9AF7-A85CEC10743F}"/>
    <cellStyle name="Note 3 3 2 3 3 3" xfId="14236" xr:uid="{134D8540-3C2A-4B0A-8675-2F81C3A3BF1F}"/>
    <cellStyle name="Note 3 3 2 3 4" xfId="17644" xr:uid="{45966CF2-0FF9-4349-A02B-FB966DF87F0D}"/>
    <cellStyle name="Note 3 3 2 3 5" xfId="10023" xr:uid="{4CDC67EA-5FC2-4172-B9AD-81A945791671}"/>
    <cellStyle name="Note 3 3 2 4" xfId="1848" xr:uid="{00000000-0005-0000-0000-0000B1210000}"/>
    <cellStyle name="Note 3 3 2 4 2" xfId="4077" xr:uid="{00000000-0005-0000-0000-0000B2210000}"/>
    <cellStyle name="Note 3 3 2 4 2 2" xfId="8299" xr:uid="{00000000-0005-0000-0000-0000B3210000}"/>
    <cellStyle name="Note 3 3 2 4 2 2 2" xfId="24415" xr:uid="{153FACC9-705A-4CFB-BFF8-368550A7F4F3}"/>
    <cellStyle name="Note 3 3 2 4 2 2 3" xfId="16794" xr:uid="{74BB062C-8BB8-4131-BD30-C8AC69ED6C8B}"/>
    <cellStyle name="Note 3 3 2 4 2 3" xfId="20202" xr:uid="{E87DBF7B-8C37-4966-8C22-A2E1F2E7BDD3}"/>
    <cellStyle name="Note 3 3 2 4 2 4" xfId="12581" xr:uid="{BD7CDFAA-C571-47F9-9ACB-4D486564C235}"/>
    <cellStyle name="Note 3 3 2 4 3" xfId="6154" xr:uid="{00000000-0005-0000-0000-0000B4210000}"/>
    <cellStyle name="Note 3 3 2 4 3 2" xfId="22270" xr:uid="{AFF7D759-EA85-4164-BBC8-BE184F9D2A50}"/>
    <cellStyle name="Note 3 3 2 4 3 3" xfId="14649" xr:uid="{D1314B44-0F20-4A9C-A100-F150155DEDC6}"/>
    <cellStyle name="Note 3 3 2 4 4" xfId="18057" xr:uid="{F6388D04-97B6-4D37-9269-08F2370BB0CE}"/>
    <cellStyle name="Note 3 3 2 4 5" xfId="10436" xr:uid="{56F6F4E1-D7B3-4542-A67A-E5072370E62D}"/>
    <cellStyle name="Note 3 3 2 5" xfId="2261" xr:uid="{00000000-0005-0000-0000-0000B5210000}"/>
    <cellStyle name="Note 3 3 2 5 2" xfId="4490" xr:uid="{00000000-0005-0000-0000-0000B6210000}"/>
    <cellStyle name="Note 3 3 2 5 2 2" xfId="8712" xr:uid="{00000000-0005-0000-0000-0000B7210000}"/>
    <cellStyle name="Note 3 3 2 5 2 2 2" xfId="24828" xr:uid="{8FFA5E4E-E677-4A90-B564-CFCBBE104724}"/>
    <cellStyle name="Note 3 3 2 5 2 2 3" xfId="17207" xr:uid="{5A252FCF-F9FB-4D26-A906-0D7C5D758665}"/>
    <cellStyle name="Note 3 3 2 5 2 3" xfId="20615" xr:uid="{76C8EA7F-1F37-4090-A20A-96734250EC45}"/>
    <cellStyle name="Note 3 3 2 5 2 4" xfId="12994" xr:uid="{8EBE658E-C872-4785-B296-84A6C154FEDE}"/>
    <cellStyle name="Note 3 3 2 5 3" xfId="6567" xr:uid="{00000000-0005-0000-0000-0000B8210000}"/>
    <cellStyle name="Note 3 3 2 5 3 2" xfId="22683" xr:uid="{90E34EC4-FB2D-40AD-A1BB-018833F348AA}"/>
    <cellStyle name="Note 3 3 2 5 3 3" xfId="15062" xr:uid="{6294FBAA-ADCB-4115-8E85-8E08D11ED2E6}"/>
    <cellStyle name="Note 3 3 2 5 4" xfId="18470" xr:uid="{CE488D31-8864-45F0-A9ED-348984B822F4}"/>
    <cellStyle name="Note 3 3 2 5 5" xfId="10849" xr:uid="{96B6A2B9-3A1D-4A97-ABDF-E830C0B7E71B}"/>
    <cellStyle name="Note 3 3 2 6" xfId="2697" xr:uid="{00000000-0005-0000-0000-0000B9210000}"/>
    <cellStyle name="Note 3 3 2 6 2" xfId="6980" xr:uid="{00000000-0005-0000-0000-0000BA210000}"/>
    <cellStyle name="Note 3 3 2 6 2 2" xfId="23096" xr:uid="{525F6C04-5647-478C-A777-9AF8136A9C3F}"/>
    <cellStyle name="Note 3 3 2 6 2 3" xfId="15475" xr:uid="{0580C3EA-7C19-4E49-AC41-0C2C1A674891}"/>
    <cellStyle name="Note 3 3 2 6 3" xfId="18883" xr:uid="{D73E3D1D-364A-4E31-9607-9057A832ABCA}"/>
    <cellStyle name="Note 3 3 2 6 4" xfId="11262" xr:uid="{F7AB9678-460C-4A8A-960D-C43029EDDAFD}"/>
    <cellStyle name="Note 3 3 2 7" xfId="2756" xr:uid="{00000000-0005-0000-0000-0000BB210000}"/>
    <cellStyle name="Note 3 3 2 8" xfId="2837" xr:uid="{00000000-0005-0000-0000-0000BC210000}"/>
    <cellStyle name="Note 3 3 2 8 2" xfId="7060" xr:uid="{00000000-0005-0000-0000-0000BD210000}"/>
    <cellStyle name="Note 3 3 2 8 2 2" xfId="23176" xr:uid="{DE6FAA8D-DB8F-4EA0-AB6C-71CC3F61F462}"/>
    <cellStyle name="Note 3 3 2 8 2 3" xfId="15555" xr:uid="{33E7DC59-8153-4FEF-B73A-9F19F5E0F686}"/>
    <cellStyle name="Note 3 3 2 8 3" xfId="18963" xr:uid="{ECC671BD-55F9-469A-9E3A-1CF1C7D4884C}"/>
    <cellStyle name="Note 3 3 2 8 4" xfId="11342" xr:uid="{16F10841-A1D9-456C-AA69-11C53FF9FFB7}"/>
    <cellStyle name="Note 3 3 2 9" xfId="4915" xr:uid="{00000000-0005-0000-0000-0000BE210000}"/>
    <cellStyle name="Note 3 3 2 9 2" xfId="21031" xr:uid="{7E4FC3D3-E589-4068-A924-A7D160D4746F}"/>
    <cellStyle name="Note 3 3 2 9 3" xfId="13410" xr:uid="{69FF298F-1057-49F4-8FF6-48E49F372C34}"/>
    <cellStyle name="Note 3 3 3" xfId="1018" xr:uid="{00000000-0005-0000-0000-0000BF210000}"/>
    <cellStyle name="Note 3 3 3 2" xfId="3250" xr:uid="{00000000-0005-0000-0000-0000C0210000}"/>
    <cellStyle name="Note 3 3 3 2 2" xfId="7472" xr:uid="{00000000-0005-0000-0000-0000C1210000}"/>
    <cellStyle name="Note 3 3 3 2 2 2" xfId="23588" xr:uid="{6C71D392-F74C-4E69-AB2D-0933DE580E2D}"/>
    <cellStyle name="Note 3 3 3 2 2 3" xfId="15967" xr:uid="{84CCD3EF-41ED-4662-88D9-33AD3A10EACA}"/>
    <cellStyle name="Note 3 3 3 2 3" xfId="19375" xr:uid="{16EA150C-84DD-4A42-9135-ED27096F7703}"/>
    <cellStyle name="Note 3 3 3 2 4" xfId="11754" xr:uid="{D960492E-27ED-405B-8930-31A9254E7A28}"/>
    <cellStyle name="Note 3 3 3 3" xfId="5327" xr:uid="{00000000-0005-0000-0000-0000C2210000}"/>
    <cellStyle name="Note 3 3 3 3 2" xfId="21443" xr:uid="{F0DEA5F0-D221-4ACB-872A-A2B384DB87B0}"/>
    <cellStyle name="Note 3 3 3 3 3" xfId="13822" xr:uid="{D482F3E7-FED5-4E86-8327-673B80AC788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2 2 2" xfId="24001" xr:uid="{F2DFB0D0-11F9-474A-A0A7-EDBA50B008EA}"/>
    <cellStyle name="Note 3 3 4 2 2 3" xfId="16380" xr:uid="{F53EB2CF-F58E-48CE-BA74-19BCBA85F01A}"/>
    <cellStyle name="Note 3 3 4 2 3" xfId="19788" xr:uid="{9F2CDBA4-404F-4504-B13A-A9FCEF637B58}"/>
    <cellStyle name="Note 3 3 4 2 4" xfId="12167" xr:uid="{AD4EA165-48E7-4719-95E6-9237CE526D58}"/>
    <cellStyle name="Note 3 3 4 3" xfId="5740" xr:uid="{00000000-0005-0000-0000-0000C6210000}"/>
    <cellStyle name="Note 3 3 4 3 2" xfId="21856" xr:uid="{5A8920DE-0C8D-453C-A313-9BAA7B9447D1}"/>
    <cellStyle name="Note 3 3 4 3 3" xfId="14235" xr:uid="{642030C8-7226-45C8-9072-7DD13227ECBC}"/>
    <cellStyle name="Note 3 3 4 4" xfId="17643" xr:uid="{A0B850EC-B485-4107-9BF6-6BC458F02A26}"/>
    <cellStyle name="Note 3 3 4 5" xfId="10022" xr:uid="{D0E3DAFB-8E30-41FB-87E9-1BE1A8AE9D41}"/>
    <cellStyle name="Note 3 3 5" xfId="1847" xr:uid="{00000000-0005-0000-0000-0000C7210000}"/>
    <cellStyle name="Note 3 3 5 2" xfId="4076" xr:uid="{00000000-0005-0000-0000-0000C8210000}"/>
    <cellStyle name="Note 3 3 5 2 2" xfId="8298" xr:uid="{00000000-0005-0000-0000-0000C9210000}"/>
    <cellStyle name="Note 3 3 5 2 2 2" xfId="24414" xr:uid="{D058D994-4846-404B-8BE6-CA4C92403092}"/>
    <cellStyle name="Note 3 3 5 2 2 3" xfId="16793" xr:uid="{D5044969-4148-4A57-8FB7-363A2A0B1FCE}"/>
    <cellStyle name="Note 3 3 5 2 3" xfId="20201" xr:uid="{50E2A85B-5B6D-41A3-89AB-BF7635D77486}"/>
    <cellStyle name="Note 3 3 5 2 4" xfId="12580" xr:uid="{4F77EC89-DFCB-419E-9560-B3DEF7282B60}"/>
    <cellStyle name="Note 3 3 5 3" xfId="6153" xr:uid="{00000000-0005-0000-0000-0000CA210000}"/>
    <cellStyle name="Note 3 3 5 3 2" xfId="22269" xr:uid="{60B33B6B-F2F9-42A1-8D3F-5D144AC27F9E}"/>
    <cellStyle name="Note 3 3 5 3 3" xfId="14648" xr:uid="{5059E3BE-FF4C-49C5-B52F-110F67201812}"/>
    <cellStyle name="Note 3 3 5 4" xfId="18056" xr:uid="{1479E2CA-1BE3-4123-9F9C-72237E91DAD8}"/>
    <cellStyle name="Note 3 3 5 5" xfId="10435" xr:uid="{F57ADE0E-015F-411E-BF0D-279544764C6E}"/>
    <cellStyle name="Note 3 3 6" xfId="2260" xr:uid="{00000000-0005-0000-0000-0000CB210000}"/>
    <cellStyle name="Note 3 3 6 2" xfId="4489" xr:uid="{00000000-0005-0000-0000-0000CC210000}"/>
    <cellStyle name="Note 3 3 6 2 2" xfId="8711" xr:uid="{00000000-0005-0000-0000-0000CD210000}"/>
    <cellStyle name="Note 3 3 6 2 2 2" xfId="24827" xr:uid="{3B400086-0D4C-4639-A3D2-6BC71BE9DB49}"/>
    <cellStyle name="Note 3 3 6 2 2 3" xfId="17206" xr:uid="{3E2689F2-7EED-49CA-B033-210126245A2A}"/>
    <cellStyle name="Note 3 3 6 2 3" xfId="20614" xr:uid="{314C98AC-066E-4066-85B3-1DC819A5D9E4}"/>
    <cellStyle name="Note 3 3 6 2 4" xfId="12993" xr:uid="{28CAF01B-E7C2-465F-91AB-4E106FEC3ADC}"/>
    <cellStyle name="Note 3 3 6 3" xfId="6566" xr:uid="{00000000-0005-0000-0000-0000CE210000}"/>
    <cellStyle name="Note 3 3 6 3 2" xfId="22682" xr:uid="{7B560B7E-C61E-43CC-B5AE-CC0F41E3A228}"/>
    <cellStyle name="Note 3 3 6 3 3" xfId="15061" xr:uid="{B419A826-6426-4E6F-A22E-2B25F788020D}"/>
    <cellStyle name="Note 3 3 6 4" xfId="18469" xr:uid="{8D0DF23C-D527-4DE1-B4A7-B0D8947EC030}"/>
    <cellStyle name="Note 3 3 6 5" xfId="10848" xr:uid="{E5B6C02A-E63F-4E17-90B3-6E750C16D63A}"/>
    <cellStyle name="Note 3 3 7" xfId="2696" xr:uid="{00000000-0005-0000-0000-0000CF210000}"/>
    <cellStyle name="Note 3 3 7 2" xfId="6979" xr:uid="{00000000-0005-0000-0000-0000D0210000}"/>
    <cellStyle name="Note 3 3 7 2 2" xfId="23095" xr:uid="{5D46D1D3-C86A-406B-A989-50E5022A37E2}"/>
    <cellStyle name="Note 3 3 7 2 3" xfId="15474" xr:uid="{57CA79A1-EF25-49ED-A3F6-45DEC6DA23D2}"/>
    <cellStyle name="Note 3 3 7 3" xfId="18882" xr:uid="{D7AEE0C5-A855-43BD-BE8C-41F53D066066}"/>
    <cellStyle name="Note 3 3 7 4" xfId="11261" xr:uid="{13B22A18-55E2-4460-B57A-D575BF4EE818}"/>
    <cellStyle name="Note 3 3 8" xfId="2755" xr:uid="{00000000-0005-0000-0000-0000D1210000}"/>
    <cellStyle name="Note 3 3 9" xfId="2836" xr:uid="{00000000-0005-0000-0000-0000D2210000}"/>
    <cellStyle name="Note 3 3 9 2" xfId="7059" xr:uid="{00000000-0005-0000-0000-0000D3210000}"/>
    <cellStyle name="Note 3 3 9 2 2" xfId="23175" xr:uid="{05DAC5D5-3579-4F22-BFD7-C7DE5FB178B5}"/>
    <cellStyle name="Note 3 3 9 2 3" xfId="15554" xr:uid="{537135F5-99D2-48CB-A4E2-80430CBE5BF8}"/>
    <cellStyle name="Note 3 3 9 3" xfId="18962" xr:uid="{451C1F41-69B3-4C48-8224-D767A7BDB2FC}"/>
    <cellStyle name="Note 3 3 9 4" xfId="11341" xr:uid="{F32D5156-AFF1-41A3-8510-25C3182D185E}"/>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2 2 2" xfId="23590" xr:uid="{8D0918BC-F8B1-4F78-99FA-BD40D9B318C4}"/>
    <cellStyle name="Note 3 4 2 2 2 3" xfId="15969" xr:uid="{AFF2D9D8-9359-4FC2-9326-F49A2A2D0EC8}"/>
    <cellStyle name="Note 3 4 2 2 3" xfId="19377" xr:uid="{59A6FB0B-A035-4082-B4F8-B70E64820D9F}"/>
    <cellStyle name="Note 3 4 2 2 4" xfId="11756" xr:uid="{AA28C26F-8AFC-417E-A1EC-0CDCA694BFAA}"/>
    <cellStyle name="Note 3 4 2 3" xfId="5329" xr:uid="{00000000-0005-0000-0000-0000D8210000}"/>
    <cellStyle name="Note 3 4 2 3 2" xfId="21445" xr:uid="{99991E4E-6E57-4EC4-B18A-B3C7DAD9BFAC}"/>
    <cellStyle name="Note 3 4 2 3 3" xfId="13824" xr:uid="{DE262FA9-C0A6-4C69-9E99-D18BC5C3B218}"/>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2 2 2" xfId="24003" xr:uid="{AF575F35-B6AC-41DB-8405-A099C7320FD3}"/>
    <cellStyle name="Note 3 4 3 2 2 3" xfId="16382" xr:uid="{E96EA617-96F3-4B4B-BE07-BDC96323BB61}"/>
    <cellStyle name="Note 3 4 3 2 3" xfId="19790" xr:uid="{8281EBEE-ADCB-4D64-A643-F3C68029643C}"/>
    <cellStyle name="Note 3 4 3 2 4" xfId="12169" xr:uid="{0C9D7677-E9B6-4F5B-833C-1168B9A759A8}"/>
    <cellStyle name="Note 3 4 3 3" xfId="5742" xr:uid="{00000000-0005-0000-0000-0000DC210000}"/>
    <cellStyle name="Note 3 4 3 3 2" xfId="21858" xr:uid="{2AECFD99-62C4-42AC-8494-C9F759555E3E}"/>
    <cellStyle name="Note 3 4 3 3 3" xfId="14237" xr:uid="{598F96D6-70AF-4C0C-AB6B-D1C31032731F}"/>
    <cellStyle name="Note 3 4 3 4" xfId="17645" xr:uid="{AD5FABF0-D354-4914-B4EE-5A97F12FEA50}"/>
    <cellStyle name="Note 3 4 3 5" xfId="10024" xr:uid="{6EE42689-669D-4F4F-9DFA-8ACF71C4EC0E}"/>
    <cellStyle name="Note 3 4 4" xfId="1849" xr:uid="{00000000-0005-0000-0000-0000DD210000}"/>
    <cellStyle name="Note 3 4 4 2" xfId="4078" xr:uid="{00000000-0005-0000-0000-0000DE210000}"/>
    <cellStyle name="Note 3 4 4 2 2" xfId="8300" xr:uid="{00000000-0005-0000-0000-0000DF210000}"/>
    <cellStyle name="Note 3 4 4 2 2 2" xfId="24416" xr:uid="{F4DD65D7-846B-4607-BA24-683E9F8C0111}"/>
    <cellStyle name="Note 3 4 4 2 2 3" xfId="16795" xr:uid="{4A0136E7-AAD4-4BDE-923B-459B879FEAC3}"/>
    <cellStyle name="Note 3 4 4 2 3" xfId="20203" xr:uid="{CF1648A5-E95E-4B47-B522-F4C5E29EFC7C}"/>
    <cellStyle name="Note 3 4 4 2 4" xfId="12582" xr:uid="{78F75812-6BD9-49C5-8264-A124DF584281}"/>
    <cellStyle name="Note 3 4 4 3" xfId="6155" xr:uid="{00000000-0005-0000-0000-0000E0210000}"/>
    <cellStyle name="Note 3 4 4 3 2" xfId="22271" xr:uid="{6248BC2B-00E4-493F-8992-19DF4478DF22}"/>
    <cellStyle name="Note 3 4 4 3 3" xfId="14650" xr:uid="{C14B4F26-CC1F-4971-A333-3FC761AE0638}"/>
    <cellStyle name="Note 3 4 4 4" xfId="18058" xr:uid="{B1986607-74E1-4C82-BA7A-09D7FBCFD469}"/>
    <cellStyle name="Note 3 4 4 5" xfId="10437" xr:uid="{2CFDCD06-ABC5-4D5D-9D8D-D839F43F93AA}"/>
    <cellStyle name="Note 3 4 5" xfId="2262" xr:uid="{00000000-0005-0000-0000-0000E1210000}"/>
    <cellStyle name="Note 3 4 5 2" xfId="4491" xr:uid="{00000000-0005-0000-0000-0000E2210000}"/>
    <cellStyle name="Note 3 4 5 2 2" xfId="8713" xr:uid="{00000000-0005-0000-0000-0000E3210000}"/>
    <cellStyle name="Note 3 4 5 2 2 2" xfId="24829" xr:uid="{5CBD9E21-AD04-4799-8093-13537933A829}"/>
    <cellStyle name="Note 3 4 5 2 2 3" xfId="17208" xr:uid="{52F90704-DE7F-487B-AFFD-55BA0310B13C}"/>
    <cellStyle name="Note 3 4 5 2 3" xfId="20616" xr:uid="{A9EF198F-6EAA-4A4E-B513-C2BC2D279E44}"/>
    <cellStyle name="Note 3 4 5 2 4" xfId="12995" xr:uid="{B7ECC1C0-C79E-4239-B693-5144EBE3F903}"/>
    <cellStyle name="Note 3 4 5 3" xfId="6568" xr:uid="{00000000-0005-0000-0000-0000E4210000}"/>
    <cellStyle name="Note 3 4 5 3 2" xfId="22684" xr:uid="{E6DDE415-9BA1-4AE6-9866-ABBEFEF8615F}"/>
    <cellStyle name="Note 3 4 5 3 3" xfId="15063" xr:uid="{5C73E6A6-578B-4284-9CB3-0A31CE6B6182}"/>
    <cellStyle name="Note 3 4 5 4" xfId="18471" xr:uid="{87DECF47-4418-42DD-A60B-4BA12142AFDF}"/>
    <cellStyle name="Note 3 4 5 5" xfId="10850" xr:uid="{C6ED2211-4D57-479A-8DF3-DE9F2C0E44F0}"/>
    <cellStyle name="Note 3 4 6" xfId="2698" xr:uid="{00000000-0005-0000-0000-0000E5210000}"/>
    <cellStyle name="Note 3 4 6 2" xfId="6981" xr:uid="{00000000-0005-0000-0000-0000E6210000}"/>
    <cellStyle name="Note 3 4 6 2 2" xfId="23097" xr:uid="{0BA210F3-B7A8-4553-AD85-5B415B41C88F}"/>
    <cellStyle name="Note 3 4 6 2 3" xfId="15476" xr:uid="{352E1FEB-FDC2-4909-8EB5-791B0C3A09BB}"/>
    <cellStyle name="Note 3 4 6 3" xfId="18884" xr:uid="{C5AD1A40-F82C-40CE-8248-AD55288A5B0B}"/>
    <cellStyle name="Note 3 4 6 4" xfId="11263" xr:uid="{70855410-6D2E-4CD3-BD9A-B540AC2205CB}"/>
    <cellStyle name="Note 3 4 7" xfId="2757" xr:uid="{00000000-0005-0000-0000-0000E7210000}"/>
    <cellStyle name="Note 3 4 8" xfId="2838" xr:uid="{00000000-0005-0000-0000-0000E8210000}"/>
    <cellStyle name="Note 3 4 8 2" xfId="7061" xr:uid="{00000000-0005-0000-0000-0000E9210000}"/>
    <cellStyle name="Note 3 4 8 2 2" xfId="23177" xr:uid="{6B1808D1-275C-4C7D-A6BA-7F9984989D79}"/>
    <cellStyle name="Note 3 4 8 2 3" xfId="15556" xr:uid="{56B86B18-2B1E-4171-B01A-D6CC60801BFF}"/>
    <cellStyle name="Note 3 4 8 3" xfId="18964" xr:uid="{D98AA348-EDD4-4445-913A-029EAF80F5DE}"/>
    <cellStyle name="Note 3 4 8 4" xfId="11343" xr:uid="{4409CEA8-87B9-49DD-BB24-7F0A0293F431}"/>
    <cellStyle name="Note 3 4 9" xfId="4916" xr:uid="{00000000-0005-0000-0000-0000EA210000}"/>
    <cellStyle name="Note 3 4 9 2" xfId="21032" xr:uid="{EE4D391B-0BD7-490C-9287-1E04FF9D6713}"/>
    <cellStyle name="Note 3 4 9 3" xfId="13411" xr:uid="{64C71C9F-9730-4BE3-81C2-6C047443DDD5}"/>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2 2 2" xfId="23591" xr:uid="{E1EDF66C-F046-44FF-9D57-29D3895A0D5D}"/>
    <cellStyle name="Note 3 5 2 2 2 3" xfId="15970" xr:uid="{41B89EF8-32C6-4D44-8737-F3726C4B85C3}"/>
    <cellStyle name="Note 3 5 2 2 3" xfId="19378" xr:uid="{E60E8AFB-FD44-4284-914C-F7C8A3237B88}"/>
    <cellStyle name="Note 3 5 2 2 4" xfId="11757" xr:uid="{3583E8B9-97A9-4AFA-9D7B-DF86AF815A34}"/>
    <cellStyle name="Note 3 5 2 3" xfId="5330" xr:uid="{00000000-0005-0000-0000-0000EF210000}"/>
    <cellStyle name="Note 3 5 2 3 2" xfId="21446" xr:uid="{F8D489EC-024F-490B-A1A9-ED2B0654D4BB}"/>
    <cellStyle name="Note 3 5 2 3 3" xfId="13825" xr:uid="{A1E5D23A-D5A6-4D4A-B0EC-38D861063299}"/>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2 2 2" xfId="24004" xr:uid="{590B984E-561D-4E60-91B0-D4679E8E6D0B}"/>
    <cellStyle name="Note 3 5 3 2 2 3" xfId="16383" xr:uid="{2A13716E-FD59-4469-A9C7-64D0AAECE6E6}"/>
    <cellStyle name="Note 3 5 3 2 3" xfId="19791" xr:uid="{D5341298-66FB-4426-A9C6-99C207F0753C}"/>
    <cellStyle name="Note 3 5 3 2 4" xfId="12170" xr:uid="{30EBFD35-E19F-45AD-A864-167ECA987365}"/>
    <cellStyle name="Note 3 5 3 3" xfId="5743" xr:uid="{00000000-0005-0000-0000-0000F3210000}"/>
    <cellStyle name="Note 3 5 3 3 2" xfId="21859" xr:uid="{3C87AD93-AC1C-4663-98FE-66D3E4C5D038}"/>
    <cellStyle name="Note 3 5 3 3 3" xfId="14238" xr:uid="{86DC44D8-D519-4F29-BD7E-CB948B18438C}"/>
    <cellStyle name="Note 3 5 3 4" xfId="17646" xr:uid="{B03FD54E-A839-41C5-919E-2613B89DF384}"/>
    <cellStyle name="Note 3 5 3 5" xfId="10025" xr:uid="{5A52E121-9C08-46A8-BA2F-44F758A7673A}"/>
    <cellStyle name="Note 3 5 4" xfId="1850" xr:uid="{00000000-0005-0000-0000-0000F4210000}"/>
    <cellStyle name="Note 3 5 4 2" xfId="4079" xr:uid="{00000000-0005-0000-0000-0000F5210000}"/>
    <cellStyle name="Note 3 5 4 2 2" xfId="8301" xr:uid="{00000000-0005-0000-0000-0000F6210000}"/>
    <cellStyle name="Note 3 5 4 2 2 2" xfId="24417" xr:uid="{9DF853C2-1FF2-4B55-8046-001FE14A9C14}"/>
    <cellStyle name="Note 3 5 4 2 2 3" xfId="16796" xr:uid="{D0C69141-99AE-4D0E-BAA1-08A851B6D53B}"/>
    <cellStyle name="Note 3 5 4 2 3" xfId="20204" xr:uid="{9F7382B4-E820-4847-8DC9-0B3E00C3B175}"/>
    <cellStyle name="Note 3 5 4 2 4" xfId="12583" xr:uid="{4C071944-230A-4723-B438-10187D6BDF38}"/>
    <cellStyle name="Note 3 5 4 3" xfId="6156" xr:uid="{00000000-0005-0000-0000-0000F7210000}"/>
    <cellStyle name="Note 3 5 4 3 2" xfId="22272" xr:uid="{DDE85871-C72A-4A93-89F4-8D9C5BA59B6E}"/>
    <cellStyle name="Note 3 5 4 3 3" xfId="14651" xr:uid="{F849F92B-D43E-49BC-92C3-082529185D78}"/>
    <cellStyle name="Note 3 5 4 4" xfId="18059" xr:uid="{42E9FA51-77EB-4BE8-AC7D-68EAEF4FAB14}"/>
    <cellStyle name="Note 3 5 4 5" xfId="10438" xr:uid="{1BD041FB-9713-48A2-8ED7-80929D285207}"/>
    <cellStyle name="Note 3 5 5" xfId="2263" xr:uid="{00000000-0005-0000-0000-0000F8210000}"/>
    <cellStyle name="Note 3 5 5 2" xfId="4492" xr:uid="{00000000-0005-0000-0000-0000F9210000}"/>
    <cellStyle name="Note 3 5 5 2 2" xfId="8714" xr:uid="{00000000-0005-0000-0000-0000FA210000}"/>
    <cellStyle name="Note 3 5 5 2 2 2" xfId="24830" xr:uid="{82FF8D2F-A801-48C1-8254-9C687F6C63FB}"/>
    <cellStyle name="Note 3 5 5 2 2 3" xfId="17209" xr:uid="{3C1F49A6-ABEC-49D5-9824-8D77CD8AFC5E}"/>
    <cellStyle name="Note 3 5 5 2 3" xfId="20617" xr:uid="{1815F5F0-564C-4EBD-842B-1EFC11AABCA1}"/>
    <cellStyle name="Note 3 5 5 2 4" xfId="12996" xr:uid="{55AE5D07-7CC9-4459-94F6-8179A074E94E}"/>
    <cellStyle name="Note 3 5 5 3" xfId="6569" xr:uid="{00000000-0005-0000-0000-0000FB210000}"/>
    <cellStyle name="Note 3 5 5 3 2" xfId="22685" xr:uid="{E8800431-5D07-4E66-9C1D-F7B2B476356F}"/>
    <cellStyle name="Note 3 5 5 3 3" xfId="15064" xr:uid="{05100BC5-B073-4976-9656-B0C544BDB4C8}"/>
    <cellStyle name="Note 3 5 5 4" xfId="18472" xr:uid="{823CEEB5-6006-4C48-B542-A2F9AB5DC147}"/>
    <cellStyle name="Note 3 5 5 5" xfId="10851" xr:uid="{4CD2F636-EAB5-4855-97A9-8BE6721E0B9B}"/>
    <cellStyle name="Note 3 5 6" xfId="2699" xr:uid="{00000000-0005-0000-0000-0000FC210000}"/>
    <cellStyle name="Note 3 5 6 2" xfId="6982" xr:uid="{00000000-0005-0000-0000-0000FD210000}"/>
    <cellStyle name="Note 3 5 6 2 2" xfId="23098" xr:uid="{3A32010A-E6B3-492D-9D4B-EB1985BB0580}"/>
    <cellStyle name="Note 3 5 6 2 3" xfId="15477" xr:uid="{99ACF573-2C52-4C0A-8358-DB9186586BD9}"/>
    <cellStyle name="Note 3 5 6 3" xfId="18885" xr:uid="{33910BAF-ACEA-4F38-B107-8523C76CA391}"/>
    <cellStyle name="Note 3 5 6 4" xfId="11264" xr:uid="{4FF0C9B7-2D45-4C8B-9D7F-AF4AD9D54D2C}"/>
    <cellStyle name="Note 3 5 7" xfId="2758" xr:uid="{00000000-0005-0000-0000-0000FE210000}"/>
    <cellStyle name="Note 3 5 8" xfId="2839" xr:uid="{00000000-0005-0000-0000-0000FF210000}"/>
    <cellStyle name="Note 3 5 8 2" xfId="7062" xr:uid="{00000000-0005-0000-0000-000000220000}"/>
    <cellStyle name="Note 3 5 8 2 2" xfId="23178" xr:uid="{08E42883-C65A-4FB6-99AD-B2EE3566B0EE}"/>
    <cellStyle name="Note 3 5 8 2 3" xfId="15557" xr:uid="{B3846FD4-4CE2-4B9B-8B34-EA33C3E4BD5C}"/>
    <cellStyle name="Note 3 5 8 3" xfId="18965" xr:uid="{1B631E11-FE14-47D5-87E8-236154ECF28A}"/>
    <cellStyle name="Note 3 5 8 4" xfId="11344" xr:uid="{F69AA6F4-0064-47E9-B2AA-5807BCBE308F}"/>
    <cellStyle name="Note 3 5 9" xfId="4917" xr:uid="{00000000-0005-0000-0000-000001220000}"/>
    <cellStyle name="Note 3 5 9 2" xfId="21033" xr:uid="{0CBB5C00-19AB-4ED6-9B48-88FF608B2D2E}"/>
    <cellStyle name="Note 3 5 9 3" xfId="13412" xr:uid="{26AF9301-4591-4A63-8026-FBB72A928CA7}"/>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2 2" xfId="24833" xr:uid="{C81ADDBC-64D0-48D0-B148-3A7EAE930CC6}"/>
    <cellStyle name="Percent 4 2 3" xfId="17212" xr:uid="{5FF6101D-B341-47DB-9A8A-913E95774BE2}"/>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2 2" xfId="17231" xr:uid="{B90B3359-D6D8-4BD2-99F9-388444C50D03}"/>
    <cellStyle name="Percent 4 3 2 2 2 2 3" xfId="24849" xr:uid="{A337FFA5-F848-47FD-BA52-A736BAF7E341}"/>
    <cellStyle name="Percent 4 3 2 2 2 2 4" xfId="17228" xr:uid="{88EED08B-CF31-4999-832D-F8E46ACF7A7C}"/>
    <cellStyle name="Percent 4 3 2 2 2 3" xfId="24846" xr:uid="{E92B3856-134E-4FBB-9C0E-4EA645D36D23}"/>
    <cellStyle name="Percent 4 3 2 2 2 4" xfId="17225" xr:uid="{559022AA-4B73-4B9D-AE9C-FE9DF307543D}"/>
    <cellStyle name="Percent 4 3 2 2 3" xfId="24842" xr:uid="{0BDA1A6B-9D62-48E4-AFCF-257CCF384DA7}"/>
    <cellStyle name="Percent 4 3 2 2 4" xfId="17221" xr:uid="{8C7C551C-6B59-4EB8-A909-59CCF65E107F}"/>
    <cellStyle name="Percent 4 3 2 3" xfId="24839" xr:uid="{3761A1F9-D002-462E-A169-06B1856E0DFC}"/>
    <cellStyle name="Percent 4 3 2 4" xfId="17218" xr:uid="{CD87015F-8DB2-4CA2-8BD5-D78FDD5DE33F}"/>
    <cellStyle name="Percent 4 3 3" xfId="24836" xr:uid="{F82C6528-1646-4086-819E-DF7DF98971DC}"/>
    <cellStyle name="Percent 4 3 4" xfId="17215" xr:uid="{9964F12D-9961-4215-B57A-07CBF87138E2}"/>
    <cellStyle name="Percent 4 4" xfId="20620" xr:uid="{C8D9416D-4C3A-4B47-A54C-680E01666A60}"/>
    <cellStyle name="Percent 4 5" xfId="12999" xr:uid="{DE76F170-13B3-4420-9922-B66E4684E240}"/>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403" t="s">
        <v>550</v>
      </c>
      <c r="B1" s="1403"/>
      <c r="C1" s="1403"/>
      <c r="D1" s="1403"/>
      <c r="E1" s="1403"/>
      <c r="F1" s="1403"/>
      <c r="G1" s="1403"/>
      <c r="H1" s="1403"/>
      <c r="I1" s="1403"/>
      <c r="J1" s="1403"/>
      <c r="K1" s="1403"/>
      <c r="L1" s="1403"/>
      <c r="M1" s="1403"/>
      <c r="N1" s="1403"/>
      <c r="O1" s="1403"/>
      <c r="P1" s="1403"/>
      <c r="Q1" s="1403"/>
      <c r="R1" s="1403"/>
      <c r="S1" s="1403"/>
      <c r="T1" s="1403"/>
      <c r="U1" s="1403"/>
      <c r="V1" s="1403"/>
      <c r="W1" s="1403"/>
      <c r="X1" s="1403"/>
      <c r="Y1" s="1403"/>
      <c r="Z1" s="1403"/>
      <c r="AA1" s="1403"/>
      <c r="AB1" s="1403"/>
      <c r="AC1" s="1403"/>
      <c r="AD1" s="1403"/>
      <c r="AE1" s="1403"/>
      <c r="AF1" s="1403"/>
      <c r="AG1" s="1403"/>
      <c r="AH1" s="1403"/>
      <c r="AI1" s="1403"/>
      <c r="AJ1" s="1403"/>
      <c r="AK1" s="1403"/>
      <c r="AL1" s="1403"/>
    </row>
    <row r="2" spans="1:38" ht="13.5" thickBot="1">
      <c r="A2" s="1797"/>
      <c r="B2" s="1797"/>
      <c r="C2" s="1797"/>
      <c r="D2" s="1797"/>
      <c r="E2" s="1797"/>
      <c r="F2" s="1797"/>
      <c r="G2" s="1797"/>
      <c r="H2" s="1797"/>
      <c r="I2" s="1797"/>
      <c r="J2" s="1797"/>
      <c r="K2" s="1797"/>
      <c r="L2" s="1797"/>
      <c r="M2" s="1797"/>
      <c r="N2" s="1797"/>
      <c r="O2" s="1797"/>
      <c r="P2" s="1797"/>
      <c r="Q2" s="1797"/>
      <c r="R2" s="1797"/>
      <c r="S2" s="1797"/>
      <c r="T2" s="1797"/>
      <c r="U2" s="1797"/>
      <c r="V2" s="1797"/>
      <c r="W2" s="1797"/>
      <c r="X2" s="1797"/>
      <c r="Y2" s="1797"/>
      <c r="Z2" s="1797"/>
      <c r="AA2" s="1797"/>
      <c r="AB2" s="1797"/>
      <c r="AC2" s="1797"/>
      <c r="AD2" s="1797"/>
      <c r="AE2" s="1797"/>
      <c r="AF2" s="1797"/>
      <c r="AG2" s="1797"/>
      <c r="AH2" s="1797"/>
      <c r="AI2" s="1797"/>
      <c r="AJ2" s="1797"/>
      <c r="AK2" s="1797"/>
      <c r="AL2" s="179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56" t="s">
        <v>1993</v>
      </c>
      <c r="E7" s="1456"/>
      <c r="F7" s="1456"/>
      <c r="G7" s="1456"/>
      <c r="H7" s="1456"/>
      <c r="I7" s="1456"/>
      <c r="J7" s="1456"/>
      <c r="K7" s="1456"/>
      <c r="L7" s="1456"/>
      <c r="M7" s="1456"/>
      <c r="N7" s="1456"/>
      <c r="O7" s="1456"/>
      <c r="P7" s="1456"/>
      <c r="Q7" s="1456"/>
      <c r="R7" s="1456"/>
      <c r="S7" s="1456"/>
      <c r="T7" s="1456"/>
      <c r="U7" s="1456"/>
      <c r="V7" s="1456"/>
      <c r="W7" s="1456"/>
      <c r="X7" s="1456"/>
      <c r="Y7" s="1456"/>
      <c r="Z7" s="1456"/>
      <c r="AA7" s="1456"/>
      <c r="AB7" s="1456"/>
      <c r="AC7" s="1456"/>
      <c r="AD7" s="1456"/>
      <c r="AE7" s="1456"/>
      <c r="AF7" s="1456"/>
      <c r="AG7" s="1456"/>
      <c r="AH7" s="1456"/>
      <c r="AI7" s="1456"/>
      <c r="AJ7" s="1456"/>
      <c r="AK7" s="1456"/>
      <c r="AL7" s="455"/>
    </row>
    <row r="8" spans="1:38">
      <c r="A8" s="204"/>
      <c r="B8" s="204"/>
      <c r="C8" s="205"/>
      <c r="D8" s="1456"/>
      <c r="E8" s="1456"/>
      <c r="F8" s="1456"/>
      <c r="G8" s="1456"/>
      <c r="H8" s="1456"/>
      <c r="I8" s="1456"/>
      <c r="J8" s="1456"/>
      <c r="K8" s="1456"/>
      <c r="L8" s="1456"/>
      <c r="M8" s="1456"/>
      <c r="N8" s="1456"/>
      <c r="O8" s="1456"/>
      <c r="P8" s="1456"/>
      <c r="Q8" s="1456"/>
      <c r="R8" s="1456"/>
      <c r="S8" s="1456"/>
      <c r="T8" s="1456"/>
      <c r="U8" s="1456"/>
      <c r="V8" s="1456"/>
      <c r="W8" s="1456"/>
      <c r="X8" s="1456"/>
      <c r="Y8" s="1456"/>
      <c r="Z8" s="1456"/>
      <c r="AA8" s="1456"/>
      <c r="AB8" s="1456"/>
      <c r="AC8" s="1456"/>
      <c r="AD8" s="1456"/>
      <c r="AE8" s="1456"/>
      <c r="AF8" s="1456"/>
      <c r="AG8" s="1456"/>
      <c r="AH8" s="1456"/>
      <c r="AI8" s="1456"/>
      <c r="AJ8" s="1456"/>
      <c r="AK8" s="1456"/>
      <c r="AL8" s="455"/>
    </row>
    <row r="9" spans="1:38">
      <c r="A9" s="204"/>
      <c r="B9" s="204"/>
      <c r="C9" s="205"/>
      <c r="D9" s="1456"/>
      <c r="E9" s="1456"/>
      <c r="F9" s="1456"/>
      <c r="G9" s="1456"/>
      <c r="H9" s="1456"/>
      <c r="I9" s="1456"/>
      <c r="J9" s="1456"/>
      <c r="K9" s="1456"/>
      <c r="L9" s="1456"/>
      <c r="M9" s="1456"/>
      <c r="N9" s="1456"/>
      <c r="O9" s="1456"/>
      <c r="P9" s="1456"/>
      <c r="Q9" s="1456"/>
      <c r="R9" s="1456"/>
      <c r="S9" s="1456"/>
      <c r="T9" s="1456"/>
      <c r="U9" s="1456"/>
      <c r="V9" s="1456"/>
      <c r="W9" s="1456"/>
      <c r="X9" s="1456"/>
      <c r="Y9" s="1456"/>
      <c r="Z9" s="1456"/>
      <c r="AA9" s="1456"/>
      <c r="AB9" s="1456"/>
      <c r="AC9" s="1456"/>
      <c r="AD9" s="1456"/>
      <c r="AE9" s="1456"/>
      <c r="AF9" s="1456"/>
      <c r="AG9" s="1456"/>
      <c r="AH9" s="1456"/>
      <c r="AI9" s="1456"/>
      <c r="AJ9" s="1456"/>
      <c r="AK9" s="145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56" t="s">
        <v>1994</v>
      </c>
      <c r="E11" s="1456"/>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56"/>
      <c r="AD11" s="1456"/>
      <c r="AE11" s="1456"/>
      <c r="AF11" s="1456"/>
      <c r="AG11" s="1456"/>
      <c r="AH11" s="1456"/>
      <c r="AI11" s="1456"/>
      <c r="AJ11" s="1456"/>
      <c r="AK11" s="1456"/>
      <c r="AL11" s="455"/>
    </row>
    <row r="12" spans="1:38">
      <c r="A12" s="204"/>
      <c r="B12" s="204"/>
      <c r="C12" s="205"/>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455"/>
    </row>
    <row r="13" spans="1:38">
      <c r="A13" s="204"/>
      <c r="B13" s="204"/>
      <c r="C13" s="205"/>
      <c r="D13" s="1456"/>
      <c r="E13" s="1456"/>
      <c r="F13" s="1456"/>
      <c r="G13" s="1456"/>
      <c r="H13" s="1456"/>
      <c r="I13" s="1456"/>
      <c r="J13" s="1456"/>
      <c r="K13" s="1456"/>
      <c r="L13" s="1456"/>
      <c r="M13" s="1456"/>
      <c r="N13" s="1456"/>
      <c r="O13" s="1456"/>
      <c r="P13" s="1456"/>
      <c r="Q13" s="1456"/>
      <c r="R13" s="1456"/>
      <c r="S13" s="1456"/>
      <c r="T13" s="1456"/>
      <c r="U13" s="1456"/>
      <c r="V13" s="1456"/>
      <c r="W13" s="1456"/>
      <c r="X13" s="1456"/>
      <c r="Y13" s="1456"/>
      <c r="Z13" s="1456"/>
      <c r="AA13" s="1456"/>
      <c r="AB13" s="1456"/>
      <c r="AC13" s="1456"/>
      <c r="AD13" s="1456"/>
      <c r="AE13" s="1456"/>
      <c r="AF13" s="1456"/>
      <c r="AG13" s="1456"/>
      <c r="AH13" s="1456"/>
      <c r="AI13" s="1456"/>
      <c r="AJ13" s="1456"/>
      <c r="AK13" s="145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56" t="s">
        <v>2519</v>
      </c>
      <c r="E15" s="1456"/>
      <c r="F15" s="1456"/>
      <c r="G15" s="1456"/>
      <c r="H15" s="1456"/>
      <c r="I15" s="1456"/>
      <c r="J15" s="1456"/>
      <c r="K15" s="1456"/>
      <c r="L15" s="1456"/>
      <c r="M15" s="1456"/>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c r="AL15" s="455"/>
    </row>
    <row r="16" spans="1:38" ht="13.15" customHeight="1">
      <c r="A16" s="204"/>
      <c r="B16" s="204"/>
      <c r="C16" s="205"/>
      <c r="D16" s="1456"/>
      <c r="E16" s="1456"/>
      <c r="F16" s="1456"/>
      <c r="G16" s="1456"/>
      <c r="H16" s="1456"/>
      <c r="I16" s="1456"/>
      <c r="J16" s="1456"/>
      <c r="K16" s="1456"/>
      <c r="L16" s="1456"/>
      <c r="M16" s="1456"/>
      <c r="N16" s="1456"/>
      <c r="O16" s="1456"/>
      <c r="P16" s="1456"/>
      <c r="Q16" s="1456"/>
      <c r="R16" s="1456"/>
      <c r="S16" s="1456"/>
      <c r="T16" s="1456"/>
      <c r="U16" s="1456"/>
      <c r="V16" s="1456"/>
      <c r="W16" s="1456"/>
      <c r="X16" s="1456"/>
      <c r="Y16" s="1456"/>
      <c r="Z16" s="1456"/>
      <c r="AA16" s="1456"/>
      <c r="AB16" s="1456"/>
      <c r="AC16" s="1456"/>
      <c r="AD16" s="1456"/>
      <c r="AE16" s="1456"/>
      <c r="AF16" s="1456"/>
      <c r="AG16" s="1456"/>
      <c r="AH16" s="1456"/>
      <c r="AI16" s="1456"/>
      <c r="AJ16" s="1456"/>
      <c r="AK16" s="1456"/>
      <c r="AL16" s="455"/>
    </row>
    <row r="17" spans="1:38">
      <c r="A17" s="204"/>
      <c r="B17" s="204"/>
      <c r="C17" s="205"/>
      <c r="D17" s="1456"/>
      <c r="E17" s="1456"/>
      <c r="F17" s="1456"/>
      <c r="G17" s="1456"/>
      <c r="H17" s="1456"/>
      <c r="I17" s="1456"/>
      <c r="J17" s="1456"/>
      <c r="K17" s="1456"/>
      <c r="L17" s="1456"/>
      <c r="M17" s="1456"/>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c r="AL17" s="455"/>
    </row>
    <row r="18" spans="1:38">
      <c r="A18" s="204"/>
      <c r="B18" s="204"/>
      <c r="C18" s="205"/>
      <c r="D18" s="519" t="s">
        <v>2518</v>
      </c>
      <c r="E18" s="441"/>
      <c r="G18" s="441"/>
      <c r="H18" s="441"/>
      <c r="I18" s="441"/>
      <c r="J18" s="1799" t="s">
        <v>2517</v>
      </c>
      <c r="K18" s="1799"/>
      <c r="L18" s="1799"/>
      <c r="M18" s="1799"/>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56" t="s">
        <v>1995</v>
      </c>
      <c r="E20" s="1456"/>
      <c r="F20" s="1456"/>
      <c r="G20" s="1456"/>
      <c r="H20" s="1456"/>
      <c r="I20" s="1456"/>
      <c r="J20" s="1456"/>
      <c r="K20" s="1456"/>
      <c r="L20" s="1456"/>
      <c r="M20" s="1456"/>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c r="AL20" s="204"/>
    </row>
    <row r="21" spans="1:38">
      <c r="A21" s="204"/>
      <c r="B21" s="204"/>
      <c r="C21" s="205"/>
      <c r="D21" s="1456"/>
      <c r="E21" s="1456"/>
      <c r="F21" s="1456"/>
      <c r="G21" s="1456"/>
      <c r="H21" s="1456"/>
      <c r="I21" s="1456"/>
      <c r="J21" s="1456"/>
      <c r="K21" s="1456"/>
      <c r="L21" s="1456"/>
      <c r="M21" s="1456"/>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c r="AL21" s="204"/>
    </row>
    <row r="22" spans="1:38">
      <c r="A22" s="204"/>
      <c r="B22" s="204"/>
      <c r="C22" s="205"/>
      <c r="D22" s="1456"/>
      <c r="E22" s="1456"/>
      <c r="F22" s="1456"/>
      <c r="G22" s="1456"/>
      <c r="H22" s="1456"/>
      <c r="I22" s="1456"/>
      <c r="J22" s="1456"/>
      <c r="K22" s="1456"/>
      <c r="L22" s="1456"/>
      <c r="M22" s="1456"/>
      <c r="N22" s="1456"/>
      <c r="O22" s="1456"/>
      <c r="P22" s="1456"/>
      <c r="Q22" s="1456"/>
      <c r="R22" s="1456"/>
      <c r="S22" s="1456"/>
      <c r="T22" s="1456"/>
      <c r="U22" s="1456"/>
      <c r="V22" s="1456"/>
      <c r="W22" s="1456"/>
      <c r="X22" s="1456"/>
      <c r="Y22" s="1456"/>
      <c r="Z22" s="1456"/>
      <c r="AA22" s="1456"/>
      <c r="AB22" s="1456"/>
      <c r="AC22" s="1456"/>
      <c r="AD22" s="1456"/>
      <c r="AE22" s="1456"/>
      <c r="AF22" s="1456"/>
      <c r="AG22" s="1456"/>
      <c r="AH22" s="1456"/>
      <c r="AI22" s="1456"/>
      <c r="AJ22" s="1456"/>
      <c r="AK22" s="1456"/>
      <c r="AL22" s="204"/>
    </row>
    <row r="23" spans="1:38" ht="13.15" customHeight="1">
      <c r="A23" s="204"/>
      <c r="B23" s="204"/>
      <c r="C23" s="205"/>
      <c r="D23" s="1456"/>
      <c r="E23" s="1456"/>
      <c r="F23" s="1456"/>
      <c r="G23" s="1456"/>
      <c r="H23" s="1456"/>
      <c r="I23" s="1456"/>
      <c r="J23" s="1456"/>
      <c r="K23" s="1456"/>
      <c r="L23" s="1456"/>
      <c r="M23" s="1456"/>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c r="AL23" s="204"/>
    </row>
    <row r="24" spans="1:38">
      <c r="A24" s="204"/>
      <c r="B24" s="204"/>
      <c r="C24" s="205"/>
      <c r="D24" s="1456"/>
      <c r="E24" s="1456"/>
      <c r="F24" s="1456"/>
      <c r="G24" s="1456"/>
      <c r="H24" s="1456"/>
      <c r="I24" s="1456"/>
      <c r="J24" s="1456"/>
      <c r="K24" s="1456"/>
      <c r="L24" s="1456"/>
      <c r="M24" s="1456"/>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c r="AL24" s="204"/>
    </row>
    <row r="25" spans="1:38">
      <c r="A25" s="204"/>
      <c r="B25" s="204"/>
      <c r="C25" s="205"/>
      <c r="D25" s="1456"/>
      <c r="E25" s="1456"/>
      <c r="F25" s="1456"/>
      <c r="G25" s="1456"/>
      <c r="H25" s="1456"/>
      <c r="I25" s="1456"/>
      <c r="J25" s="1456"/>
      <c r="K25" s="1456"/>
      <c r="L25" s="1456"/>
      <c r="M25" s="1456"/>
      <c r="N25" s="1456"/>
      <c r="O25" s="1456"/>
      <c r="P25" s="1456"/>
      <c r="Q25" s="1456"/>
      <c r="R25" s="1456"/>
      <c r="S25" s="1456"/>
      <c r="T25" s="1456"/>
      <c r="U25" s="1456"/>
      <c r="V25" s="1456"/>
      <c r="W25" s="1456"/>
      <c r="X25" s="1456"/>
      <c r="Y25" s="1456"/>
      <c r="Z25" s="1456"/>
      <c r="AA25" s="1456"/>
      <c r="AB25" s="1456"/>
      <c r="AC25" s="1456"/>
      <c r="AD25" s="1456"/>
      <c r="AE25" s="1456"/>
      <c r="AF25" s="1456"/>
      <c r="AG25" s="1456"/>
      <c r="AH25" s="1456"/>
      <c r="AI25" s="1456"/>
      <c r="AJ25" s="1456"/>
      <c r="AK25" s="1456"/>
      <c r="AL25" s="204"/>
    </row>
    <row r="26" spans="1:38">
      <c r="A26" s="204"/>
      <c r="B26" s="204"/>
      <c r="C26" s="205"/>
      <c r="D26" s="1456"/>
      <c r="E26" s="1456"/>
      <c r="F26" s="1456"/>
      <c r="G26" s="1456"/>
      <c r="H26" s="1456"/>
      <c r="I26" s="1456"/>
      <c r="J26" s="1456"/>
      <c r="K26" s="1456"/>
      <c r="L26" s="1456"/>
      <c r="M26" s="1456"/>
      <c r="N26" s="1456"/>
      <c r="O26" s="1456"/>
      <c r="P26" s="1456"/>
      <c r="Q26" s="1456"/>
      <c r="R26" s="1456"/>
      <c r="S26" s="1456"/>
      <c r="T26" s="1456"/>
      <c r="U26" s="1456"/>
      <c r="V26" s="1456"/>
      <c r="W26" s="1456"/>
      <c r="X26" s="1456"/>
      <c r="Y26" s="1456"/>
      <c r="Z26" s="1456"/>
      <c r="AA26" s="1456"/>
      <c r="AB26" s="1456"/>
      <c r="AC26" s="1456"/>
      <c r="AD26" s="1456"/>
      <c r="AE26" s="1456"/>
      <c r="AF26" s="1456"/>
      <c r="AG26" s="1456"/>
      <c r="AH26" s="1456"/>
      <c r="AI26" s="1456"/>
      <c r="AJ26" s="1456"/>
      <c r="AK26" s="1456"/>
      <c r="AL26" s="204"/>
    </row>
    <row r="27" spans="1:38">
      <c r="A27" s="204"/>
      <c r="B27" s="204"/>
      <c r="C27" s="205"/>
      <c r="D27" s="1456"/>
      <c r="E27" s="1456"/>
      <c r="F27" s="1456"/>
      <c r="G27" s="1456"/>
      <c r="H27" s="1456"/>
      <c r="I27" s="1456"/>
      <c r="J27" s="1456"/>
      <c r="K27" s="1456"/>
      <c r="L27" s="1456"/>
      <c r="M27" s="1456"/>
      <c r="N27" s="1456"/>
      <c r="O27" s="1456"/>
      <c r="P27" s="1456"/>
      <c r="Q27" s="1456"/>
      <c r="R27" s="1456"/>
      <c r="S27" s="1456"/>
      <c r="T27" s="1456"/>
      <c r="U27" s="1456"/>
      <c r="V27" s="1456"/>
      <c r="W27" s="1456"/>
      <c r="X27" s="1456"/>
      <c r="Y27" s="1456"/>
      <c r="Z27" s="1456"/>
      <c r="AA27" s="1456"/>
      <c r="AB27" s="1456"/>
      <c r="AC27" s="1456"/>
      <c r="AD27" s="1456"/>
      <c r="AE27" s="1456"/>
      <c r="AF27" s="1456"/>
      <c r="AG27" s="1456"/>
      <c r="AH27" s="1456"/>
      <c r="AI27" s="1456"/>
      <c r="AJ27" s="1456"/>
      <c r="AK27" s="1456"/>
      <c r="AL27" s="204"/>
    </row>
    <row r="28" spans="1:38">
      <c r="A28" s="204"/>
      <c r="B28" s="204"/>
      <c r="C28" s="205"/>
      <c r="D28" s="1456"/>
      <c r="E28" s="1456"/>
      <c r="F28" s="1456"/>
      <c r="G28" s="1456"/>
      <c r="H28" s="1456"/>
      <c r="I28" s="1456"/>
      <c r="J28" s="1456"/>
      <c r="K28" s="1456"/>
      <c r="L28" s="1456"/>
      <c r="M28" s="1456"/>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56" t="s">
        <v>1996</v>
      </c>
      <c r="E30" s="1456"/>
      <c r="F30" s="1456"/>
      <c r="G30" s="1456"/>
      <c r="H30" s="1456"/>
      <c r="I30" s="1456"/>
      <c r="J30" s="1456"/>
      <c r="K30" s="1456"/>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1456"/>
      <c r="AH30" s="1456"/>
      <c r="AI30" s="1456"/>
      <c r="AJ30" s="1456"/>
      <c r="AK30" s="1456"/>
      <c r="AL30" s="204"/>
    </row>
    <row r="31" spans="1:38">
      <c r="A31" s="204"/>
      <c r="B31" s="204"/>
      <c r="C31" s="205"/>
      <c r="D31" s="455"/>
      <c r="E31" s="1804" t="s">
        <v>2593</v>
      </c>
      <c r="F31" s="1805"/>
      <c r="G31" s="1805"/>
      <c r="H31" s="1805"/>
      <c r="I31" s="1805"/>
      <c r="J31" s="1805"/>
      <c r="K31" s="1805"/>
      <c r="L31" s="1805"/>
      <c r="M31" s="1805"/>
      <c r="N31" s="1805"/>
      <c r="O31" s="1805"/>
      <c r="P31" s="1805"/>
      <c r="Q31" s="1805"/>
      <c r="R31" s="1805"/>
      <c r="S31" s="1805"/>
      <c r="T31" s="1805"/>
      <c r="U31" s="1805"/>
      <c r="V31" s="1805"/>
      <c r="W31" s="1805"/>
      <c r="X31" s="1805"/>
      <c r="Y31" s="1805"/>
      <c r="Z31" s="1805"/>
      <c r="AA31" s="1805"/>
      <c r="AB31" s="1805"/>
      <c r="AC31" s="1805"/>
      <c r="AD31" s="1805"/>
      <c r="AE31" s="1805"/>
      <c r="AF31" s="1805"/>
      <c r="AG31" s="1805"/>
      <c r="AH31" s="1805"/>
      <c r="AI31" s="1805"/>
      <c r="AJ31" s="1805"/>
      <c r="AK31" s="1805"/>
      <c r="AL31" s="204"/>
    </row>
    <row r="32" spans="1:38">
      <c r="A32" s="4"/>
      <c r="C32" s="2"/>
    </row>
    <row r="33" spans="1:38">
      <c r="A33" s="4"/>
      <c r="D33" s="1798" t="s">
        <v>2096</v>
      </c>
      <c r="E33" s="1798"/>
      <c r="F33" s="1798"/>
      <c r="G33" s="1798"/>
      <c r="H33" s="1798"/>
      <c r="I33" s="1798"/>
      <c r="J33" s="1798"/>
      <c r="K33" s="1798"/>
      <c r="L33" s="1798"/>
      <c r="M33" s="1798"/>
      <c r="N33" s="1798"/>
      <c r="O33" s="1798"/>
      <c r="P33" s="1798"/>
      <c r="Q33" s="1798"/>
      <c r="R33" s="1798"/>
      <c r="S33" s="1798"/>
      <c r="T33" s="1798"/>
      <c r="U33" s="1798"/>
      <c r="V33" s="1798"/>
      <c r="W33" s="1798"/>
      <c r="X33" s="1798"/>
      <c r="Y33" s="1798"/>
      <c r="Z33" s="1798"/>
      <c r="AA33" s="1798"/>
      <c r="AB33" s="1798"/>
      <c r="AC33" s="1798"/>
      <c r="AD33" s="1798"/>
      <c r="AE33" s="1798"/>
      <c r="AF33" s="1798"/>
      <c r="AG33" s="1798"/>
      <c r="AH33" s="1798"/>
      <c r="AI33" s="1798"/>
      <c r="AJ33" s="1798"/>
      <c r="AK33" s="1798"/>
    </row>
    <row r="34" spans="1:38">
      <c r="A34" s="4"/>
      <c r="D34" s="1798"/>
      <c r="E34" s="1798"/>
      <c r="F34" s="1798"/>
      <c r="G34" s="1798"/>
      <c r="H34" s="1798"/>
      <c r="I34" s="1798"/>
      <c r="J34" s="1798"/>
      <c r="K34" s="1798"/>
      <c r="L34" s="1798"/>
      <c r="M34" s="1798"/>
      <c r="N34" s="1798"/>
      <c r="O34" s="1798"/>
      <c r="P34" s="1798"/>
      <c r="Q34" s="1798"/>
      <c r="R34" s="1798"/>
      <c r="S34" s="1798"/>
      <c r="T34" s="1798"/>
      <c r="U34" s="1798"/>
      <c r="V34" s="1798"/>
      <c r="W34" s="1798"/>
      <c r="X34" s="1798"/>
      <c r="Y34" s="1798"/>
      <c r="Z34" s="1798"/>
      <c r="AA34" s="1798"/>
      <c r="AB34" s="1798"/>
      <c r="AC34" s="1798"/>
      <c r="AD34" s="1798"/>
      <c r="AE34" s="1798"/>
      <c r="AF34" s="1798"/>
      <c r="AG34" s="1798"/>
      <c r="AH34" s="1798"/>
      <c r="AI34" s="1798"/>
      <c r="AJ34" s="1798"/>
      <c r="AK34" s="1798"/>
    </row>
    <row r="35" spans="1:38">
      <c r="A35" s="4"/>
      <c r="D35" s="120"/>
      <c r="E35" s="1803" t="s">
        <v>2594</v>
      </c>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D35" s="1803"/>
      <c r="AE35" s="1803"/>
      <c r="AF35" s="1803"/>
      <c r="AG35" s="1803"/>
      <c r="AH35" s="1803"/>
      <c r="AI35" s="1803"/>
      <c r="AJ35" s="1803"/>
      <c r="AK35" s="1803"/>
    </row>
    <row r="36" spans="1:38">
      <c r="A36" s="4"/>
      <c r="D36" s="120"/>
      <c r="E36" s="1803" t="s">
        <v>2595</v>
      </c>
      <c r="F36" s="1803"/>
      <c r="G36" s="1803"/>
      <c r="H36" s="1803"/>
      <c r="I36" s="1803"/>
      <c r="J36" s="1803"/>
      <c r="K36" s="1803"/>
      <c r="L36" s="1803"/>
      <c r="M36" s="1803"/>
      <c r="N36" s="1803"/>
      <c r="O36" s="1803"/>
      <c r="P36" s="1803"/>
      <c r="Q36" s="1803"/>
      <c r="R36" s="1803"/>
      <c r="S36" s="1803"/>
      <c r="T36" s="1803"/>
      <c r="U36" s="1803"/>
      <c r="V36" s="1803"/>
      <c r="W36" s="1803"/>
      <c r="X36" s="1803"/>
      <c r="Y36" s="1803"/>
      <c r="Z36" s="1803"/>
      <c r="AA36" s="1803"/>
      <c r="AB36" s="1803"/>
      <c r="AC36" s="1803"/>
      <c r="AD36" s="1803"/>
      <c r="AE36" s="1803"/>
      <c r="AF36" s="1803"/>
      <c r="AG36" s="1803"/>
      <c r="AH36" s="1803"/>
      <c r="AI36" s="1803"/>
      <c r="AJ36" s="1803"/>
      <c r="AK36" s="180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56" customFormat="1" ht="13.15" customHeight="1">
      <c r="A40" s="4"/>
      <c r="B40"/>
      <c r="C40" s="2"/>
      <c r="D40" s="4"/>
      <c r="E40" s="4" t="s">
        <v>653</v>
      </c>
      <c r="F40" s="1456" t="s">
        <v>1164</v>
      </c>
    </row>
    <row r="41" spans="1:38" s="1456"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385" t="s">
        <v>1246</v>
      </c>
      <c r="G43" s="1385"/>
      <c r="H43" s="1385"/>
      <c r="I43" s="1385"/>
      <c r="J43" s="1385"/>
      <c r="K43" s="1385"/>
      <c r="L43" s="1385"/>
      <c r="M43" s="1385"/>
      <c r="N43" s="1385"/>
      <c r="O43" s="1385"/>
      <c r="P43" s="1385"/>
      <c r="Q43" s="1385"/>
      <c r="R43" s="1385"/>
      <c r="S43" s="1385"/>
      <c r="T43" s="1385"/>
      <c r="U43" s="1385"/>
      <c r="V43" s="1385"/>
      <c r="W43" s="1385"/>
      <c r="X43" s="1385"/>
      <c r="Y43" s="1385"/>
      <c r="Z43" s="1385"/>
      <c r="AA43" s="1385"/>
      <c r="AB43" s="1385"/>
      <c r="AC43" s="1385"/>
      <c r="AD43" s="1385"/>
      <c r="AE43" s="1385"/>
      <c r="AF43" s="1385"/>
      <c r="AG43" s="1385"/>
      <c r="AH43" s="1385"/>
      <c r="AI43" s="1385"/>
      <c r="AJ43" s="1385"/>
      <c r="AK43" s="1385"/>
      <c r="AL43" s="1385"/>
    </row>
    <row r="44" spans="1:38" s="118" customFormat="1">
      <c r="A44" s="4"/>
      <c r="B44"/>
      <c r="C44" s="2"/>
      <c r="D44" s="4"/>
      <c r="E44" s="4"/>
      <c r="F44" s="1385"/>
      <c r="G44" s="1385"/>
      <c r="H44" s="1385"/>
      <c r="I44" s="1385"/>
      <c r="J44" s="1385"/>
      <c r="K44" s="1385"/>
      <c r="L44" s="1385"/>
      <c r="M44" s="1385"/>
      <c r="N44" s="1385"/>
      <c r="O44" s="1385"/>
      <c r="P44" s="1385"/>
      <c r="Q44" s="1385"/>
      <c r="R44" s="1385"/>
      <c r="S44" s="1385"/>
      <c r="T44" s="1385"/>
      <c r="U44" s="1385"/>
      <c r="V44" s="1385"/>
      <c r="W44" s="1385"/>
      <c r="X44" s="1385"/>
      <c r="Y44" s="1385"/>
      <c r="Z44" s="1385"/>
      <c r="AA44" s="1385"/>
      <c r="AB44" s="1385"/>
      <c r="AC44" s="1385"/>
      <c r="AD44" s="1385"/>
      <c r="AE44" s="1385"/>
      <c r="AF44" s="1385"/>
      <c r="AG44" s="1385"/>
      <c r="AH44" s="1385"/>
      <c r="AI44" s="1385"/>
      <c r="AJ44" s="1385"/>
      <c r="AK44" s="1385"/>
      <c r="AL44" s="1385"/>
    </row>
    <row r="45" spans="1:38" s="118" customFormat="1" ht="13.15" customHeight="1">
      <c r="A45" s="4"/>
      <c r="B45"/>
      <c r="C45" s="2"/>
      <c r="D45" s="4"/>
      <c r="E45" s="4"/>
      <c r="F45" s="1385"/>
      <c r="G45" s="1385"/>
      <c r="H45" s="1385"/>
      <c r="I45" s="1385"/>
      <c r="J45" s="1385"/>
      <c r="K45" s="1385"/>
      <c r="L45" s="1385"/>
      <c r="M45" s="1385"/>
      <c r="N45" s="1385"/>
      <c r="O45" s="1385"/>
      <c r="P45" s="1385"/>
      <c r="Q45" s="1385"/>
      <c r="R45" s="1385"/>
      <c r="S45" s="1385"/>
      <c r="T45" s="1385"/>
      <c r="U45" s="1385"/>
      <c r="V45" s="1385"/>
      <c r="W45" s="1385"/>
      <c r="X45" s="1385"/>
      <c r="Y45" s="1385"/>
      <c r="Z45" s="1385"/>
      <c r="AA45" s="1385"/>
      <c r="AB45" s="1385"/>
      <c r="AC45" s="1385"/>
      <c r="AD45" s="1385"/>
      <c r="AE45" s="1385"/>
      <c r="AF45" s="1385"/>
      <c r="AG45" s="1385"/>
      <c r="AH45" s="1385"/>
      <c r="AI45" s="1385"/>
      <c r="AJ45" s="1385"/>
      <c r="AK45" s="1385"/>
      <c r="AL45" s="1385"/>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456" t="s">
        <v>1998</v>
      </c>
      <c r="G48" s="1456"/>
      <c r="H48" s="1456"/>
      <c r="I48" s="1456"/>
      <c r="J48" s="1456"/>
      <c r="K48" s="1456"/>
      <c r="L48" s="1456"/>
      <c r="M48" s="1456"/>
      <c r="N48" s="1456"/>
      <c r="O48" s="1456"/>
      <c r="P48" s="1456"/>
      <c r="Q48" s="1456"/>
      <c r="R48" s="1456"/>
      <c r="S48" s="1456"/>
      <c r="T48" s="1456"/>
      <c r="U48" s="1456"/>
      <c r="V48" s="1456"/>
      <c r="W48" s="1456"/>
      <c r="X48" s="1456"/>
      <c r="Y48" s="1456"/>
      <c r="Z48" s="1456"/>
      <c r="AA48" s="1456"/>
      <c r="AB48" s="1456"/>
      <c r="AC48" s="1456"/>
      <c r="AD48" s="1456"/>
      <c r="AE48" s="1456"/>
      <c r="AF48" s="1456"/>
      <c r="AG48" s="1456"/>
      <c r="AH48" s="1456"/>
      <c r="AI48" s="1456"/>
      <c r="AJ48" s="1456"/>
      <c r="AK48" s="1456"/>
    </row>
    <row r="49" spans="1:38">
      <c r="A49" s="4"/>
      <c r="C49" s="2"/>
      <c r="D49" s="4"/>
      <c r="E49" s="4"/>
      <c r="F49" s="1456"/>
      <c r="G49" s="1456"/>
      <c r="H49" s="1456"/>
      <c r="I49" s="1456"/>
      <c r="J49" s="1456"/>
      <c r="K49" s="1456"/>
      <c r="L49" s="1456"/>
      <c r="M49" s="1456"/>
      <c r="N49" s="1456"/>
      <c r="O49" s="1456"/>
      <c r="P49" s="1456"/>
      <c r="Q49" s="1456"/>
      <c r="R49" s="1456"/>
      <c r="S49" s="1456"/>
      <c r="T49" s="1456"/>
      <c r="U49" s="1456"/>
      <c r="V49" s="1456"/>
      <c r="W49" s="1456"/>
      <c r="X49" s="1456"/>
      <c r="Y49" s="1456"/>
      <c r="Z49" s="1456"/>
      <c r="AA49" s="1456"/>
      <c r="AB49" s="1456"/>
      <c r="AC49" s="1456"/>
      <c r="AD49" s="1456"/>
      <c r="AE49" s="1456"/>
      <c r="AF49" s="1456"/>
      <c r="AG49" s="1456"/>
      <c r="AH49" s="1456"/>
      <c r="AI49" s="1456"/>
      <c r="AJ49" s="1456"/>
      <c r="AK49" s="1456"/>
    </row>
    <row r="50" spans="1:38">
      <c r="A50" s="4"/>
      <c r="C50" s="2"/>
      <c r="D50" s="4"/>
      <c r="F50" s="1456"/>
      <c r="G50" s="1456"/>
      <c r="H50" s="1456"/>
      <c r="I50" s="1456"/>
      <c r="J50" s="1456"/>
      <c r="K50" s="1456"/>
      <c r="L50" s="1456"/>
      <c r="M50" s="1456"/>
      <c r="N50" s="1456"/>
      <c r="O50" s="1456"/>
      <c r="P50" s="1456"/>
      <c r="Q50" s="1456"/>
      <c r="R50" s="1456"/>
      <c r="S50" s="1456"/>
      <c r="T50" s="1456"/>
      <c r="U50" s="1456"/>
      <c r="V50" s="1456"/>
      <c r="W50" s="1456"/>
      <c r="X50" s="1456"/>
      <c r="Y50" s="1456"/>
      <c r="Z50" s="1456"/>
      <c r="AA50" s="1456"/>
      <c r="AB50" s="1456"/>
      <c r="AC50" s="1456"/>
      <c r="AD50" s="1456"/>
      <c r="AE50" s="1456"/>
      <c r="AF50" s="1456"/>
      <c r="AG50" s="1456"/>
      <c r="AH50" s="1456"/>
      <c r="AI50" s="1456"/>
      <c r="AJ50" s="1456"/>
      <c r="AK50" s="145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800" t="s">
        <v>1191</v>
      </c>
      <c r="H54" s="1800"/>
      <c r="I54" s="1800"/>
      <c r="J54" s="1800"/>
      <c r="K54" s="1800"/>
      <c r="L54" s="1800"/>
      <c r="M54" s="1800"/>
      <c r="N54" s="1800"/>
      <c r="O54" s="1800"/>
      <c r="P54" s="1800"/>
      <c r="Q54" s="1800"/>
      <c r="R54" s="1800"/>
      <c r="S54" s="1800"/>
      <c r="T54" s="1800"/>
      <c r="U54" s="1800"/>
      <c r="V54" s="1800"/>
      <c r="W54" s="1800"/>
      <c r="X54" s="1800"/>
      <c r="Y54" s="1800"/>
      <c r="Z54" s="1800"/>
      <c r="AA54" s="1800"/>
      <c r="AB54" s="1800"/>
      <c r="AC54" s="1800"/>
      <c r="AD54" s="1800"/>
      <c r="AE54" s="1800"/>
      <c r="AF54" s="1800"/>
      <c r="AG54" s="1800"/>
      <c r="AH54" s="1800"/>
      <c r="AI54" s="1800"/>
      <c r="AJ54" s="1800"/>
      <c r="AK54" s="1800"/>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0" t="s">
        <v>575</v>
      </c>
      <c r="H56" s="1800"/>
      <c r="I56" s="1800"/>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800" t="s">
        <v>1999</v>
      </c>
      <c r="H57" s="1800"/>
      <c r="I57" s="1800"/>
      <c r="J57" s="1800"/>
      <c r="K57" s="1800"/>
      <c r="L57" s="1800"/>
      <c r="M57" s="1800"/>
      <c r="N57" s="1800"/>
      <c r="O57" s="1800"/>
      <c r="P57" s="1800"/>
      <c r="Q57" s="1800"/>
      <c r="R57" s="1800"/>
      <c r="S57" s="1800"/>
      <c r="T57" s="1800"/>
      <c r="U57" s="1800"/>
      <c r="V57" s="1800"/>
      <c r="W57" s="1800"/>
      <c r="X57" s="1800"/>
      <c r="Y57" s="1800"/>
      <c r="Z57" s="1800"/>
      <c r="AA57" s="1800"/>
      <c r="AB57" s="1800"/>
      <c r="AC57" s="1800"/>
      <c r="AD57" s="1800"/>
      <c r="AE57" s="1800"/>
      <c r="AF57" s="1800"/>
      <c r="AG57" s="1800"/>
      <c r="AH57" s="1800"/>
      <c r="AI57" s="1800"/>
      <c r="AJ57" s="1800"/>
      <c r="AK57" s="1800"/>
      <c r="AL57" s="1800"/>
    </row>
    <row r="58" spans="1:38">
      <c r="A58" s="204"/>
      <c r="B58" s="204"/>
      <c r="C58" s="205"/>
      <c r="D58" s="205"/>
      <c r="E58" s="204"/>
      <c r="F58" s="206"/>
      <c r="G58" s="1800"/>
      <c r="H58" s="1800"/>
      <c r="I58" s="1800"/>
      <c r="J58" s="1800"/>
      <c r="K58" s="1800"/>
      <c r="L58" s="1800"/>
      <c r="M58" s="1800"/>
      <c r="N58" s="1800"/>
      <c r="O58" s="1800"/>
      <c r="P58" s="1800"/>
      <c r="Q58" s="1800"/>
      <c r="R58" s="1800"/>
      <c r="S58" s="1800"/>
      <c r="T58" s="1800"/>
      <c r="U58" s="1800"/>
      <c r="V58" s="1800"/>
      <c r="W58" s="1800"/>
      <c r="X58" s="1800"/>
      <c r="Y58" s="1800"/>
      <c r="Z58" s="1800"/>
      <c r="AA58" s="1800"/>
      <c r="AB58" s="1800"/>
      <c r="AC58" s="1800"/>
      <c r="AD58" s="1800"/>
      <c r="AE58" s="1800"/>
      <c r="AF58" s="1800"/>
      <c r="AG58" s="1800"/>
      <c r="AH58" s="1800"/>
      <c r="AI58" s="1800"/>
      <c r="AJ58" s="1800"/>
      <c r="AK58" s="1800"/>
      <c r="AL58" s="1800"/>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456" t="s">
        <v>1166</v>
      </c>
      <c r="H64" s="1456"/>
      <c r="I64" s="1456"/>
      <c r="J64" s="1456"/>
      <c r="K64" s="1456"/>
      <c r="L64" s="1456"/>
      <c r="M64" s="1456"/>
      <c r="N64" s="1456"/>
      <c r="O64" s="1456"/>
      <c r="P64" s="1456"/>
      <c r="Q64" s="1456"/>
      <c r="R64" s="1456"/>
      <c r="S64" s="1456"/>
      <c r="T64" s="1456"/>
      <c r="U64" s="1456"/>
      <c r="V64" s="1456"/>
      <c r="W64" s="1456"/>
      <c r="X64" s="1456"/>
      <c r="Y64" s="1456"/>
      <c r="Z64" s="1456"/>
      <c r="AA64" s="1456"/>
      <c r="AB64" s="1456"/>
      <c r="AC64" s="1456"/>
      <c r="AD64" s="1456"/>
      <c r="AE64" s="1456"/>
      <c r="AF64" s="1456"/>
      <c r="AG64" s="1456"/>
      <c r="AH64" s="1456"/>
      <c r="AI64" s="1456"/>
      <c r="AJ64" s="1456"/>
      <c r="AK64" s="1456"/>
    </row>
    <row r="65" spans="1:37">
      <c r="A65" s="4"/>
      <c r="C65" s="2"/>
      <c r="D65" s="4"/>
      <c r="E65" s="4"/>
      <c r="G65" s="1456"/>
      <c r="H65" s="1456"/>
      <c r="I65" s="1456"/>
      <c r="J65" s="1456"/>
      <c r="K65" s="1456"/>
      <c r="L65" s="1456"/>
      <c r="M65" s="1456"/>
      <c r="N65" s="1456"/>
      <c r="O65" s="1456"/>
      <c r="P65" s="1456"/>
      <c r="Q65" s="1456"/>
      <c r="R65" s="1456"/>
      <c r="S65" s="1456"/>
      <c r="T65" s="1456"/>
      <c r="U65" s="1456"/>
      <c r="V65" s="1456"/>
      <c r="W65" s="1456"/>
      <c r="X65" s="1456"/>
      <c r="Y65" s="1456"/>
      <c r="Z65" s="1456"/>
      <c r="AA65" s="1456"/>
      <c r="AB65" s="1456"/>
      <c r="AC65" s="1456"/>
      <c r="AD65" s="1456"/>
      <c r="AE65" s="1456"/>
      <c r="AF65" s="1456"/>
      <c r="AG65" s="1456"/>
      <c r="AH65" s="1456"/>
      <c r="AI65" s="1456"/>
      <c r="AJ65" s="1456"/>
      <c r="AK65" s="1456"/>
    </row>
    <row r="66" spans="1:37">
      <c r="A66" s="4"/>
      <c r="C66" s="2"/>
      <c r="D66" s="4"/>
      <c r="E66" s="4"/>
      <c r="G66" s="1456"/>
      <c r="H66" s="1456"/>
      <c r="I66" s="1456"/>
      <c r="J66" s="1456"/>
      <c r="K66" s="1456"/>
      <c r="L66" s="1456"/>
      <c r="M66" s="1456"/>
      <c r="N66" s="1456"/>
      <c r="O66" s="1456"/>
      <c r="P66" s="1456"/>
      <c r="Q66" s="1456"/>
      <c r="R66" s="1456"/>
      <c r="S66" s="1456"/>
      <c r="T66" s="1456"/>
      <c r="U66" s="1456"/>
      <c r="V66" s="1456"/>
      <c r="W66" s="1456"/>
      <c r="X66" s="1456"/>
      <c r="Y66" s="1456"/>
      <c r="Z66" s="1456"/>
      <c r="AA66" s="1456"/>
      <c r="AB66" s="1456"/>
      <c r="AC66" s="1456"/>
      <c r="AD66" s="1456"/>
      <c r="AE66" s="1456"/>
      <c r="AF66" s="1456"/>
      <c r="AG66" s="1456"/>
      <c r="AH66" s="1456"/>
      <c r="AI66" s="1456"/>
      <c r="AJ66" s="1456"/>
      <c r="AK66" s="1456"/>
    </row>
    <row r="67" spans="1:37" ht="13.15" customHeight="1">
      <c r="A67" s="4"/>
      <c r="C67" s="2"/>
      <c r="D67" s="4"/>
      <c r="E67" s="4"/>
      <c r="F67" t="s">
        <v>509</v>
      </c>
      <c r="G67" s="1456" t="s">
        <v>1167</v>
      </c>
      <c r="H67" s="1456"/>
      <c r="I67" s="1456"/>
      <c r="J67" s="1456"/>
      <c r="K67" s="1456"/>
      <c r="L67" s="1456"/>
      <c r="M67" s="1456"/>
      <c r="N67" s="1456"/>
      <c r="O67" s="1456"/>
      <c r="P67" s="1456"/>
      <c r="Q67" s="1456"/>
      <c r="R67" s="1456"/>
      <c r="S67" s="1456"/>
      <c r="T67" s="1456"/>
      <c r="U67" s="1456"/>
      <c r="V67" s="1456"/>
      <c r="W67" s="1456"/>
      <c r="X67" s="1456"/>
      <c r="Y67" s="1456"/>
      <c r="Z67" s="1456"/>
      <c r="AA67" s="1456"/>
      <c r="AB67" s="1456"/>
      <c r="AC67" s="1456"/>
      <c r="AD67" s="1456"/>
      <c r="AE67" s="1456"/>
      <c r="AF67" s="1456"/>
      <c r="AG67" s="1456"/>
      <c r="AH67" s="1456"/>
      <c r="AI67" s="1456"/>
      <c r="AJ67" s="1456"/>
      <c r="AK67" s="1456"/>
    </row>
    <row r="68" spans="1:37">
      <c r="A68" s="4"/>
      <c r="C68" s="2"/>
      <c r="D68" s="4"/>
      <c r="E68" s="4"/>
      <c r="F68" s="27"/>
      <c r="G68" s="1456"/>
      <c r="H68" s="1456"/>
      <c r="I68" s="1456"/>
      <c r="J68" s="1456"/>
      <c r="K68" s="1456"/>
      <c r="L68" s="1456"/>
      <c r="M68" s="1456"/>
      <c r="N68" s="1456"/>
      <c r="O68" s="1456"/>
      <c r="P68" s="1456"/>
      <c r="Q68" s="1456"/>
      <c r="R68" s="1456"/>
      <c r="S68" s="1456"/>
      <c r="T68" s="1456"/>
      <c r="U68" s="1456"/>
      <c r="V68" s="1456"/>
      <c r="W68" s="1456"/>
      <c r="X68" s="1456"/>
      <c r="Y68" s="1456"/>
      <c r="Z68" s="1456"/>
      <c r="AA68" s="1456"/>
      <c r="AB68" s="1456"/>
      <c r="AC68" s="1456"/>
      <c r="AD68" s="1456"/>
      <c r="AE68" s="1456"/>
      <c r="AF68" s="1456"/>
      <c r="AG68" s="1456"/>
      <c r="AH68" s="1456"/>
      <c r="AI68" s="1456"/>
      <c r="AJ68" s="1456"/>
      <c r="AK68" s="145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456" t="s">
        <v>1168</v>
      </c>
      <c r="H70" s="1456"/>
      <c r="I70" s="1456"/>
      <c r="J70" s="1456"/>
      <c r="K70" s="1456"/>
      <c r="L70" s="1456"/>
      <c r="M70" s="1456"/>
      <c r="N70" s="1456"/>
      <c r="O70" s="1456"/>
      <c r="P70" s="1456"/>
      <c r="Q70" s="1456"/>
      <c r="R70" s="1456"/>
      <c r="S70" s="1456"/>
      <c r="T70" s="1456"/>
      <c r="U70" s="1456"/>
      <c r="V70" s="1456"/>
      <c r="W70" s="1456"/>
      <c r="X70" s="1456"/>
      <c r="Y70" s="1456"/>
      <c r="Z70" s="1456"/>
      <c r="AA70" s="1456"/>
      <c r="AB70" s="1456"/>
      <c r="AC70" s="1456"/>
      <c r="AD70" s="1456"/>
      <c r="AE70" s="1456"/>
      <c r="AF70" s="1456"/>
      <c r="AG70" s="1456"/>
      <c r="AH70" s="1456"/>
      <c r="AI70" s="1456"/>
      <c r="AJ70" s="1456"/>
      <c r="AK70" s="1456"/>
    </row>
    <row r="71" spans="1:37">
      <c r="A71" s="4"/>
      <c r="C71" s="2"/>
      <c r="D71" s="4"/>
      <c r="E71" s="4"/>
      <c r="F71" s="8"/>
      <c r="G71" s="1456"/>
      <c r="H71" s="1456"/>
      <c r="I71" s="1456"/>
      <c r="J71" s="1456"/>
      <c r="K71" s="1456"/>
      <c r="L71" s="1456"/>
      <c r="M71" s="1456"/>
      <c r="N71" s="1456"/>
      <c r="O71" s="1456"/>
      <c r="P71" s="1456"/>
      <c r="Q71" s="1456"/>
      <c r="R71" s="1456"/>
      <c r="S71" s="1456"/>
      <c r="T71" s="1456"/>
      <c r="U71" s="1456"/>
      <c r="V71" s="1456"/>
      <c r="W71" s="1456"/>
      <c r="X71" s="1456"/>
      <c r="Y71" s="1456"/>
      <c r="Z71" s="1456"/>
      <c r="AA71" s="1456"/>
      <c r="AB71" s="1456"/>
      <c r="AC71" s="1456"/>
      <c r="AD71" s="1456"/>
      <c r="AE71" s="1456"/>
      <c r="AF71" s="1456"/>
      <c r="AG71" s="1456"/>
      <c r="AH71" s="1456"/>
      <c r="AI71" s="1456"/>
      <c r="AJ71" s="1456"/>
      <c r="AK71" s="1456"/>
    </row>
    <row r="72" spans="1:37">
      <c r="A72" s="4"/>
      <c r="C72" s="2"/>
      <c r="D72" s="4"/>
      <c r="E72" s="4"/>
      <c r="F72" s="8" t="s">
        <v>509</v>
      </c>
      <c r="G72" s="1456" t="s">
        <v>1169</v>
      </c>
      <c r="H72" s="1456"/>
      <c r="I72" s="1456"/>
      <c r="J72" s="1456"/>
      <c r="K72" s="1456"/>
      <c r="L72" s="1456"/>
      <c r="M72" s="1456"/>
      <c r="N72" s="1456"/>
      <c r="O72" s="1456"/>
      <c r="P72" s="1456"/>
      <c r="Q72" s="1456"/>
      <c r="R72" s="1456"/>
      <c r="S72" s="1456"/>
      <c r="T72" s="1456"/>
      <c r="U72" s="1456"/>
      <c r="V72" s="1456"/>
      <c r="W72" s="1456"/>
      <c r="X72" s="1456"/>
      <c r="Y72" s="1456"/>
      <c r="Z72" s="1456"/>
      <c r="AA72" s="1456"/>
      <c r="AB72" s="1456"/>
      <c r="AC72" s="1456"/>
      <c r="AD72" s="1456"/>
      <c r="AE72" s="1456"/>
      <c r="AF72" s="1456"/>
      <c r="AG72" s="1456"/>
      <c r="AH72" s="1456"/>
      <c r="AI72" s="1456"/>
      <c r="AJ72" s="1456"/>
      <c r="AK72" s="1456"/>
    </row>
    <row r="73" spans="1:37">
      <c r="A73" s="4"/>
      <c r="C73" s="2"/>
      <c r="D73" s="4"/>
      <c r="E73" s="4"/>
      <c r="F73" s="8"/>
      <c r="G73" s="1456"/>
      <c r="H73" s="1456"/>
      <c r="I73" s="1456"/>
      <c r="J73" s="1456"/>
      <c r="K73" s="1456"/>
      <c r="L73" s="1456"/>
      <c r="M73" s="1456"/>
      <c r="N73" s="1456"/>
      <c r="O73" s="1456"/>
      <c r="P73" s="1456"/>
      <c r="Q73" s="1456"/>
      <c r="R73" s="1456"/>
      <c r="S73" s="1456"/>
      <c r="T73" s="1456"/>
      <c r="U73" s="1456"/>
      <c r="V73" s="1456"/>
      <c r="W73" s="1456"/>
      <c r="X73" s="1456"/>
      <c r="Y73" s="1456"/>
      <c r="Z73" s="1456"/>
      <c r="AA73" s="1456"/>
      <c r="AB73" s="1456"/>
      <c r="AC73" s="1456"/>
      <c r="AD73" s="1456"/>
      <c r="AE73" s="1456"/>
      <c r="AF73" s="1456"/>
      <c r="AG73" s="1456"/>
      <c r="AH73" s="1456"/>
      <c r="AI73" s="1456"/>
      <c r="AJ73" s="1456"/>
      <c r="AK73" s="1456"/>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56" t="s">
        <v>1170</v>
      </c>
      <c r="H80" s="1456"/>
      <c r="I80" s="1456"/>
      <c r="J80" s="1456"/>
      <c r="K80" s="1456"/>
      <c r="L80" s="1456"/>
      <c r="M80" s="1456"/>
      <c r="N80" s="1456"/>
      <c r="O80" s="1456"/>
      <c r="P80" s="1456"/>
      <c r="Q80" s="1456"/>
      <c r="R80" s="1456"/>
      <c r="S80" s="1456"/>
      <c r="T80" s="1456"/>
      <c r="U80" s="1456"/>
      <c r="V80" s="1456"/>
      <c r="W80" s="1456"/>
      <c r="X80" s="1456"/>
      <c r="Y80" s="1456"/>
      <c r="Z80" s="1456"/>
      <c r="AA80" s="1456"/>
      <c r="AB80" s="1456"/>
      <c r="AC80" s="1456"/>
      <c r="AD80" s="1456"/>
      <c r="AE80" s="1456"/>
      <c r="AF80" s="1456"/>
      <c r="AG80" s="1456"/>
      <c r="AH80" s="1456"/>
      <c r="AI80" s="1456"/>
      <c r="AJ80" s="1456"/>
      <c r="AK80" s="1456"/>
    </row>
    <row r="81" spans="1:37">
      <c r="A81" s="4"/>
      <c r="C81" s="2"/>
      <c r="D81" s="4"/>
      <c r="E81" s="4"/>
      <c r="F81" s="4"/>
      <c r="G81" s="1456"/>
      <c r="H81" s="1456"/>
      <c r="I81" s="1456"/>
      <c r="J81" s="1456"/>
      <c r="K81" s="1456"/>
      <c r="L81" s="1456"/>
      <c r="M81" s="1456"/>
      <c r="N81" s="1456"/>
      <c r="O81" s="1456"/>
      <c r="P81" s="1456"/>
      <c r="Q81" s="1456"/>
      <c r="R81" s="1456"/>
      <c r="S81" s="1456"/>
      <c r="T81" s="1456"/>
      <c r="U81" s="1456"/>
      <c r="V81" s="1456"/>
      <c r="W81" s="1456"/>
      <c r="X81" s="1456"/>
      <c r="Y81" s="1456"/>
      <c r="Z81" s="1456"/>
      <c r="AA81" s="1456"/>
      <c r="AB81" s="1456"/>
      <c r="AC81" s="1456"/>
      <c r="AD81" s="1456"/>
      <c r="AE81" s="1456"/>
      <c r="AF81" s="1456"/>
      <c r="AG81" s="1456"/>
      <c r="AH81" s="1456"/>
      <c r="AI81" s="1456"/>
      <c r="AJ81" s="1456"/>
      <c r="AK81" s="1456"/>
    </row>
    <row r="82" spans="1:37">
      <c r="A82" s="4"/>
      <c r="C82" s="2"/>
      <c r="D82" s="4"/>
      <c r="E82" s="4"/>
      <c r="F82" s="4"/>
      <c r="G82" s="1456"/>
      <c r="H82" s="1456"/>
      <c r="I82" s="1456"/>
      <c r="J82" s="1456"/>
      <c r="K82" s="1456"/>
      <c r="L82" s="1456"/>
      <c r="M82" s="1456"/>
      <c r="N82" s="1456"/>
      <c r="O82" s="1456"/>
      <c r="P82" s="1456"/>
      <c r="Q82" s="1456"/>
      <c r="R82" s="1456"/>
      <c r="S82" s="1456"/>
      <c r="T82" s="1456"/>
      <c r="U82" s="1456"/>
      <c r="V82" s="1456"/>
      <c r="W82" s="1456"/>
      <c r="X82" s="1456"/>
      <c r="Y82" s="1456"/>
      <c r="Z82" s="1456"/>
      <c r="AA82" s="1456"/>
      <c r="AB82" s="1456"/>
      <c r="AC82" s="1456"/>
      <c r="AD82" s="1456"/>
      <c r="AE82" s="1456"/>
      <c r="AF82" s="1456"/>
      <c r="AG82" s="1456"/>
      <c r="AH82" s="1456"/>
      <c r="AI82" s="1456"/>
      <c r="AJ82" s="1456"/>
      <c r="AK82" s="1456"/>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56" t="s">
        <v>1171</v>
      </c>
      <c r="H84" s="1456"/>
      <c r="I84" s="1456"/>
      <c r="J84" s="1456"/>
      <c r="K84" s="1456"/>
      <c r="L84" s="1456"/>
      <c r="M84" s="1456"/>
      <c r="N84" s="1456"/>
      <c r="O84" s="1456"/>
      <c r="P84" s="1456"/>
      <c r="Q84" s="1456"/>
      <c r="R84" s="1456"/>
      <c r="S84" s="1456"/>
      <c r="T84" s="1456"/>
      <c r="U84" s="1456"/>
      <c r="V84" s="1456"/>
      <c r="W84" s="1456"/>
      <c r="X84" s="1456"/>
      <c r="Y84" s="1456"/>
      <c r="Z84" s="1456"/>
      <c r="AA84" s="1456"/>
      <c r="AB84" s="1456"/>
      <c r="AC84" s="1456"/>
      <c r="AD84" s="1456"/>
      <c r="AE84" s="1456"/>
      <c r="AF84" s="1456"/>
      <c r="AG84" s="1456"/>
      <c r="AH84" s="1456"/>
      <c r="AI84" s="1456"/>
      <c r="AJ84" s="1456"/>
      <c r="AK84" s="1456"/>
    </row>
    <row r="85" spans="1:37">
      <c r="A85" s="4"/>
      <c r="C85" s="2"/>
      <c r="D85" s="4"/>
      <c r="E85" s="4"/>
      <c r="F85" s="4"/>
      <c r="G85" s="1456"/>
      <c r="H85" s="1456"/>
      <c r="I85" s="1456"/>
      <c r="J85" s="1456"/>
      <c r="K85" s="1456"/>
      <c r="L85" s="1456"/>
      <c r="M85" s="1456"/>
      <c r="N85" s="1456"/>
      <c r="O85" s="1456"/>
      <c r="P85" s="1456"/>
      <c r="Q85" s="1456"/>
      <c r="R85" s="1456"/>
      <c r="S85" s="1456"/>
      <c r="T85" s="1456"/>
      <c r="U85" s="1456"/>
      <c r="V85" s="1456"/>
      <c r="W85" s="1456"/>
      <c r="X85" s="1456"/>
      <c r="Y85" s="1456"/>
      <c r="Z85" s="1456"/>
      <c r="AA85" s="1456"/>
      <c r="AB85" s="1456"/>
      <c r="AC85" s="1456"/>
      <c r="AD85" s="1456"/>
      <c r="AE85" s="1456"/>
      <c r="AF85" s="1456"/>
      <c r="AG85" s="1456"/>
      <c r="AH85" s="1456"/>
      <c r="AI85" s="1456"/>
      <c r="AJ85" s="1456"/>
      <c r="AK85" s="1456"/>
    </row>
    <row r="86" spans="1:37">
      <c r="A86" s="4"/>
      <c r="C86" s="2"/>
      <c r="D86" s="4"/>
      <c r="E86" s="4"/>
      <c r="G86" s="1456"/>
      <c r="H86" s="1456"/>
      <c r="I86" s="1456"/>
      <c r="J86" s="1456"/>
      <c r="K86" s="1456"/>
      <c r="L86" s="1456"/>
      <c r="M86" s="1456"/>
      <c r="N86" s="1456"/>
      <c r="O86" s="1456"/>
      <c r="P86" s="1456"/>
      <c r="Q86" s="1456"/>
      <c r="R86" s="1456"/>
      <c r="S86" s="1456"/>
      <c r="T86" s="1456"/>
      <c r="U86" s="1456"/>
      <c r="V86" s="1456"/>
      <c r="W86" s="1456"/>
      <c r="X86" s="1456"/>
      <c r="Y86" s="1456"/>
      <c r="Z86" s="1456"/>
      <c r="AA86" s="1456"/>
      <c r="AB86" s="1456"/>
      <c r="AC86" s="1456"/>
      <c r="AD86" s="1456"/>
      <c r="AE86" s="1456"/>
      <c r="AF86" s="1456"/>
      <c r="AG86" s="1456"/>
      <c r="AH86" s="1456"/>
      <c r="AI86" s="1456"/>
      <c r="AJ86" s="1456"/>
      <c r="AK86" s="1456"/>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806" t="s">
        <v>1172</v>
      </c>
      <c r="H88" s="1806"/>
      <c r="I88" s="1806"/>
      <c r="J88" s="1806"/>
      <c r="K88" s="1806"/>
      <c r="L88" s="1806"/>
      <c r="M88" s="1806"/>
      <c r="N88" s="1806"/>
      <c r="O88" s="1806"/>
      <c r="P88" s="1806"/>
      <c r="Q88" s="1806"/>
      <c r="R88" s="1806"/>
      <c r="S88" s="1806"/>
      <c r="T88" s="1806"/>
      <c r="U88" s="1806"/>
      <c r="V88" s="1806"/>
      <c r="W88" s="1806"/>
      <c r="X88" s="1806"/>
      <c r="Y88" s="1806"/>
      <c r="Z88" s="1806"/>
      <c r="AA88" s="1806"/>
      <c r="AB88" s="1806"/>
      <c r="AC88" s="1806"/>
      <c r="AD88" s="1806"/>
      <c r="AE88" s="1806"/>
      <c r="AF88" s="1806"/>
      <c r="AG88" s="1806"/>
      <c r="AH88" s="1806"/>
      <c r="AI88" s="1806"/>
      <c r="AJ88" s="1806"/>
      <c r="AK88" s="1806"/>
    </row>
    <row r="89" spans="1:37">
      <c r="A89" s="4"/>
      <c r="C89" s="2"/>
      <c r="D89" s="4"/>
      <c r="E89" s="4"/>
      <c r="G89" s="1806"/>
      <c r="H89" s="1806"/>
      <c r="I89" s="1806"/>
      <c r="J89" s="1806"/>
      <c r="K89" s="1806"/>
      <c r="L89" s="1806"/>
      <c r="M89" s="1806"/>
      <c r="N89" s="1806"/>
      <c r="O89" s="1806"/>
      <c r="P89" s="1806"/>
      <c r="Q89" s="1806"/>
      <c r="R89" s="1806"/>
      <c r="S89" s="1806"/>
      <c r="T89" s="1806"/>
      <c r="U89" s="1806"/>
      <c r="V89" s="1806"/>
      <c r="W89" s="1806"/>
      <c r="X89" s="1806"/>
      <c r="Y89" s="1806"/>
      <c r="Z89" s="1806"/>
      <c r="AA89" s="1806"/>
      <c r="AB89" s="1806"/>
      <c r="AC89" s="1806"/>
      <c r="AD89" s="1806"/>
      <c r="AE89" s="1806"/>
      <c r="AF89" s="1806"/>
      <c r="AG89" s="1806"/>
      <c r="AH89" s="1806"/>
      <c r="AI89" s="1806"/>
      <c r="AJ89" s="1806"/>
      <c r="AK89" s="1806"/>
    </row>
    <row r="90" spans="1:37">
      <c r="A90" s="4"/>
      <c r="C90" s="2"/>
      <c r="D90" s="4"/>
      <c r="E90" s="4"/>
      <c r="G90" s="1806"/>
      <c r="H90" s="1806"/>
      <c r="I90" s="1806"/>
      <c r="J90" s="1806"/>
      <c r="K90" s="1806"/>
      <c r="L90" s="1806"/>
      <c r="M90" s="1806"/>
      <c r="N90" s="1806"/>
      <c r="O90" s="1806"/>
      <c r="P90" s="1806"/>
      <c r="Q90" s="1806"/>
      <c r="R90" s="1806"/>
      <c r="S90" s="1806"/>
      <c r="T90" s="1806"/>
      <c r="U90" s="1806"/>
      <c r="V90" s="1806"/>
      <c r="W90" s="1806"/>
      <c r="X90" s="1806"/>
      <c r="Y90" s="1806"/>
      <c r="Z90" s="1806"/>
      <c r="AA90" s="1806"/>
      <c r="AB90" s="1806"/>
      <c r="AC90" s="1806"/>
      <c r="AD90" s="1806"/>
      <c r="AE90" s="1806"/>
      <c r="AF90" s="1806"/>
      <c r="AG90" s="1806"/>
      <c r="AH90" s="1806"/>
      <c r="AI90" s="1806"/>
      <c r="AJ90" s="1806"/>
      <c r="AK90" s="1806"/>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56" t="s">
        <v>1173</v>
      </c>
      <c r="H92" s="1456"/>
      <c r="I92" s="1456"/>
      <c r="J92" s="1456"/>
      <c r="K92" s="1456"/>
      <c r="L92" s="1456"/>
      <c r="M92" s="1456"/>
      <c r="N92" s="1456"/>
      <c r="O92" s="1456"/>
      <c r="P92" s="1456"/>
      <c r="Q92" s="1456"/>
      <c r="R92" s="1456"/>
      <c r="S92" s="1456"/>
      <c r="T92" s="1456"/>
      <c r="U92" s="1456"/>
      <c r="V92" s="1456"/>
      <c r="W92" s="1456"/>
      <c r="X92" s="1456"/>
      <c r="Y92" s="1456"/>
      <c r="Z92" s="1456"/>
      <c r="AA92" s="1456"/>
      <c r="AB92" s="1456"/>
      <c r="AC92" s="1456"/>
      <c r="AD92" s="1456"/>
      <c r="AE92" s="1456"/>
      <c r="AF92" s="1456"/>
      <c r="AG92" s="1456"/>
      <c r="AH92" s="1456"/>
      <c r="AI92" s="1456"/>
      <c r="AJ92" s="1456"/>
      <c r="AK92" s="1456"/>
    </row>
    <row r="93" spans="1:37">
      <c r="A93" s="4"/>
      <c r="C93" s="2"/>
      <c r="D93" s="4"/>
      <c r="E93" s="4"/>
      <c r="G93" s="1456"/>
      <c r="H93" s="1456"/>
      <c r="I93" s="1456"/>
      <c r="J93" s="1456"/>
      <c r="K93" s="1456"/>
      <c r="L93" s="1456"/>
      <c r="M93" s="1456"/>
      <c r="N93" s="1456"/>
      <c r="O93" s="1456"/>
      <c r="P93" s="1456"/>
      <c r="Q93" s="1456"/>
      <c r="R93" s="1456"/>
      <c r="S93" s="1456"/>
      <c r="T93" s="1456"/>
      <c r="U93" s="1456"/>
      <c r="V93" s="1456"/>
      <c r="W93" s="1456"/>
      <c r="X93" s="1456"/>
      <c r="Y93" s="1456"/>
      <c r="Z93" s="1456"/>
      <c r="AA93" s="1456"/>
      <c r="AB93" s="1456"/>
      <c r="AC93" s="1456"/>
      <c r="AD93" s="1456"/>
      <c r="AE93" s="1456"/>
      <c r="AF93" s="1456"/>
      <c r="AG93" s="1456"/>
      <c r="AH93" s="1456"/>
      <c r="AI93" s="1456"/>
      <c r="AJ93" s="1456"/>
      <c r="AK93" s="1456"/>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456" t="s">
        <v>1174</v>
      </c>
      <c r="H95" s="1456"/>
      <c r="I95" s="1456"/>
      <c r="J95" s="1456"/>
      <c r="K95" s="1456"/>
      <c r="L95" s="1456"/>
      <c r="M95" s="1456"/>
      <c r="N95" s="1456"/>
      <c r="O95" s="1456"/>
      <c r="P95" s="1456"/>
      <c r="Q95" s="1456"/>
      <c r="R95" s="1456"/>
      <c r="S95" s="1456"/>
      <c r="T95" s="1456"/>
      <c r="U95" s="1456"/>
      <c r="V95" s="1456"/>
      <c r="W95" s="1456"/>
      <c r="X95" s="1456"/>
      <c r="Y95" s="1456"/>
      <c r="Z95" s="1456"/>
      <c r="AA95" s="1456"/>
      <c r="AB95" s="1456"/>
      <c r="AC95" s="1456"/>
      <c r="AD95" s="1456"/>
      <c r="AE95" s="1456"/>
      <c r="AF95" s="1456"/>
      <c r="AG95" s="1456"/>
      <c r="AH95" s="1456"/>
      <c r="AI95" s="1456"/>
      <c r="AJ95" s="1456"/>
      <c r="AK95" s="1456"/>
    </row>
    <row r="96" spans="1:37">
      <c r="A96" s="4"/>
      <c r="C96" s="2"/>
      <c r="D96" s="4"/>
      <c r="E96" s="4"/>
      <c r="G96" s="1456"/>
      <c r="H96" s="1456"/>
      <c r="I96" s="1456"/>
      <c r="J96" s="1456"/>
      <c r="K96" s="1456"/>
      <c r="L96" s="1456"/>
      <c r="M96" s="1456"/>
      <c r="N96" s="1456"/>
      <c r="O96" s="1456"/>
      <c r="P96" s="1456"/>
      <c r="Q96" s="1456"/>
      <c r="R96" s="1456"/>
      <c r="S96" s="1456"/>
      <c r="T96" s="1456"/>
      <c r="U96" s="1456"/>
      <c r="V96" s="1456"/>
      <c r="W96" s="1456"/>
      <c r="X96" s="1456"/>
      <c r="Y96" s="1456"/>
      <c r="Z96" s="1456"/>
      <c r="AA96" s="1456"/>
      <c r="AB96" s="1456"/>
      <c r="AC96" s="1456"/>
      <c r="AD96" s="1456"/>
      <c r="AE96" s="1456"/>
      <c r="AF96" s="1456"/>
      <c r="AG96" s="1456"/>
      <c r="AH96" s="1456"/>
      <c r="AI96" s="1456"/>
      <c r="AJ96" s="1456"/>
      <c r="AK96" s="1456"/>
    </row>
    <row r="97" spans="1:38">
      <c r="A97" s="4"/>
      <c r="C97" s="2"/>
      <c r="D97" s="4"/>
      <c r="E97" s="4"/>
      <c r="G97" s="1456"/>
      <c r="H97" s="1456"/>
      <c r="I97" s="1456"/>
      <c r="J97" s="1456"/>
      <c r="K97" s="1456"/>
      <c r="L97" s="1456"/>
      <c r="M97" s="1456"/>
      <c r="N97" s="1456"/>
      <c r="O97" s="1456"/>
      <c r="P97" s="1456"/>
      <c r="Q97" s="1456"/>
      <c r="R97" s="1456"/>
      <c r="S97" s="1456"/>
      <c r="T97" s="1456"/>
      <c r="U97" s="1456"/>
      <c r="V97" s="1456"/>
      <c r="W97" s="1456"/>
      <c r="X97" s="1456"/>
      <c r="Y97" s="1456"/>
      <c r="Z97" s="1456"/>
      <c r="AA97" s="1456"/>
      <c r="AB97" s="1456"/>
      <c r="AC97" s="1456"/>
      <c r="AD97" s="1456"/>
      <c r="AE97" s="1456"/>
      <c r="AF97" s="1456"/>
      <c r="AG97" s="1456"/>
      <c r="AH97" s="1456"/>
      <c r="AI97" s="1456"/>
      <c r="AJ97" s="1456"/>
      <c r="AK97" s="1456"/>
    </row>
    <row r="98" spans="1:38">
      <c r="A98" s="4"/>
      <c r="D98" s="99"/>
      <c r="E98" s="1807" t="s">
        <v>1175</v>
      </c>
      <c r="F98" s="1807"/>
      <c r="G98" s="1807"/>
      <c r="H98" s="1807"/>
      <c r="I98" s="1807"/>
      <c r="J98" s="1807"/>
      <c r="K98" s="1807"/>
      <c r="L98" s="1807"/>
      <c r="M98" s="1807"/>
      <c r="N98" s="1807"/>
      <c r="O98" s="1807"/>
      <c r="P98" s="1807"/>
      <c r="Q98" s="1807"/>
      <c r="R98" s="1807"/>
      <c r="S98" s="1807"/>
      <c r="T98" s="1807"/>
      <c r="U98" s="1807"/>
      <c r="V98" s="1807"/>
      <c r="W98" s="1807"/>
      <c r="X98" s="1807"/>
      <c r="Y98" s="1807"/>
      <c r="Z98" s="1807"/>
      <c r="AA98" s="1807"/>
      <c r="AB98" s="1807"/>
      <c r="AC98" s="1807"/>
      <c r="AD98" s="1807"/>
      <c r="AE98" s="1807"/>
      <c r="AF98" s="1807"/>
      <c r="AG98" s="1807"/>
      <c r="AH98" s="1807"/>
      <c r="AI98" s="1807"/>
      <c r="AJ98" s="1807"/>
      <c r="AK98" s="1807"/>
    </row>
    <row r="99" spans="1:38">
      <c r="A99" s="4"/>
      <c r="D99" s="99"/>
      <c r="E99" s="1807"/>
      <c r="F99" s="1807"/>
      <c r="G99" s="1807"/>
      <c r="H99" s="1807"/>
      <c r="I99" s="1807"/>
      <c r="J99" s="1807"/>
      <c r="K99" s="1807"/>
      <c r="L99" s="1807"/>
      <c r="M99" s="1807"/>
      <c r="N99" s="1807"/>
      <c r="O99" s="1807"/>
      <c r="P99" s="1807"/>
      <c r="Q99" s="1807"/>
      <c r="R99" s="1807"/>
      <c r="S99" s="1807"/>
      <c r="T99" s="1807"/>
      <c r="U99" s="1807"/>
      <c r="V99" s="1807"/>
      <c r="W99" s="1807"/>
      <c r="X99" s="1807"/>
      <c r="Y99" s="1807"/>
      <c r="Z99" s="1807"/>
      <c r="AA99" s="1807"/>
      <c r="AB99" s="1807"/>
      <c r="AC99" s="1807"/>
      <c r="AD99" s="1807"/>
      <c r="AE99" s="1807"/>
      <c r="AF99" s="1807"/>
      <c r="AG99" s="1807"/>
      <c r="AH99" s="1807"/>
      <c r="AI99" s="1807"/>
      <c r="AJ99" s="1807"/>
      <c r="AK99" s="1807"/>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456" t="s">
        <v>1176</v>
      </c>
      <c r="H205" s="1456"/>
      <c r="I205" s="1456"/>
      <c r="J205" s="1456"/>
      <c r="K205" s="1456"/>
      <c r="L205" s="1456"/>
      <c r="M205" s="1456"/>
      <c r="N205" s="1456"/>
      <c r="O205" s="1456"/>
      <c r="P205" s="1456"/>
      <c r="Q205" s="1456"/>
      <c r="R205" s="1456"/>
      <c r="S205" s="1456"/>
      <c r="T205" s="1456"/>
      <c r="U205" s="1456"/>
      <c r="V205" s="1456"/>
      <c r="W205" s="1456"/>
      <c r="X205" s="1456"/>
      <c r="Y205" s="1456"/>
      <c r="Z205" s="1456"/>
      <c r="AA205" s="1456"/>
      <c r="AB205" s="1456"/>
      <c r="AC205" s="1456"/>
      <c r="AD205" s="1456"/>
      <c r="AE205" s="1456"/>
      <c r="AF205" s="1456"/>
      <c r="AG205" s="1456"/>
      <c r="AH205" s="1456"/>
      <c r="AI205" s="1456"/>
      <c r="AJ205" s="1456"/>
      <c r="AK205" s="1456"/>
    </row>
    <row r="206" spans="2:37">
      <c r="B206" s="4"/>
      <c r="C206" s="4"/>
      <c r="D206" s="2"/>
      <c r="G206" s="1456"/>
      <c r="H206" s="1456"/>
      <c r="I206" s="1456"/>
      <c r="J206" s="1456"/>
      <c r="K206" s="1456"/>
      <c r="L206" s="1456"/>
      <c r="M206" s="1456"/>
      <c r="N206" s="1456"/>
      <c r="O206" s="1456"/>
      <c r="P206" s="1456"/>
      <c r="Q206" s="1456"/>
      <c r="R206" s="1456"/>
      <c r="S206" s="1456"/>
      <c r="T206" s="1456"/>
      <c r="U206" s="1456"/>
      <c r="V206" s="1456"/>
      <c r="W206" s="1456"/>
      <c r="X206" s="1456"/>
      <c r="Y206" s="1456"/>
      <c r="Z206" s="1456"/>
      <c r="AA206" s="1456"/>
      <c r="AB206" s="1456"/>
      <c r="AC206" s="1456"/>
      <c r="AD206" s="1456"/>
      <c r="AE206" s="1456"/>
      <c r="AF206" s="1456"/>
      <c r="AG206" s="1456"/>
      <c r="AH206" s="1456"/>
      <c r="AI206" s="1456"/>
      <c r="AJ206" s="1456"/>
      <c r="AK206" s="1456"/>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456" t="s">
        <v>1155</v>
      </c>
      <c r="G336" s="1456"/>
      <c r="H336" s="1456"/>
      <c r="I336" s="1456"/>
      <c r="J336" s="1456"/>
      <c r="K336" s="1456"/>
      <c r="L336" s="1456"/>
      <c r="M336" s="1456"/>
      <c r="N336" s="1456"/>
      <c r="O336" s="1456"/>
      <c r="P336" s="1456"/>
      <c r="Q336" s="1456"/>
      <c r="R336" s="1456"/>
      <c r="S336" s="1456"/>
      <c r="T336" s="1456"/>
      <c r="U336" s="1456"/>
      <c r="V336" s="1456"/>
      <c r="W336" s="1456"/>
      <c r="X336" s="1456"/>
      <c r="Y336" s="1456"/>
      <c r="Z336" s="1456"/>
      <c r="AA336" s="1456"/>
      <c r="AB336" s="1456"/>
      <c r="AC336" s="1456"/>
      <c r="AD336" s="1456"/>
      <c r="AE336" s="1456"/>
      <c r="AF336" s="1456"/>
      <c r="AG336" s="1456"/>
      <c r="AH336" s="1456"/>
      <c r="AI336" s="1456"/>
      <c r="AJ336" s="1456"/>
      <c r="AK336" s="1456"/>
    </row>
    <row r="337" spans="2:37">
      <c r="B337" s="2"/>
      <c r="E337" s="4"/>
      <c r="F337" s="1456"/>
      <c r="G337" s="1456"/>
      <c r="H337" s="1456"/>
      <c r="I337" s="1456"/>
      <c r="J337" s="1456"/>
      <c r="K337" s="1456"/>
      <c r="L337" s="1456"/>
      <c r="M337" s="1456"/>
      <c r="N337" s="1456"/>
      <c r="O337" s="1456"/>
      <c r="P337" s="1456"/>
      <c r="Q337" s="1456"/>
      <c r="R337" s="1456"/>
      <c r="S337" s="1456"/>
      <c r="T337" s="1456"/>
      <c r="U337" s="1456"/>
      <c r="V337" s="1456"/>
      <c r="W337" s="1456"/>
      <c r="X337" s="1456"/>
      <c r="Y337" s="1456"/>
      <c r="Z337" s="1456"/>
      <c r="AA337" s="1456"/>
      <c r="AB337" s="1456"/>
      <c r="AC337" s="1456"/>
      <c r="AD337" s="1456"/>
      <c r="AE337" s="1456"/>
      <c r="AF337" s="1456"/>
      <c r="AG337" s="1456"/>
      <c r="AH337" s="1456"/>
      <c r="AI337" s="1456"/>
      <c r="AJ337" s="1456"/>
      <c r="AK337" s="1456"/>
    </row>
    <row r="338" spans="2:37">
      <c r="B338" s="2"/>
      <c r="E338" s="4"/>
      <c r="F338" s="1456"/>
      <c r="G338" s="1456"/>
      <c r="H338" s="1456"/>
      <c r="I338" s="1456"/>
      <c r="J338" s="1456"/>
      <c r="K338" s="1456"/>
      <c r="L338" s="1456"/>
      <c r="M338" s="1456"/>
      <c r="N338" s="1456"/>
      <c r="O338" s="1456"/>
      <c r="P338" s="1456"/>
      <c r="Q338" s="1456"/>
      <c r="R338" s="1456"/>
      <c r="S338" s="1456"/>
      <c r="T338" s="1456"/>
      <c r="U338" s="1456"/>
      <c r="V338" s="1456"/>
      <c r="W338" s="1456"/>
      <c r="X338" s="1456"/>
      <c r="Y338" s="1456"/>
      <c r="Z338" s="1456"/>
      <c r="AA338" s="1456"/>
      <c r="AB338" s="1456"/>
      <c r="AC338" s="1456"/>
      <c r="AD338" s="1456"/>
      <c r="AE338" s="1456"/>
      <c r="AF338" s="1456"/>
      <c r="AG338" s="1456"/>
      <c r="AH338" s="1456"/>
      <c r="AI338" s="1456"/>
      <c r="AJ338" s="1456"/>
      <c r="AK338" s="1456"/>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800" t="s">
        <v>1235</v>
      </c>
      <c r="F341" s="1800"/>
      <c r="G341" s="1800"/>
      <c r="H341" s="1800"/>
      <c r="I341" s="1800"/>
      <c r="J341" s="1800"/>
      <c r="K341" s="1800"/>
      <c r="L341" s="1800"/>
      <c r="M341" s="1800"/>
      <c r="N341" s="1800"/>
      <c r="O341" s="1800"/>
      <c r="P341" s="1800"/>
      <c r="Q341" s="1800"/>
      <c r="R341" s="1800"/>
      <c r="S341" s="1800"/>
      <c r="T341" s="1800"/>
      <c r="U341" s="1800"/>
      <c r="V341" s="1800"/>
      <c r="W341" s="1800"/>
      <c r="X341" s="1800"/>
      <c r="Y341" s="1800"/>
      <c r="Z341" s="1800"/>
      <c r="AA341" s="1800"/>
      <c r="AB341" s="1800"/>
      <c r="AC341" s="1800"/>
      <c r="AD341" s="1800"/>
      <c r="AE341" s="1800"/>
      <c r="AF341" s="1800"/>
      <c r="AG341" s="1800"/>
      <c r="AH341" s="1800"/>
      <c r="AI341" s="1800"/>
      <c r="AJ341" s="1800"/>
      <c r="AK341" s="1800"/>
    </row>
    <row r="342" spans="2:37">
      <c r="B342" s="2"/>
      <c r="E342" s="1800"/>
      <c r="F342" s="1800"/>
      <c r="G342" s="1800"/>
      <c r="H342" s="1800"/>
      <c r="I342" s="1800"/>
      <c r="J342" s="1800"/>
      <c r="K342" s="1800"/>
      <c r="L342" s="1800"/>
      <c r="M342" s="1800"/>
      <c r="N342" s="1800"/>
      <c r="O342" s="1800"/>
      <c r="P342" s="1800"/>
      <c r="Q342" s="1800"/>
      <c r="R342" s="1800"/>
      <c r="S342" s="1800"/>
      <c r="T342" s="1800"/>
      <c r="U342" s="1800"/>
      <c r="V342" s="1800"/>
      <c r="W342" s="1800"/>
      <c r="X342" s="1800"/>
      <c r="Y342" s="1800"/>
      <c r="Z342" s="1800"/>
      <c r="AA342" s="1800"/>
      <c r="AB342" s="1800"/>
      <c r="AC342" s="1800"/>
      <c r="AD342" s="1800"/>
      <c r="AE342" s="1800"/>
      <c r="AF342" s="1800"/>
      <c r="AG342" s="1800"/>
      <c r="AH342" s="1800"/>
      <c r="AI342" s="1800"/>
      <c r="AJ342" s="1800"/>
      <c r="AK342" s="1800"/>
    </row>
    <row r="343" spans="2:37">
      <c r="B343" s="2"/>
      <c r="E343" s="1800"/>
      <c r="F343" s="1800"/>
      <c r="G343" s="1800"/>
      <c r="H343" s="1800"/>
      <c r="I343" s="1800"/>
      <c r="J343" s="1800"/>
      <c r="K343" s="1800"/>
      <c r="L343" s="1800"/>
      <c r="M343" s="1800"/>
      <c r="N343" s="1800"/>
      <c r="O343" s="1800"/>
      <c r="P343" s="1800"/>
      <c r="Q343" s="1800"/>
      <c r="R343" s="1800"/>
      <c r="S343" s="1800"/>
      <c r="T343" s="1800"/>
      <c r="U343" s="1800"/>
      <c r="V343" s="1800"/>
      <c r="W343" s="1800"/>
      <c r="X343" s="1800"/>
      <c r="Y343" s="1800"/>
      <c r="Z343" s="1800"/>
      <c r="AA343" s="1800"/>
      <c r="AB343" s="1800"/>
      <c r="AC343" s="1800"/>
      <c r="AD343" s="1800"/>
      <c r="AE343" s="1800"/>
      <c r="AF343" s="1800"/>
      <c r="AG343" s="1800"/>
      <c r="AH343" s="1800"/>
      <c r="AI343" s="1800"/>
      <c r="AJ343" s="1800"/>
      <c r="AK343" s="1800"/>
    </row>
    <row r="344" spans="2:37">
      <c r="B344" s="2"/>
      <c r="E344" s="1800"/>
      <c r="F344" s="1800"/>
      <c r="G344" s="1800"/>
      <c r="H344" s="1800"/>
      <c r="I344" s="1800"/>
      <c r="J344" s="1800"/>
      <c r="K344" s="1800"/>
      <c r="L344" s="1800"/>
      <c r="M344" s="1800"/>
      <c r="N344" s="1800"/>
      <c r="O344" s="1800"/>
      <c r="P344" s="1800"/>
      <c r="Q344" s="1800"/>
      <c r="R344" s="1800"/>
      <c r="S344" s="1800"/>
      <c r="T344" s="1800"/>
      <c r="U344" s="1800"/>
      <c r="V344" s="1800"/>
      <c r="W344" s="1800"/>
      <c r="X344" s="1800"/>
      <c r="Y344" s="1800"/>
      <c r="Z344" s="1800"/>
      <c r="AA344" s="1800"/>
      <c r="AB344" s="1800"/>
      <c r="AC344" s="1800"/>
      <c r="AD344" s="1800"/>
      <c r="AE344" s="1800"/>
      <c r="AF344" s="1800"/>
      <c r="AG344" s="1800"/>
      <c r="AH344" s="1800"/>
      <c r="AI344" s="1800"/>
      <c r="AJ344" s="1800"/>
      <c r="AK344" s="1800"/>
    </row>
    <row r="345" spans="2:37">
      <c r="B345" s="2"/>
      <c r="E345" s="1800"/>
      <c r="F345" s="1800"/>
      <c r="G345" s="1800"/>
      <c r="H345" s="1800"/>
      <c r="I345" s="1800"/>
      <c r="J345" s="1800"/>
      <c r="K345" s="1800"/>
      <c r="L345" s="1800"/>
      <c r="M345" s="1800"/>
      <c r="N345" s="1800"/>
      <c r="O345" s="1800"/>
      <c r="P345" s="1800"/>
      <c r="Q345" s="1800"/>
      <c r="R345" s="1800"/>
      <c r="S345" s="1800"/>
      <c r="T345" s="1800"/>
      <c r="U345" s="1800"/>
      <c r="V345" s="1800"/>
      <c r="W345" s="1800"/>
      <c r="X345" s="1800"/>
      <c r="Y345" s="1800"/>
      <c r="Z345" s="1800"/>
      <c r="AA345" s="1800"/>
      <c r="AB345" s="1800"/>
      <c r="AC345" s="1800"/>
      <c r="AD345" s="1800"/>
      <c r="AE345" s="1800"/>
      <c r="AF345" s="1800"/>
      <c r="AG345" s="1800"/>
      <c r="AH345" s="1800"/>
      <c r="AI345" s="1800"/>
      <c r="AJ345" s="1800"/>
      <c r="AK345" s="1800"/>
    </row>
    <row r="346" spans="2:37">
      <c r="B346" s="2"/>
      <c r="E346" s="3" t="s">
        <v>112</v>
      </c>
      <c r="F346" s="1456" t="s">
        <v>1237</v>
      </c>
      <c r="G346" s="1456"/>
      <c r="H346" s="1456"/>
      <c r="I346" s="1456"/>
      <c r="J346" s="1456"/>
      <c r="K346" s="1456"/>
      <c r="L346" s="1456"/>
      <c r="M346" s="1456"/>
      <c r="N346" s="1456"/>
      <c r="O346" s="1456"/>
      <c r="P346" s="1456"/>
      <c r="Q346" s="1456"/>
      <c r="R346" s="1456"/>
      <c r="S346" s="1456"/>
      <c r="T346" s="1456"/>
      <c r="U346" s="1456"/>
      <c r="V346" s="1456"/>
      <c r="W346" s="1456"/>
      <c r="X346" s="1456"/>
      <c r="Y346" s="1456"/>
      <c r="Z346" s="1456"/>
      <c r="AA346" s="1456"/>
      <c r="AB346" s="1456"/>
      <c r="AC346" s="1456"/>
      <c r="AD346" s="1456"/>
      <c r="AE346" s="1456"/>
      <c r="AF346" s="1456"/>
      <c r="AG346" s="1456"/>
      <c r="AH346" s="1456"/>
      <c r="AI346" s="1456"/>
      <c r="AJ346" s="1456"/>
      <c r="AK346" s="1456"/>
    </row>
    <row r="347" spans="2:37">
      <c r="B347" s="2"/>
      <c r="E347" s="3"/>
      <c r="F347" s="1456"/>
      <c r="G347" s="1456"/>
      <c r="H347" s="1456"/>
      <c r="I347" s="1456"/>
      <c r="J347" s="1456"/>
      <c r="K347" s="1456"/>
      <c r="L347" s="1456"/>
      <c r="M347" s="1456"/>
      <c r="N347" s="1456"/>
      <c r="O347" s="1456"/>
      <c r="P347" s="1456"/>
      <c r="Q347" s="1456"/>
      <c r="R347" s="1456"/>
      <c r="S347" s="1456"/>
      <c r="T347" s="1456"/>
      <c r="U347" s="1456"/>
      <c r="V347" s="1456"/>
      <c r="W347" s="1456"/>
      <c r="X347" s="1456"/>
      <c r="Y347" s="1456"/>
      <c r="Z347" s="1456"/>
      <c r="AA347" s="1456"/>
      <c r="AB347" s="1456"/>
      <c r="AC347" s="1456"/>
      <c r="AD347" s="1456"/>
      <c r="AE347" s="1456"/>
      <c r="AF347" s="1456"/>
      <c r="AG347" s="1456"/>
      <c r="AH347" s="1456"/>
      <c r="AI347" s="1456"/>
      <c r="AJ347" s="1456"/>
      <c r="AK347" s="1456"/>
    </row>
    <row r="348" spans="2:37">
      <c r="B348" s="2"/>
      <c r="E348" s="3"/>
      <c r="F348" s="1456"/>
      <c r="G348" s="1456"/>
      <c r="H348" s="1456"/>
      <c r="I348" s="1456"/>
      <c r="J348" s="1456"/>
      <c r="K348" s="1456"/>
      <c r="L348" s="1456"/>
      <c r="M348" s="1456"/>
      <c r="N348" s="1456"/>
      <c r="O348" s="1456"/>
      <c r="P348" s="1456"/>
      <c r="Q348" s="1456"/>
      <c r="R348" s="1456"/>
      <c r="S348" s="1456"/>
      <c r="T348" s="1456"/>
      <c r="U348" s="1456"/>
      <c r="V348" s="1456"/>
      <c r="W348" s="1456"/>
      <c r="X348" s="1456"/>
      <c r="Y348" s="1456"/>
      <c r="Z348" s="1456"/>
      <c r="AA348" s="1456"/>
      <c r="AB348" s="1456"/>
      <c r="AC348" s="1456"/>
      <c r="AD348" s="1456"/>
      <c r="AE348" s="1456"/>
      <c r="AF348" s="1456"/>
      <c r="AG348" s="1456"/>
      <c r="AH348" s="1456"/>
      <c r="AI348" s="1456"/>
      <c r="AJ348" s="1456"/>
      <c r="AK348" s="1456"/>
    </row>
    <row r="349" spans="2:37">
      <c r="B349" s="2"/>
      <c r="E349" s="3"/>
      <c r="F349" s="1456"/>
      <c r="G349" s="1456"/>
      <c r="H349" s="1456"/>
      <c r="I349" s="1456"/>
      <c r="J349" s="1456"/>
      <c r="K349" s="1456"/>
      <c r="L349" s="1456"/>
      <c r="M349" s="1456"/>
      <c r="N349" s="1456"/>
      <c r="O349" s="1456"/>
      <c r="P349" s="1456"/>
      <c r="Q349" s="1456"/>
      <c r="R349" s="1456"/>
      <c r="S349" s="1456"/>
      <c r="T349" s="1456"/>
      <c r="U349" s="1456"/>
      <c r="V349" s="1456"/>
      <c r="W349" s="1456"/>
      <c r="X349" s="1456"/>
      <c r="Y349" s="1456"/>
      <c r="Z349" s="1456"/>
      <c r="AA349" s="1456"/>
      <c r="AB349" s="1456"/>
      <c r="AC349" s="1456"/>
      <c r="AD349" s="1456"/>
      <c r="AE349" s="1456"/>
      <c r="AF349" s="1456"/>
      <c r="AG349" s="1456"/>
      <c r="AH349" s="1456"/>
      <c r="AI349" s="1456"/>
      <c r="AJ349" s="1456"/>
      <c r="AK349" s="1456"/>
    </row>
    <row r="350" spans="2:37">
      <c r="B350" s="2"/>
      <c r="E350" s="3" t="s">
        <v>113</v>
      </c>
      <c r="F350" s="1456" t="s">
        <v>1236</v>
      </c>
      <c r="G350" s="1456"/>
      <c r="H350" s="1456"/>
      <c r="I350" s="1456"/>
      <c r="J350" s="1456"/>
      <c r="K350" s="1456"/>
      <c r="L350" s="1456"/>
      <c r="M350" s="1456"/>
      <c r="N350" s="1456"/>
      <c r="O350" s="1456"/>
      <c r="P350" s="1456"/>
      <c r="Q350" s="1456"/>
      <c r="R350" s="1456"/>
      <c r="S350" s="1456"/>
      <c r="T350" s="1456"/>
      <c r="U350" s="1456"/>
      <c r="V350" s="1456"/>
      <c r="W350" s="1456"/>
      <c r="X350" s="1456"/>
      <c r="Y350" s="1456"/>
      <c r="Z350" s="1456"/>
      <c r="AA350" s="1456"/>
      <c r="AB350" s="1456"/>
      <c r="AC350" s="1456"/>
      <c r="AD350" s="1456"/>
      <c r="AE350" s="1456"/>
      <c r="AF350" s="1456"/>
      <c r="AG350" s="1456"/>
      <c r="AH350" s="1456"/>
      <c r="AI350" s="1456"/>
      <c r="AJ350" s="1456"/>
      <c r="AK350" s="1456"/>
    </row>
    <row r="351" spans="2:37">
      <c r="B351" s="2"/>
      <c r="F351" s="1456"/>
      <c r="G351" s="1456"/>
      <c r="H351" s="1456"/>
      <c r="I351" s="1456"/>
      <c r="J351" s="1456"/>
      <c r="K351" s="1456"/>
      <c r="L351" s="1456"/>
      <c r="M351" s="1456"/>
      <c r="N351" s="1456"/>
      <c r="O351" s="1456"/>
      <c r="P351" s="1456"/>
      <c r="Q351" s="1456"/>
      <c r="R351" s="1456"/>
      <c r="S351" s="1456"/>
      <c r="T351" s="1456"/>
      <c r="U351" s="1456"/>
      <c r="V351" s="1456"/>
      <c r="W351" s="1456"/>
      <c r="X351" s="1456"/>
      <c r="Y351" s="1456"/>
      <c r="Z351" s="1456"/>
      <c r="AA351" s="1456"/>
      <c r="AB351" s="1456"/>
      <c r="AC351" s="1456"/>
      <c r="AD351" s="1456"/>
      <c r="AE351" s="1456"/>
      <c r="AF351" s="1456"/>
      <c r="AG351" s="1456"/>
      <c r="AH351" s="1456"/>
      <c r="AI351" s="1456"/>
      <c r="AJ351" s="1456"/>
      <c r="AK351" s="1456"/>
    </row>
    <row r="352" spans="2:37">
      <c r="B352" s="2"/>
      <c r="F352" s="1456"/>
      <c r="G352" s="1456"/>
      <c r="H352" s="1456"/>
      <c r="I352" s="1456"/>
      <c r="J352" s="1456"/>
      <c r="K352" s="1456"/>
      <c r="L352" s="1456"/>
      <c r="M352" s="1456"/>
      <c r="N352" s="1456"/>
      <c r="O352" s="1456"/>
      <c r="P352" s="1456"/>
      <c r="Q352" s="1456"/>
      <c r="R352" s="1456"/>
      <c r="S352" s="1456"/>
      <c r="T352" s="1456"/>
      <c r="U352" s="1456"/>
      <c r="V352" s="1456"/>
      <c r="W352" s="1456"/>
      <c r="X352" s="1456"/>
      <c r="Y352" s="1456"/>
      <c r="Z352" s="1456"/>
      <c r="AA352" s="1456"/>
      <c r="AB352" s="1456"/>
      <c r="AC352" s="1456"/>
      <c r="AD352" s="1456"/>
      <c r="AE352" s="1456"/>
      <c r="AF352" s="1456"/>
      <c r="AG352" s="1456"/>
      <c r="AH352" s="1456"/>
      <c r="AI352" s="1456"/>
      <c r="AJ352" s="1456"/>
      <c r="AK352" s="1456"/>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801" t="s">
        <v>1226</v>
      </c>
      <c r="F365" s="1801"/>
      <c r="G365" s="1801"/>
      <c r="H365" s="1801"/>
      <c r="I365" s="1801"/>
      <c r="J365" s="1801"/>
      <c r="K365" s="1801"/>
      <c r="L365" s="1801"/>
      <c r="M365" s="1801"/>
      <c r="N365" s="1801"/>
      <c r="O365" s="1801"/>
      <c r="P365" s="1801"/>
      <c r="Q365" s="1801"/>
      <c r="R365" s="1801"/>
      <c r="S365" s="1801"/>
      <c r="T365" s="1801"/>
      <c r="U365" s="1801"/>
      <c r="V365" s="1801"/>
      <c r="W365" s="1801"/>
      <c r="X365" s="1801"/>
      <c r="Y365" s="1801"/>
      <c r="Z365" s="1801"/>
      <c r="AA365" s="1801"/>
      <c r="AB365" s="1801"/>
      <c r="AC365" s="1801"/>
      <c r="AD365" s="1801"/>
      <c r="AE365" s="1801"/>
      <c r="AF365" s="1801"/>
      <c r="AG365" s="1801"/>
      <c r="AH365" s="1801"/>
      <c r="AI365" s="1801"/>
      <c r="AJ365" s="1801"/>
      <c r="AK365" s="1801"/>
      <c r="AL365" s="1801"/>
    </row>
    <row r="366" spans="1:38">
      <c r="B366" s="2"/>
      <c r="E366" s="1801"/>
      <c r="F366" s="1801"/>
      <c r="G366" s="1801"/>
      <c r="H366" s="1801"/>
      <c r="I366" s="1801"/>
      <c r="J366" s="1801"/>
      <c r="K366" s="1801"/>
      <c r="L366" s="1801"/>
      <c r="M366" s="1801"/>
      <c r="N366" s="1801"/>
      <c r="O366" s="1801"/>
      <c r="P366" s="1801"/>
      <c r="Q366" s="1801"/>
      <c r="R366" s="1801"/>
      <c r="S366" s="1801"/>
      <c r="T366" s="1801"/>
      <c r="U366" s="1801"/>
      <c r="V366" s="1801"/>
      <c r="W366" s="1801"/>
      <c r="X366" s="1801"/>
      <c r="Y366" s="1801"/>
      <c r="Z366" s="1801"/>
      <c r="AA366" s="1801"/>
      <c r="AB366" s="1801"/>
      <c r="AC366" s="1801"/>
      <c r="AD366" s="1801"/>
      <c r="AE366" s="1801"/>
      <c r="AF366" s="1801"/>
      <c r="AG366" s="1801"/>
      <c r="AH366" s="1801"/>
      <c r="AI366" s="1801"/>
      <c r="AJ366" s="1801"/>
      <c r="AK366" s="1801"/>
      <c r="AL366" s="1801"/>
    </row>
    <row r="367" spans="1:38" s="1802" customFormat="1">
      <c r="A367"/>
      <c r="B367" s="2"/>
      <c r="C367"/>
      <c r="D367"/>
      <c r="E367" s="1385" t="s">
        <v>1258</v>
      </c>
    </row>
    <row r="368" spans="1:38" s="1802"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56" t="s">
        <v>1269</v>
      </c>
      <c r="G386" s="1456"/>
      <c r="H386" s="1456"/>
      <c r="I386" s="1456"/>
      <c r="J386" s="1456"/>
      <c r="K386" s="1456"/>
      <c r="L386" s="1456"/>
      <c r="M386" s="1456"/>
      <c r="N386" s="1456"/>
      <c r="O386" s="1456"/>
      <c r="P386" s="1456"/>
      <c r="Q386" s="1456"/>
      <c r="R386" s="1456"/>
      <c r="S386" s="1456"/>
      <c r="T386" s="1456"/>
      <c r="U386" s="1456"/>
      <c r="V386" s="1456"/>
      <c r="W386" s="1456"/>
      <c r="X386" s="1456"/>
      <c r="Y386" s="1456"/>
      <c r="Z386" s="1456"/>
      <c r="AA386" s="1456"/>
      <c r="AB386" s="1456"/>
      <c r="AC386" s="1456"/>
      <c r="AD386" s="1456"/>
      <c r="AE386" s="1456"/>
      <c r="AF386" s="1456"/>
      <c r="AG386" s="1456"/>
      <c r="AH386" s="1456"/>
      <c r="AI386" s="1456"/>
      <c r="AJ386" s="1456"/>
      <c r="AK386" s="1456"/>
    </row>
    <row r="387" spans="1:38">
      <c r="B387" s="2"/>
      <c r="E387" s="3"/>
      <c r="F387" s="1456"/>
      <c r="G387" s="1456"/>
      <c r="H387" s="1456"/>
      <c r="I387" s="1456"/>
      <c r="J387" s="1456"/>
      <c r="K387" s="1456"/>
      <c r="L387" s="1456"/>
      <c r="M387" s="1456"/>
      <c r="N387" s="1456"/>
      <c r="O387" s="1456"/>
      <c r="P387" s="1456"/>
      <c r="Q387" s="1456"/>
      <c r="R387" s="1456"/>
      <c r="S387" s="1456"/>
      <c r="T387" s="1456"/>
      <c r="U387" s="1456"/>
      <c r="V387" s="1456"/>
      <c r="W387" s="1456"/>
      <c r="X387" s="1456"/>
      <c r="Y387" s="1456"/>
      <c r="Z387" s="1456"/>
      <c r="AA387" s="1456"/>
      <c r="AB387" s="1456"/>
      <c r="AC387" s="1456"/>
      <c r="AD387" s="1456"/>
      <c r="AE387" s="1456"/>
      <c r="AF387" s="1456"/>
      <c r="AG387" s="1456"/>
      <c r="AH387" s="1456"/>
      <c r="AI387" s="1456"/>
      <c r="AJ387" s="1456"/>
      <c r="AK387" s="1456"/>
    </row>
    <row r="388" spans="1:38">
      <c r="B388" s="2"/>
      <c r="E388" s="3"/>
      <c r="F388" s="1456"/>
      <c r="G388" s="1456"/>
      <c r="H388" s="1456"/>
      <c r="I388" s="1456"/>
      <c r="J388" s="1456"/>
      <c r="K388" s="1456"/>
      <c r="L388" s="1456"/>
      <c r="M388" s="1456"/>
      <c r="N388" s="1456"/>
      <c r="O388" s="1456"/>
      <c r="P388" s="1456"/>
      <c r="Q388" s="1456"/>
      <c r="R388" s="1456"/>
      <c r="S388" s="1456"/>
      <c r="T388" s="1456"/>
      <c r="U388" s="1456"/>
      <c r="V388" s="1456"/>
      <c r="W388" s="1456"/>
      <c r="X388" s="1456"/>
      <c r="Y388" s="1456"/>
      <c r="Z388" s="1456"/>
      <c r="AA388" s="1456"/>
      <c r="AB388" s="1456"/>
      <c r="AC388" s="1456"/>
      <c r="AD388" s="1456"/>
      <c r="AE388" s="1456"/>
      <c r="AF388" s="1456"/>
      <c r="AG388" s="1456"/>
      <c r="AH388" s="1456"/>
      <c r="AI388" s="1456"/>
      <c r="AJ388" s="1456"/>
      <c r="AK388" s="145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abSelected="1" workbookViewId="0">
      <selection activeCell="M5" sqref="M5"/>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7" t="s">
        <v>1574</v>
      </c>
      <c r="B1" s="2657"/>
      <c r="C1" s="2657"/>
      <c r="D1" s="2657"/>
      <c r="E1" s="2657"/>
      <c r="F1" s="2657"/>
      <c r="G1" s="2657"/>
      <c r="H1" s="2657"/>
      <c r="I1" s="2657"/>
      <c r="J1" s="2657"/>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14519774</v>
      </c>
      <c r="I3" s="1099"/>
    </row>
    <row r="4" spans="1:13" s="1046" customFormat="1" ht="20.100000000000001" customHeight="1">
      <c r="B4" s="1088"/>
      <c r="D4" s="1102"/>
      <c r="F4" s="1087" t="s">
        <v>1964</v>
      </c>
      <c r="G4" s="1086" t="s">
        <v>1963</v>
      </c>
      <c r="H4" s="1201">
        <f>I18</f>
        <v>6292662.0891249999</v>
      </c>
      <c r="I4" s="1089"/>
      <c r="K4" s="1050"/>
    </row>
    <row r="5" spans="1:13" s="1046" customFormat="1" ht="20.100000000000001" customHeight="1" thickBot="1">
      <c r="B5" s="1090"/>
      <c r="C5" s="1091"/>
      <c r="D5" s="1103"/>
      <c r="E5" s="1092"/>
      <c r="F5" s="1103" t="s">
        <v>1914</v>
      </c>
      <c r="G5" s="1104"/>
      <c r="H5" s="1100">
        <f>IFERROR(H3/H4,0)</f>
        <v>2.3074135865475953</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0" t="s">
        <v>1912</v>
      </c>
      <c r="C8" s="2661"/>
      <c r="D8" s="2661"/>
      <c r="E8" s="2662"/>
      <c r="G8" s="2663" t="s">
        <v>1913</v>
      </c>
      <c r="H8" s="2664"/>
      <c r="I8" s="2665"/>
      <c r="K8" s="1052"/>
    </row>
    <row r="9" spans="1:13" ht="15" customHeight="1">
      <c r="A9" s="1041"/>
      <c r="B9" s="2658" t="s">
        <v>1946</v>
      </c>
      <c r="C9" s="2658"/>
      <c r="D9" s="2658"/>
      <c r="E9" s="1054">
        <f>G33</f>
        <v>3127500</v>
      </c>
      <c r="G9" s="2654" t="s">
        <v>1944</v>
      </c>
      <c r="H9" s="2654"/>
      <c r="I9" s="1055">
        <f>MAX(SUMIF(Application!M562:M573,"Loan, Tax-Exempt",Application!AM562:AM573),27.5%*SUM('Sources and Uses Budget'!C8,'Sources and Uses Budget'!S105,'Sources and Uses Budget'!T105))</f>
        <v>5423153.4500000002</v>
      </c>
      <c r="K9" s="1056"/>
      <c r="M9" s="1057"/>
    </row>
    <row r="10" spans="1:13" ht="15" customHeight="1" thickBot="1">
      <c r="A10" s="1041"/>
      <c r="B10" s="2658" t="s">
        <v>1947</v>
      </c>
      <c r="C10" s="2658"/>
      <c r="D10" s="2658"/>
      <c r="E10" s="1055">
        <f>G47</f>
        <v>4749624.0000000009</v>
      </c>
      <c r="G10" s="2656" t="s">
        <v>1915</v>
      </c>
      <c r="H10" s="2656"/>
      <c r="I10" s="1134">
        <f>IF(OR(Application!Z205="State Farmworker Credit",Application!Z205="$500M (Farmworker Housing)"),0,'Basis &amp; Credits'!AB78)</f>
        <v>1356167</v>
      </c>
      <c r="M10" s="1057"/>
    </row>
    <row r="11" spans="1:13" ht="15" customHeight="1">
      <c r="A11" s="1041"/>
      <c r="B11" s="2667" t="s">
        <v>2209</v>
      </c>
      <c r="C11" s="2668"/>
      <c r="D11" s="2669"/>
      <c r="E11" s="1055">
        <f>SUM(E13,E12)</f>
        <v>200000</v>
      </c>
      <c r="G11" s="2666" t="s">
        <v>1955</v>
      </c>
      <c r="H11" s="2666"/>
      <c r="I11" s="1133">
        <f>I9+I10</f>
        <v>6779320.4500000002</v>
      </c>
      <c r="M11" s="1057"/>
    </row>
    <row r="12" spans="1:13" ht="15" customHeight="1">
      <c r="A12" s="1058"/>
      <c r="B12" s="2659" t="s">
        <v>2559</v>
      </c>
      <c r="C12" s="2659"/>
      <c r="D12" s="2659"/>
      <c r="E12" s="1158">
        <f>G56</f>
        <v>200000</v>
      </c>
      <c r="M12" s="1057"/>
    </row>
    <row r="13" spans="1:13" ht="15" customHeight="1">
      <c r="A13" s="1044"/>
      <c r="B13" s="2659" t="s">
        <v>2560</v>
      </c>
      <c r="C13" s="2659"/>
      <c r="D13" s="2659"/>
      <c r="E13" s="1158">
        <f>IF(G67,MAX(G65,G79),G65)</f>
        <v>0</v>
      </c>
      <c r="G13" s="2663" t="s">
        <v>1978</v>
      </c>
      <c r="H13" s="2664"/>
      <c r="I13" s="2665"/>
    </row>
    <row r="14" spans="1:13" ht="15" customHeight="1">
      <c r="A14" s="1044"/>
      <c r="B14" s="2667" t="s">
        <v>2210</v>
      </c>
      <c r="C14" s="2668"/>
      <c r="D14" s="2669"/>
      <c r="E14" s="1160">
        <f>MAX(E15,E16)+E17</f>
        <v>6442650</v>
      </c>
      <c r="G14" s="2654" t="s">
        <v>2576</v>
      </c>
      <c r="H14" s="2654"/>
      <c r="I14" s="1059">
        <f>IF(AND(G134="Yes",G136&lt;&gt;""),IF(OR(G141="Yes",G145="Yes"),18%,15%),0)</f>
        <v>0</v>
      </c>
      <c r="M14" s="1057"/>
    </row>
    <row r="15" spans="1:13" ht="15" customHeight="1">
      <c r="A15" s="1044"/>
      <c r="B15" s="2670" t="s">
        <v>2573</v>
      </c>
      <c r="C15" s="2671"/>
      <c r="D15" s="2672"/>
      <c r="E15" s="1158">
        <f>G94</f>
        <v>1876500</v>
      </c>
      <c r="G15" s="1131" t="s">
        <v>1956</v>
      </c>
      <c r="H15" s="1131"/>
      <c r="I15" s="1059">
        <f>IF(Application!AJ1041&gt;0,10%,IF(Application!AJ1045&gt;0,5%,0))</f>
        <v>0.05</v>
      </c>
      <c r="M15" s="1057"/>
    </row>
    <row r="16" spans="1:13" ht="15" customHeight="1">
      <c r="A16" s="1044"/>
      <c r="B16" s="2670" t="s">
        <v>2574</v>
      </c>
      <c r="C16" s="2671"/>
      <c r="D16" s="2672"/>
      <c r="E16" s="1158">
        <f>G104</f>
        <v>0</v>
      </c>
      <c r="G16" s="2654" t="s">
        <v>1957</v>
      </c>
      <c r="H16" s="2654"/>
      <c r="I16" s="1059">
        <f>G155</f>
        <v>2.1785714285714287E-2</v>
      </c>
    </row>
    <row r="17" spans="1:21" ht="15" customHeight="1" thickBot="1">
      <c r="A17" s="1044"/>
      <c r="B17" s="2670" t="s">
        <v>2575</v>
      </c>
      <c r="C17" s="2671"/>
      <c r="D17" s="2672"/>
      <c r="E17" s="1158">
        <f>G129</f>
        <v>4566150</v>
      </c>
      <c r="G17" s="2654" t="s">
        <v>2218</v>
      </c>
      <c r="H17" s="2654"/>
      <c r="I17" s="1059">
        <f>IF(AND(G161="Yes",G159),IF(G165&gt;15%,15%,G165),0)</f>
        <v>0</v>
      </c>
    </row>
    <row r="18" spans="1:21" ht="15" customHeight="1">
      <c r="A18" s="1041"/>
      <c r="B18" s="2655" t="s">
        <v>1911</v>
      </c>
      <c r="C18" s="2655"/>
      <c r="D18" s="2655"/>
      <c r="E18" s="1105">
        <f>SUM(E9:E11,E14)</f>
        <v>14519774</v>
      </c>
      <c r="G18" s="1132" t="s">
        <v>1945</v>
      </c>
      <c r="H18" s="1132"/>
      <c r="I18" s="1106">
        <f>I11-((I11*I14)+(I11*I15)+(I11*I16)+(I11*I17))</f>
        <v>6292662.0891249999</v>
      </c>
      <c r="M18" s="1060">
        <f>SUM(Cdlac[Quantity])</f>
        <v>58</v>
      </c>
      <c r="O18" s="1079" t="s">
        <v>582</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3</v>
      </c>
      <c r="N20" s="1066">
        <f>Application!AC726</f>
        <v>0.3</v>
      </c>
      <c r="O20" s="1066">
        <f>IF(Cdlac[[#This Row],[Quantity]]&gt;0,IF(Cdlac[[#This Row],[Federal]],30%,IF(AND(OR(NOT($G$38),$G$38=""),$G$43),40%,Cdlac[[#This Row],[iAMI]])),"")</f>
        <v>0.3</v>
      </c>
      <c r="P20" s="1060" cm="1">
        <f t="array" ref="P20">IF(Cdlac[[#This Row],[Quantity]]&gt;0,INDEX(TcacRents,$P$18,Cdlac[[#This Row],[Bedrooms]]+1)*Cdlac[[#This Row],[AMI]],"")</f>
        <v>795</v>
      </c>
      <c r="Q20" s="1157"/>
      <c r="R20" s="1060" cm="1">
        <f t="array" ref="R20">IF(Cdlac[[#This Row],[Quantity]]&gt;0,INDEX(HudFmrs,$P$18,Cdlac[[#This Row],[Bedrooms]]+1),"")</f>
        <v>1856</v>
      </c>
      <c r="S20" s="1060">
        <f>IF(Cdlac[[#This Row],[Quantity]]&gt;0,MAX(0,Cdlac[[#This Row],[Fair Market Rent]]-IF(AND($G$37,$G$38,$G$38&lt;&gt;"",NOT(Cdlac[[#This Row],[Federal]]),Cdlac[[#This Row],[Preservation Rent]]&lt;&gt;""),Cdlac[[#This Row],[Preservation Rent]],Cdlac[[#This Row],[Restricted Rent]])),"")</f>
        <v>1061</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1</v>
      </c>
      <c r="N21" s="1066">
        <f>Application!AC727</f>
        <v>0.5</v>
      </c>
      <c r="O21" s="1066">
        <f>IF(Cdlac[[#This Row],[Quantity]]&gt;0,IF(Cdlac[[#This Row],[Federal]],30%,IF(AND(OR(NOT($G$38),$G$38=""),$G$43),40%,Cdlac[[#This Row],[iAMI]])),"")</f>
        <v>0.5</v>
      </c>
      <c r="P21" s="1060" cm="1">
        <f t="array" ref="P21">IF(Cdlac[[#This Row],[Quantity]]&gt;0,INDEX(TcacRents,$P$18,Cdlac[[#This Row],[Bedrooms]]+1)*Cdlac[[#This Row],[AMI]],"")</f>
        <v>1325</v>
      </c>
      <c r="Q21" s="1157"/>
      <c r="R21" s="1060" cm="1">
        <f t="array" ref="R21">IF(Cdlac[[#This Row],[Quantity]]&gt;0,INDEX(HudFmrs,$P$18,Cdlac[[#This Row],[Bedrooms]]+1),"")</f>
        <v>1856</v>
      </c>
      <c r="S21" s="1060">
        <f>IF(Cdlac[[#This Row],[Quantity]]&gt;0,MAX(0,Cdlac[[#This Row],[Fair Market Rent]]-IF(AND($G$37,$G$38,$G$38&lt;&gt;"",NOT(Cdlac[[#This Row],[Federal]]),Cdlac[[#This Row],[Preservation Rent]]&lt;&gt;""),Cdlac[[#This Row],[Preservation Rent]],Cdlac[[#This Row],[Restricted Rent]])),"")</f>
        <v>531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4" t="s">
        <v>1959</v>
      </c>
      <c r="D22" s="2644" t="s">
        <v>1960</v>
      </c>
      <c r="E22" s="2644" t="s">
        <v>1961</v>
      </c>
      <c r="F22" s="2644" t="s">
        <v>2524</v>
      </c>
      <c r="G22" s="2644" t="s">
        <v>1958</v>
      </c>
      <c r="H22" s="1065"/>
      <c r="I22" s="1064"/>
      <c r="L22" s="1039">
        <f>IFERROR(MIN(4,MATCH(Application!B728,UnitSizes,0)-1),"")</f>
        <v>0</v>
      </c>
      <c r="M22" s="1060">
        <f>Application!G728</f>
        <v>3</v>
      </c>
      <c r="N22" s="1066">
        <f>Application!AC728</f>
        <v>0.7</v>
      </c>
      <c r="O22" s="1066">
        <f>IF(Cdlac[[#This Row],[Quantity]]&gt;0,IF(Cdlac[[#This Row],[Federal]],30%,IF(AND(OR(NOT($G$38),$G$38=""),$G$43),40%,Cdlac[[#This Row],[iAMI]])),"")</f>
        <v>0.7</v>
      </c>
      <c r="P22" s="1060" cm="1">
        <f t="array" ref="P22">IF(Cdlac[[#This Row],[Quantity]]&gt;0,INDEX(TcacRents,$P$18,Cdlac[[#This Row],[Bedrooms]]+1)*Cdlac[[#This Row],[AMI]],"")</f>
        <v>1854.9999999999998</v>
      </c>
      <c r="Q22" s="1157"/>
      <c r="R22" s="1060" cm="1">
        <f t="array" ref="R22">IF(Cdlac[[#This Row],[Quantity]]&gt;0,INDEX(HudFmrs,$P$18,Cdlac[[#This Row],[Bedrooms]]+1),"")</f>
        <v>1856</v>
      </c>
      <c r="S22" s="1060">
        <f>IF(Cdlac[[#This Row],[Quantity]]&gt;0,MAX(0,Cdlac[[#This Row],[Fair Market Rent]]-IF(AND($G$37,$G$38,$G$38&lt;&gt;"",NOT(Cdlac[[#This Row],[Federal]]),Cdlac[[#This Row],[Preservation Rent]]&lt;&gt;""),Cdlac[[#This Row],[Preservation Rent]],Cdlac[[#This Row],[Restricted Rent]])),"")</f>
        <v>1.0000000000002274</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5"/>
      <c r="D23" s="2645"/>
      <c r="E23" s="2645"/>
      <c r="F23" s="2645"/>
      <c r="G23" s="2645"/>
      <c r="H23" s="1065"/>
      <c r="I23" s="1064"/>
      <c r="L23" s="1039" t="str">
        <f>IFERROR(MIN(4,MATCH(Application!B729,UnitSizes,0)-1),"")</f>
        <v/>
      </c>
      <c r="M23" s="1060">
        <f>Application!G729</f>
        <v>0</v>
      </c>
      <c r="N23" s="1066">
        <f>Application!AC729</f>
        <v>0</v>
      </c>
      <c r="O23" s="1066" t="str">
        <f>IF(Cdlac[[#This Row],[Quantity]]&gt;0,IF(Cdlac[[#This Row],[Federal]],30%,IF(AND(OR(NOT($G$38),$G$38=""),$G$43),40%,Cdlac[[#This Row],[iAMI]])),"")</f>
        <v/>
      </c>
      <c r="P23" s="1060" t="str" cm="1">
        <f t="array" ref="P23">IF(Cdlac[[#This Row],[Quantity]]&gt;0,INDEX(TcacRents,$P$18,Cdlac[[#This Row],[Bedrooms]]+1)*Cdlac[[#This Row],[AMI]],"")</f>
        <v/>
      </c>
      <c r="Q23" s="1157"/>
      <c r="R23" s="1060" t="str" cm="1">
        <f t="array" ref="R23">IF(Cdlac[[#This Row],[Quantity]]&gt;0,INDEX(HudFmrs,$P$18,Cdlac[[#This Row],[Bedrooms]]+1),"")</f>
        <v/>
      </c>
      <c r="S23" s="1060" t="str">
        <f>IF(Cdlac[[#This Row],[Quantity]]&gt;0,MAX(0,Cdlac[[#This Row],[Fair Market Rent]]-IF(AND($G$37,$G$38,$G$38&lt;&gt;"",NOT(Cdlac[[#This Row],[Federal]]),Cdlac[[#This Row],[Preservation Rent]]&lt;&gt;""),Cdlac[[#This Row],[Preservation Rent]],Cdlac[[#This Row],[Restricted Rent]])),"")</f>
        <v/>
      </c>
      <c r="T23" s="1039" t="str">
        <f>IF(Cdlac[[#This Row],[Quantity]]&gt;0,AND(Application!AK729&lt;&gt;"N/A",Application!AK729&lt;&gt;"")*Cdlac[[#This Row],[Quantity]],"")</f>
        <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7</v>
      </c>
      <c r="F24" s="1067">
        <f>E24</f>
        <v>7</v>
      </c>
      <c r="G24" s="1067">
        <f>D24*F24</f>
        <v>6.3</v>
      </c>
      <c r="L24" s="1039">
        <f>IFERROR(MIN(4,MATCH(Application!B730,UnitSizes,0)-1),"")</f>
        <v>1</v>
      </c>
      <c r="M24" s="1060">
        <f>Application!G730</f>
        <v>5</v>
      </c>
      <c r="N24" s="1066">
        <f>Application!AC730</f>
        <v>0.3</v>
      </c>
      <c r="O24" s="1066">
        <f>IF(Cdlac[[#This Row],[Quantity]]&gt;0,IF(Cdlac[[#This Row],[Federal]],30%,IF(AND(OR(NOT($G$38),$G$38=""),$G$43),40%,Cdlac[[#This Row],[iAMI]])),"")</f>
        <v>0.3</v>
      </c>
      <c r="P24" s="1060" cm="1">
        <f t="array" ref="P24">IF(Cdlac[[#This Row],[Quantity]]&gt;0,INDEX(TcacRents,$P$18,Cdlac[[#This Row],[Bedrooms]]+1)*Cdlac[[#This Row],[AMI]],"")</f>
        <v>852</v>
      </c>
      <c r="Q24" s="1157"/>
      <c r="R24" s="1060" cm="1">
        <f t="array" ref="R24">IF(Cdlac[[#This Row],[Quantity]]&gt;0,INDEX(HudFmrs,$P$18,Cdlac[[#This Row],[Bedrooms]]+1),"")</f>
        <v>2081</v>
      </c>
      <c r="S24" s="1060">
        <f>IF(Cdlac[[#This Row],[Quantity]]&gt;0,MAX(0,Cdlac[[#This Row],[Fair Market Rent]]-IF(AND($G$37,$G$38,$G$38&lt;&gt;"",NOT(Cdlac[[#This Row],[Federal]]),Cdlac[[#This Row],[Preservation Rent]]&lt;&gt;""),Cdlac[[#This Row],[Preservation Rent]],Cdlac[[#This Row],[Restricted Rent]])),"")</f>
        <v>1229</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37</v>
      </c>
      <c r="F25" s="1067">
        <f>E25</f>
        <v>37</v>
      </c>
      <c r="G25" s="1067">
        <f>D25*F25</f>
        <v>37</v>
      </c>
      <c r="L25" s="1039">
        <f>IFERROR(MIN(4,MATCH(Application!B731,UnitSizes,0)-1),"")</f>
        <v>1</v>
      </c>
      <c r="M25" s="1060">
        <f>Application!G731</f>
        <v>6</v>
      </c>
      <c r="N25" s="1066">
        <f>Application!AC731</f>
        <v>0.5</v>
      </c>
      <c r="O25" s="1066">
        <f>IF(Cdlac[[#This Row],[Quantity]]&gt;0,IF(Cdlac[[#This Row],[Federal]],30%,IF(AND(OR(NOT($G$38),$G$38=""),$G$43),40%,Cdlac[[#This Row],[iAMI]])),"")</f>
        <v>0.5</v>
      </c>
      <c r="P25" s="1060" cm="1">
        <f t="array" ref="P25">IF(Cdlac[[#This Row],[Quantity]]&gt;0,INDEX(TcacRents,$P$18,Cdlac[[#This Row],[Bedrooms]]+1)*Cdlac[[#This Row],[AMI]],"")</f>
        <v>1420</v>
      </c>
      <c r="Q25" s="1157"/>
      <c r="R25" s="1060" cm="1">
        <f t="array" ref="R25">IF(Cdlac[[#This Row],[Quantity]]&gt;0,INDEX(HudFmrs,$P$18,Cdlac[[#This Row],[Bedrooms]]+1),"")</f>
        <v>2081</v>
      </c>
      <c r="S25" s="1060">
        <f>IF(Cdlac[[#This Row],[Quantity]]&gt;0,MAX(0,Cdlac[[#This Row],[Fair Market Rent]]-IF(AND($G$37,$G$38,$G$38&lt;&gt;"",NOT(Cdlac[[#This Row],[Federal]]),Cdlac[[#This Row],[Preservation Rent]]&lt;&gt;""),Cdlac[[#This Row],[Preservation Rent]],Cdlac[[#This Row],[Restricted Rent]])),"")</f>
        <v>661</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7</v>
      </c>
      <c r="F26" s="1070">
        <f>SUM(E26:E28)-SUM(F27:F28)</f>
        <v>7</v>
      </c>
      <c r="G26" s="1067">
        <f>D26*F26</f>
        <v>8.75</v>
      </c>
      <c r="H26" s="1069"/>
      <c r="I26" s="1069"/>
      <c r="L26" s="1039">
        <f>IFERROR(MIN(4,MATCH(Application!B732,UnitSizes,0)-1),"")</f>
        <v>1</v>
      </c>
      <c r="M26" s="1060">
        <f>Application!G732</f>
        <v>26</v>
      </c>
      <c r="N26" s="1066">
        <f>Application!AC732</f>
        <v>0.7</v>
      </c>
      <c r="O26" s="1066">
        <f>IF(Cdlac[[#This Row],[Quantity]]&gt;0,IF(Cdlac[[#This Row],[Federal]],30%,IF(AND(OR(NOT($G$38),$G$38=""),$G$43),40%,Cdlac[[#This Row],[iAMI]])),"")</f>
        <v>0.7</v>
      </c>
      <c r="P26" s="1060" cm="1">
        <f t="array" ref="P26">IF(Cdlac[[#This Row],[Quantity]]&gt;0,INDEX(TcacRents,$P$18,Cdlac[[#This Row],[Bedrooms]]+1)*Cdlac[[#This Row],[AMI]],"")</f>
        <v>1987.9999999999998</v>
      </c>
      <c r="Q26" s="1157"/>
      <c r="R26" s="1060" cm="1">
        <f t="array" ref="R26">IF(Cdlac[[#This Row],[Quantity]]&gt;0,INDEX(HudFmrs,$P$18,Cdlac[[#This Row],[Bedrooms]]+1),"")</f>
        <v>2081</v>
      </c>
      <c r="S26" s="1060">
        <f>IF(Cdlac[[#This Row],[Quantity]]&gt;0,MAX(0,Cdlac[[#This Row],[Fair Market Rent]]-IF(AND($G$37,$G$38,$G$38&lt;&gt;"",NOT(Cdlac[[#This Row],[Federal]]),Cdlac[[#This Row],[Preservation Rent]]&lt;&gt;""),Cdlac[[#This Row],[Preservation Rent]],Cdlac[[#This Row],[Restricted Rent]])),"")</f>
        <v>93.000000000000227</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7</v>
      </c>
      <c r="F27" s="1070">
        <f>MIN(E27,ROUNDDOWN(E29*30%,0))</f>
        <v>7</v>
      </c>
      <c r="G27" s="1067">
        <f>D27*F27</f>
        <v>10.5</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1</v>
      </c>
      <c r="N28" s="1066">
        <f>Application!AC734</f>
        <v>0.3</v>
      </c>
      <c r="O28" s="1066">
        <f>IF(Cdlac[[#This Row],[Quantity]]&gt;0,IF(Cdlac[[#This Row],[Federal]],30%,IF(AND(OR(NOT($G$38),$G$38=""),$G$43),40%,Cdlac[[#This Row],[iAMI]])),"")</f>
        <v>0.3</v>
      </c>
      <c r="P28" s="1060" cm="1">
        <f t="array" ref="P28">IF(Cdlac[[#This Row],[Quantity]]&gt;0,INDEX(TcacRents,$P$18,Cdlac[[#This Row],[Bedrooms]]+1)*Cdlac[[#This Row],[AMI]],"")</f>
        <v>1021.8</v>
      </c>
      <c r="Q28" s="1157"/>
      <c r="R28" s="1060" cm="1">
        <f t="array" ref="R28">IF(Cdlac[[#This Row],[Quantity]]&gt;0,INDEX(HudFmrs,$P$18,Cdlac[[#This Row],[Bedrooms]]+1),"")</f>
        <v>2625</v>
      </c>
      <c r="S28" s="1060">
        <f>IF(Cdlac[[#This Row],[Quantity]]&gt;0,MAX(0,Cdlac[[#This Row],[Fair Market Rent]]-IF(AND($G$37,$G$38,$G$38&lt;&gt;"",NOT(Cdlac[[#This Row],[Federal]]),Cdlac[[#This Row],[Preservation Rent]]&lt;&gt;""),Cdlac[[#This Row],[Preservation Rent]],Cdlac[[#This Row],[Restricted Rent]])),"")</f>
        <v>1603.2</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4" t="s">
        <v>1575</v>
      </c>
      <c r="D29" s="2675"/>
      <c r="E29" s="1084">
        <f>SUM(E24:E28)</f>
        <v>58</v>
      </c>
      <c r="F29" s="1084">
        <f>SUM(F24:F28)</f>
        <v>58</v>
      </c>
      <c r="G29" s="1085">
        <f>SUMPRODUCT(D24:D28,F24:F28)</f>
        <v>62.55</v>
      </c>
      <c r="H29" s="1069"/>
      <c r="I29" s="1069"/>
      <c r="L29" s="1039">
        <f>IFERROR(MIN(4,MATCH(Application!B735,UnitSizes,0)-1),"")</f>
        <v>2</v>
      </c>
      <c r="M29" s="1060">
        <f>Application!G735</f>
        <v>1</v>
      </c>
      <c r="N29" s="1066">
        <f>Application!AC735</f>
        <v>0.5</v>
      </c>
      <c r="O29" s="1066">
        <f>IF(Cdlac[[#This Row],[Quantity]]&gt;0,IF(Cdlac[[#This Row],[Federal]],30%,IF(AND(OR(NOT($G$38),$G$38=""),$G$43),40%,Cdlac[[#This Row],[iAMI]])),"")</f>
        <v>0.5</v>
      </c>
      <c r="P29" s="1060" cm="1">
        <f t="array" ref="P29">IF(Cdlac[[#This Row],[Quantity]]&gt;0,INDEX(TcacRents,$P$18,Cdlac[[#This Row],[Bedrooms]]+1)*Cdlac[[#This Row],[AMI]],"")</f>
        <v>1703</v>
      </c>
      <c r="Q29" s="1157"/>
      <c r="R29" s="1060" cm="1">
        <f t="array" ref="R29">IF(Cdlac[[#This Row],[Quantity]]&gt;0,INDEX(HudFmrs,$P$18,Cdlac[[#This Row],[Bedrooms]]+1),"")</f>
        <v>2625</v>
      </c>
      <c r="S29" s="1060">
        <f>IF(Cdlac[[#This Row],[Quantity]]&gt;0,MAX(0,Cdlac[[#This Row],[Fair Market Rent]]-IF(AND($G$37,$G$38,$G$38&lt;&gt;"",NOT(Cdlac[[#This Row],[Federal]]),Cdlac[[#This Row],[Preservation Rent]]&lt;&gt;""),Cdlac[[#This Row],[Preservation Rent]],Cdlac[[#This Row],[Restricted Rent]])),"")</f>
        <v>922</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5</v>
      </c>
      <c r="N30" s="1066">
        <f>Application!AC736</f>
        <v>0.7</v>
      </c>
      <c r="O30" s="1066">
        <f>IF(Cdlac[[#This Row],[Quantity]]&gt;0,IF(Cdlac[[#This Row],[Federal]],30%,IF(AND(OR(NOT($G$38),$G$38=""),$G$43),40%,Cdlac[[#This Row],[iAMI]])),"")</f>
        <v>0.7</v>
      </c>
      <c r="P30" s="1060" cm="1">
        <f t="array" ref="P30">IF(Cdlac[[#This Row],[Quantity]]&gt;0,INDEX(TcacRents,$P$18,Cdlac[[#This Row],[Bedrooms]]+1)*Cdlac[[#This Row],[AMI]],"")</f>
        <v>2384.1999999999998</v>
      </c>
      <c r="Q30" s="1157"/>
      <c r="R30" s="1060" cm="1">
        <f t="array" ref="R30">IF(Cdlac[[#This Row],[Quantity]]&gt;0,INDEX(HudFmrs,$P$18,Cdlac[[#This Row],[Bedrooms]]+1),"")</f>
        <v>2625</v>
      </c>
      <c r="S30" s="1060">
        <f>IF(Cdlac[[#This Row],[Quantity]]&gt;0,MAX(0,Cdlac[[#This Row],[Fair Market Rent]]-IF(AND($G$37,$G$38,$G$38&lt;&gt;"",NOT(Cdlac[[#This Row],[Federal]]),Cdlac[[#This Row],[Preservation Rent]]&lt;&gt;""),Cdlac[[#This Row],[Preservation Rent]],Cdlac[[#This Row],[Restricted Rent]])),"")</f>
        <v>240.80000000000018</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62.55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f>IFERROR(MIN(4,MATCH(Application!B738,UnitSizes,0)-1),"")</f>
        <v>3</v>
      </c>
      <c r="M32" s="1060">
        <f>Application!G738</f>
        <v>1</v>
      </c>
      <c r="N32" s="1066">
        <f>Application!AC738</f>
        <v>0.3</v>
      </c>
      <c r="O32" s="1066">
        <f>IF(Cdlac[[#This Row],[Quantity]]&gt;0,IF(Cdlac[[#This Row],[Federal]],30%,IF(AND(OR(NOT($G$38),$G$38=""),$G$43),40%,Cdlac[[#This Row],[iAMI]])),"")</f>
        <v>0.3</v>
      </c>
      <c r="P32" s="1060" cm="1">
        <f t="array" ref="P32">IF(Cdlac[[#This Row],[Quantity]]&gt;0,INDEX(TcacRents,$P$18,Cdlac[[#This Row],[Bedrooms]]+1)*Cdlac[[#This Row],[AMI]],"")</f>
        <v>1181.3999999999999</v>
      </c>
      <c r="Q32" s="1157"/>
      <c r="R32" s="1060" cm="1">
        <f t="array" ref="R32">IF(Cdlac[[#This Row],[Quantity]]&gt;0,INDEX(HudFmrs,$P$18,Cdlac[[#This Row],[Bedrooms]]+1),"")</f>
        <v>3335</v>
      </c>
      <c r="S32" s="1060">
        <f>IF(Cdlac[[#This Row],[Quantity]]&gt;0,MAX(0,Cdlac[[#This Row],[Fair Market Rent]]-IF(AND($G$37,$G$38,$G$38&lt;&gt;"",NOT(Cdlac[[#This Row],[Federal]]),Cdlac[[#This Row],[Preservation Rent]]&lt;&gt;""),Cdlac[[#This Row],[Preservation Rent]],Cdlac[[#This Row],[Restricted Rent]])),"")</f>
        <v>2153.6000000000004</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3127500</v>
      </c>
      <c r="H33" s="1069"/>
      <c r="I33" s="1069"/>
      <c r="L33" s="1039">
        <f>IFERROR(MIN(4,MATCH(Application!B739,UnitSizes,0)-1),"")</f>
        <v>3</v>
      </c>
      <c r="M33" s="1060">
        <f>Application!G739</f>
        <v>1</v>
      </c>
      <c r="N33" s="1066">
        <f>Application!AC739</f>
        <v>0.5</v>
      </c>
      <c r="O33" s="1066">
        <f>IF(Cdlac[[#This Row],[Quantity]]&gt;0,IF(Cdlac[[#This Row],[Federal]],30%,IF(AND(OR(NOT($G$38),$G$38=""),$G$43),40%,Cdlac[[#This Row],[iAMI]])),"")</f>
        <v>0.5</v>
      </c>
      <c r="P33" s="1060" cm="1">
        <f t="array" ref="P33">IF(Cdlac[[#This Row],[Quantity]]&gt;0,INDEX(TcacRents,$P$18,Cdlac[[#This Row],[Bedrooms]]+1)*Cdlac[[#This Row],[AMI]],"")</f>
        <v>1969</v>
      </c>
      <c r="Q33" s="1157"/>
      <c r="R33" s="1060" cm="1">
        <f t="array" ref="R33">IF(Cdlac[[#This Row],[Quantity]]&gt;0,INDEX(HudFmrs,$P$18,Cdlac[[#This Row],[Bedrooms]]+1),"")</f>
        <v>3335</v>
      </c>
      <c r="S33" s="1060">
        <f>IF(Cdlac[[#This Row],[Quantity]]&gt;0,MAX(0,Cdlac[[#This Row],[Fair Market Rent]]-IF(AND($G$37,$G$38,$G$38&lt;&gt;"",NOT(Cdlac[[#This Row],[Federal]]),Cdlac[[#This Row],[Preservation Rent]]&lt;&gt;""),Cdlac[[#This Row],[Preservation Rent]],Cdlac[[#This Row],[Restricted Rent]])),"")</f>
        <v>1366</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3</v>
      </c>
      <c r="M34" s="1060">
        <f>Application!G740</f>
        <v>5</v>
      </c>
      <c r="N34" s="1066">
        <f>Application!AC740</f>
        <v>0.7</v>
      </c>
      <c r="O34" s="1066">
        <f>IF(Cdlac[[#This Row],[Quantity]]&gt;0,IF(Cdlac[[#This Row],[Federal]],30%,IF(AND(OR(NOT($G$38),$G$38=""),$G$43),40%,Cdlac[[#This Row],[iAMI]])),"")</f>
        <v>0.7</v>
      </c>
      <c r="P34" s="1060" cm="1">
        <f t="array" ref="P34">IF(Cdlac[[#This Row],[Quantity]]&gt;0,INDEX(TcacRents,$P$18,Cdlac[[#This Row],[Bedrooms]]+1)*Cdlac[[#This Row],[AMI]],"")</f>
        <v>2756.6</v>
      </c>
      <c r="Q34" s="1157"/>
      <c r="R34" s="1060" cm="1">
        <f t="array" ref="R34">IF(Cdlac[[#This Row],[Quantity]]&gt;0,INDEX(HudFmrs,$P$18,Cdlac[[#This Row],[Bedrooms]]+1),"")</f>
        <v>3335</v>
      </c>
      <c r="S34" s="1060">
        <f>IF(Cdlac[[#This Row],[Quantity]]&gt;0,MAX(0,Cdlac[[#This Row],[Fair Market Rent]]-IF(AND($G$37,$G$38,$G$38&lt;&gt;"",NOT(Cdlac[[#This Row],[Federal]]),Cdlac[[#This Row],[Preservation Rent]]&lt;&gt;""),Cdlac[[#This Row],[Preservation Rent]],Cdlac[[#This Row],[Restricted Rent]])),"")</f>
        <v>578.40000000000009</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2558</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7" t="str">
        <f>IF(AND(G37,G38,G38&lt;&gt;""),"Enter the average rent charged for each unit type over the last three years, as documented with rent rolls or property audits, in cells Q20:Q44","")</f>
        <v/>
      </c>
      <c r="D39" s="2677"/>
      <c r="E39" s="2677"/>
      <c r="F39" s="2677"/>
      <c r="G39" s="2677"/>
      <c r="H39" s="2677"/>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7"/>
      <c r="D40" s="2677"/>
      <c r="E40" s="2677"/>
      <c r="F40" s="2677"/>
      <c r="G40" s="2677"/>
      <c r="H40" s="2677"/>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7"/>
      <c r="D41" s="2677"/>
      <c r="E41" s="2677"/>
      <c r="F41" s="2677"/>
      <c r="G41" s="2677"/>
      <c r="H41" s="2677"/>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26386.800000000003</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4749624.0000000009</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10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29</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10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200000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29</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2563</v>
      </c>
      <c r="G67" s="1039" t="b">
        <f>Application!V227="Yes"</f>
        <v>0</v>
      </c>
    </row>
    <row r="68" spans="5:7" ht="15" customHeight="1">
      <c r="E68" s="1079" t="s">
        <v>2564</v>
      </c>
      <c r="G68" s="1202">
        <f>SUMIF(Application!AK726:AK760,"Homeless",Application!G726:G760)</f>
        <v>0</v>
      </c>
    </row>
    <row r="69" spans="5:7" ht="15" customHeight="1">
      <c r="E69" s="1079"/>
    </row>
    <row r="70" spans="5:7" ht="15" customHeight="1">
      <c r="E70" s="1079" t="s">
        <v>2565</v>
      </c>
      <c r="G70" s="1203"/>
    </row>
    <row r="71" spans="5:7" ht="15" customHeight="1">
      <c r="E71" s="1079" t="s">
        <v>2566</v>
      </c>
      <c r="G71" s="1203"/>
    </row>
    <row r="72" spans="5:7" ht="15" customHeight="1">
      <c r="E72" s="1079" t="s">
        <v>2567</v>
      </c>
      <c r="G72" s="1202">
        <f>IF(G71=0,0,(G70/G71)*100000)</f>
        <v>0</v>
      </c>
    </row>
    <row r="73" spans="5:7" ht="15" customHeight="1">
      <c r="E73" s="1079" t="s">
        <v>2568</v>
      </c>
      <c r="G73" s="1203"/>
    </row>
    <row r="74" spans="5:7" ht="15" customHeight="1">
      <c r="E74" s="1079" t="s">
        <v>2569</v>
      </c>
      <c r="G74" s="1203"/>
    </row>
    <row r="75" spans="5:7" ht="15" customHeight="1">
      <c r="E75" s="1079" t="s">
        <v>2570</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46" t="s">
        <v>1942</v>
      </c>
      <c r="M83" s="2647"/>
      <c r="N83" s="1125">
        <v>30000</v>
      </c>
    </row>
    <row r="84" spans="2:14" ht="15" customHeight="1">
      <c r="C84" s="1072" t="s">
        <v>1954</v>
      </c>
      <c r="G84" s="1076" t="str">
        <f>IF(Application!D211="Large Family","Yes","No")</f>
        <v>No</v>
      </c>
      <c r="L84" s="2650" t="s">
        <v>1910</v>
      </c>
      <c r="M84" s="2651"/>
      <c r="N84" s="1126">
        <v>20000</v>
      </c>
    </row>
    <row r="85" spans="2:14" ht="15" customHeight="1" thickBot="1">
      <c r="C85" s="1072" t="s">
        <v>1940</v>
      </c>
      <c r="G85" s="1038" t="s">
        <v>669</v>
      </c>
      <c r="L85" s="2652" t="s">
        <v>1943</v>
      </c>
      <c r="M85" s="2653"/>
      <c r="N85" s="1127">
        <v>10000</v>
      </c>
    </row>
    <row r="86" spans="2:14" ht="15" customHeight="1" thickBot="1">
      <c r="C86" s="1072" t="s">
        <v>1941</v>
      </c>
      <c r="G86" s="1039" t="str">
        <f>Application!T193</f>
        <v>Low Resource</v>
      </c>
    </row>
    <row r="87" spans="2:14" ht="15" customHeight="1">
      <c r="C87" s="2680" t="s">
        <v>2208</v>
      </c>
      <c r="D87" s="2680"/>
      <c r="E87" s="2680"/>
      <c r="F87" s="2680"/>
      <c r="G87" s="1038" t="s">
        <v>545</v>
      </c>
      <c r="L87" s="1121" t="str">
        <f>'Points System'!H651</f>
        <v>(i)</v>
      </c>
      <c r="M87" s="2648" t="s">
        <v>1397</v>
      </c>
      <c r="N87" s="2649"/>
    </row>
    <row r="88" spans="2:14" ht="15" customHeight="1">
      <c r="C88" s="2680"/>
      <c r="D88" s="2680"/>
      <c r="E88" s="2680"/>
      <c r="F88" s="2680"/>
      <c r="L88" s="1122" t="str">
        <f>'Points System'!H663</f>
        <v>(i)</v>
      </c>
      <c r="M88" s="2640" t="s">
        <v>1929</v>
      </c>
      <c r="N88" s="2641"/>
    </row>
    <row r="89" spans="2:14" ht="15" customHeight="1">
      <c r="C89" s="1072"/>
      <c r="L89" s="1122" t="str">
        <f>'Points System'!H698</f>
        <v>(i)</v>
      </c>
      <c r="M89" s="2640" t="s">
        <v>1930</v>
      </c>
      <c r="N89" s="2641"/>
    </row>
    <row r="90" spans="2:14" ht="15" customHeight="1">
      <c r="E90" s="1079" t="s">
        <v>1972</v>
      </c>
      <c r="G90" s="1074" t="b">
        <f>OR(AND(COUNTIFS(G84:G85,"Yes")&gt;=1,G83="Yes"),G87="Yes")</f>
        <v>1</v>
      </c>
      <c r="L90" s="1122" t="str">
        <f>IF(OR('Points System'!H722="(ii)",'Points System'!H722="(i)"),"(i)","N/A")</f>
        <v>N/A</v>
      </c>
      <c r="M90" s="2640" t="s">
        <v>1931</v>
      </c>
      <c r="N90" s="2641"/>
    </row>
    <row r="91" spans="2:14" ht="15" customHeight="1">
      <c r="E91" s="1079"/>
      <c r="G91" s="1074"/>
      <c r="L91" s="1123" t="str">
        <f>'Points System'!H736</f>
        <v>N/A</v>
      </c>
      <c r="M91" s="2640" t="s">
        <v>1423</v>
      </c>
      <c r="N91" s="2641"/>
    </row>
    <row r="92" spans="2:14" ht="15" customHeight="1">
      <c r="E92" s="1079" t="s">
        <v>1917</v>
      </c>
      <c r="G92" s="1073">
        <f>IFERROR(IF($G$87="Yes",30000,INDEX(N83:N85,MATCH(LEFT(G86,17),L83:L85,0))),0)</f>
        <v>30000</v>
      </c>
      <c r="L92" s="1122" t="str">
        <f>'Points System'!H748</f>
        <v>N/A</v>
      </c>
      <c r="M92" s="2640" t="s">
        <v>1932</v>
      </c>
      <c r="N92" s="2641"/>
    </row>
    <row r="93" spans="2:14" ht="15" customHeight="1">
      <c r="E93" s="1079" t="str">
        <f>E110</f>
        <v>Bedroom-Adjusted Low-Income Units</v>
      </c>
      <c r="F93" s="1107" t="s">
        <v>1965</v>
      </c>
      <c r="G93" s="1108">
        <f>G29</f>
        <v>62.55</v>
      </c>
      <c r="L93" s="1122" t="str">
        <f>'Points System'!H764</f>
        <v>(i)</v>
      </c>
      <c r="M93" s="2640" t="s">
        <v>1933</v>
      </c>
      <c r="N93" s="2641"/>
    </row>
    <row r="94" spans="2:14" ht="15" customHeight="1" thickBot="1">
      <c r="D94" s="1041"/>
      <c r="E94" s="1112" t="s">
        <v>2211</v>
      </c>
      <c r="F94" s="1041"/>
      <c r="G94" s="1117">
        <f>G93*G92*G90</f>
        <v>1876500</v>
      </c>
      <c r="L94" s="1124" t="str">
        <f>'Points System'!H776</f>
        <v>(i)</v>
      </c>
      <c r="M94" s="2642" t="s">
        <v>1426</v>
      </c>
      <c r="N94" s="2643"/>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669</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62.55</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62.55</v>
      </c>
    </row>
    <row r="111" spans="2:9" ht="15" customHeight="1">
      <c r="E111" s="1112" t="s">
        <v>1934</v>
      </c>
      <c r="F111" s="1041"/>
      <c r="G111" s="1117">
        <f>G108*G109*G110</f>
        <v>1751400</v>
      </c>
    </row>
    <row r="112" spans="2:9" ht="15" customHeight="1">
      <c r="C112" s="1072"/>
      <c r="G112" s="1108"/>
    </row>
    <row r="113" spans="2:7" ht="15" customHeight="1">
      <c r="E113" s="1079" t="s">
        <v>1970</v>
      </c>
      <c r="G113" s="1108">
        <f>COUNTIFS(L87:L94,"(i)")</f>
        <v>5</v>
      </c>
    </row>
    <row r="114" spans="2:7" ht="15" customHeight="1">
      <c r="E114" s="1079" t="s">
        <v>1917</v>
      </c>
      <c r="F114" s="1107" t="s">
        <v>1965</v>
      </c>
      <c r="G114" s="1118">
        <v>4000</v>
      </c>
    </row>
    <row r="115" spans="2:7" ht="15" customHeight="1">
      <c r="E115" s="1112" t="s">
        <v>1935</v>
      </c>
      <c r="F115" s="1041"/>
      <c r="G115" s="1117">
        <f>G110*G113*G114</f>
        <v>1251000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545</v>
      </c>
    </row>
    <row r="121" spans="2:7">
      <c r="C121" s="1072" t="s">
        <v>2095</v>
      </c>
      <c r="G121" s="1038"/>
    </row>
    <row r="123" spans="2:7">
      <c r="B123" s="1073"/>
      <c r="C123" s="1072"/>
      <c r="E123" s="1079" t="s">
        <v>1972</v>
      </c>
      <c r="G123" s="1074" t="b">
        <f>COUNTIFS(G118:G121,"Yes")&gt;=1</f>
        <v>1</v>
      </c>
    </row>
    <row r="124" spans="2:7">
      <c r="E124" s="1072"/>
    </row>
    <row r="125" spans="2:7" ht="15">
      <c r="E125" s="1079" t="s">
        <v>1969</v>
      </c>
      <c r="F125" s="1107" t="s">
        <v>1965</v>
      </c>
      <c r="G125" s="1108">
        <f>G29</f>
        <v>62.55</v>
      </c>
    </row>
    <row r="126" spans="2:7" ht="15">
      <c r="E126" s="1079" t="s">
        <v>1917</v>
      </c>
      <c r="F126" s="1107" t="s">
        <v>1965</v>
      </c>
      <c r="G126" s="1118">
        <v>25000</v>
      </c>
    </row>
    <row r="127" spans="2:7" ht="15">
      <c r="E127" s="1112" t="s">
        <v>1936</v>
      </c>
      <c r="F127" s="1041"/>
      <c r="G127" s="1117">
        <f>G123*G126*G110</f>
        <v>1563750</v>
      </c>
    </row>
    <row r="128" spans="2:7">
      <c r="C128" s="1072"/>
      <c r="E128" s="1072"/>
    </row>
    <row r="129" spans="2:9" ht="15">
      <c r="E129" s="1112" t="s">
        <v>2213</v>
      </c>
      <c r="G129" s="1117">
        <f>G127+G115+G111</f>
        <v>4566150</v>
      </c>
    </row>
    <row r="131" spans="2:9" ht="15">
      <c r="B131" s="1061" t="s">
        <v>139</v>
      </c>
      <c r="C131" s="1062"/>
      <c r="D131" s="1062"/>
      <c r="E131" s="1062"/>
      <c r="F131" s="1062"/>
      <c r="G131" s="1062"/>
      <c r="H131" s="1062"/>
      <c r="I131" s="1063"/>
    </row>
    <row r="133" spans="2:9">
      <c r="C133" s="2676" t="s">
        <v>2180</v>
      </c>
      <c r="D133" s="2676"/>
      <c r="E133" s="2676"/>
      <c r="F133" s="2676"/>
    </row>
    <row r="134" spans="2:9">
      <c r="C134" s="2676"/>
      <c r="D134" s="2676"/>
      <c r="E134" s="2676"/>
      <c r="F134" s="2676"/>
      <c r="G134" s="1038"/>
    </row>
    <row r="135" spans="2:9" ht="14.25" customHeight="1"/>
    <row r="136" spans="2:9">
      <c r="C136" s="1039" t="s">
        <v>2182</v>
      </c>
      <c r="G136" s="2678"/>
      <c r="H136" s="2678"/>
    </row>
    <row r="137" spans="2:9">
      <c r="G137" s="2678"/>
      <c r="H137" s="2678"/>
    </row>
    <row r="138" spans="2:9">
      <c r="G138" s="2679"/>
      <c r="H138" s="2679"/>
    </row>
    <row r="140" spans="2:9">
      <c r="C140" s="2676" t="s">
        <v>2578</v>
      </c>
      <c r="D140" s="2676"/>
      <c r="E140" s="2676"/>
      <c r="F140" s="2676"/>
    </row>
    <row r="141" spans="2:9">
      <c r="C141" s="2676"/>
      <c r="D141" s="2676"/>
      <c r="E141" s="2676"/>
      <c r="F141" s="2676"/>
      <c r="G141" s="1038"/>
    </row>
    <row r="142" spans="2:9">
      <c r="C142" s="2676"/>
      <c r="D142" s="2676"/>
      <c r="E142" s="2676"/>
      <c r="F142" s="2676"/>
    </row>
    <row r="144" spans="2:9">
      <c r="C144" s="2676" t="s">
        <v>2577</v>
      </c>
      <c r="D144" s="2676"/>
      <c r="E144" s="2676"/>
      <c r="F144" s="2676"/>
    </row>
    <row r="145" spans="2:9">
      <c r="C145" s="2676"/>
      <c r="D145" s="2676"/>
      <c r="E145" s="2676"/>
      <c r="F145" s="2676"/>
      <c r="G145" s="1038"/>
    </row>
    <row r="146" spans="2:9">
      <c r="C146" s="2676"/>
      <c r="D146" s="2676"/>
      <c r="E146" s="2676"/>
      <c r="F146" s="2676"/>
    </row>
    <row r="147" spans="2:9">
      <c r="C147" s="2676"/>
      <c r="D147" s="2676"/>
      <c r="E147" s="2676"/>
      <c r="F147" s="2676"/>
    </row>
    <row r="149" spans="2:9" ht="15">
      <c r="B149" s="1061" t="s">
        <v>1974</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ht="15">
      <c r="D155" s="1041"/>
      <c r="E155" s="1112" t="s">
        <v>1975</v>
      </c>
      <c r="F155" s="1128"/>
      <c r="G155" s="1129">
        <f>((G153-G154)/G154)*0.25</f>
        <v>2.1785714285714287E-2</v>
      </c>
      <c r="H155" s="1037"/>
      <c r="I155" s="1037"/>
    </row>
    <row r="156" spans="2:9">
      <c r="D156" s="1040"/>
      <c r="E156" s="1040"/>
    </row>
    <row r="157" spans="2:9" ht="15">
      <c r="B157" s="1061" t="s">
        <v>2214</v>
      </c>
      <c r="C157" s="1062"/>
      <c r="D157" s="1062"/>
      <c r="E157" s="1062"/>
      <c r="F157" s="1062"/>
      <c r="G157" s="1062"/>
      <c r="H157" s="1062"/>
      <c r="I157" s="1063"/>
    </row>
    <row r="159" spans="2:9">
      <c r="E159" s="1079" t="s">
        <v>2558</v>
      </c>
      <c r="G159" s="1039" t="b">
        <f>G37</f>
        <v>0</v>
      </c>
    </row>
    <row r="160" spans="2:9">
      <c r="C160" s="2673" t="s">
        <v>2215</v>
      </c>
      <c r="D160" s="2673"/>
      <c r="E160" s="2673"/>
      <c r="F160" s="2673"/>
    </row>
    <row r="161" spans="2:7">
      <c r="B161" s="1040"/>
      <c r="C161" s="2673"/>
      <c r="D161" s="2673"/>
      <c r="E161" s="2673"/>
      <c r="F161" s="2673"/>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813473.01749999996</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1" t="s">
        <v>909</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100.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SRO/Studio</v>
      </c>
      <c r="B4" s="1077">
        <f>Application!G726</f>
        <v>3</v>
      </c>
      <c r="C4" s="1155"/>
      <c r="D4" s="428">
        <f>Application!O726</f>
        <v>795</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1</v>
      </c>
      <c r="C5" s="1155"/>
      <c r="D5" s="428">
        <f>Application!O727</f>
        <v>1325</v>
      </c>
      <c r="E5" s="429"/>
      <c r="F5" s="1078"/>
      <c r="G5" s="428">
        <f t="shared" ref="G5:G38" si="2">F5*B5</f>
        <v>0</v>
      </c>
      <c r="H5" s="429"/>
      <c r="I5" s="428" t="str">
        <f t="shared" si="0"/>
        <v/>
      </c>
      <c r="J5" s="428" t="str">
        <f t="shared" si="1"/>
        <v/>
      </c>
      <c r="K5" s="204"/>
      <c r="L5" s="305"/>
    </row>
    <row r="6" spans="1:12">
      <c r="A6" s="428" t="str">
        <f>Application!B728</f>
        <v>SRO/Studio</v>
      </c>
      <c r="B6" s="1077">
        <f>Application!G728</f>
        <v>3</v>
      </c>
      <c r="C6" s="1155"/>
      <c r="D6" s="428">
        <f>Application!O728</f>
        <v>1855</v>
      </c>
      <c r="E6" s="429"/>
      <c r="F6" s="1078"/>
      <c r="G6" s="428">
        <f t="shared" si="2"/>
        <v>0</v>
      </c>
      <c r="H6" s="429"/>
      <c r="I6" s="428" t="str">
        <f t="shared" si="0"/>
        <v/>
      </c>
      <c r="J6" s="428" t="str">
        <f t="shared" si="1"/>
        <v/>
      </c>
      <c r="K6" s="204"/>
      <c r="L6" s="305"/>
    </row>
    <row r="7" spans="1:12">
      <c r="A7" s="428">
        <f>Application!B729</f>
        <v>0</v>
      </c>
      <c r="B7" s="1077">
        <f>Application!G729</f>
        <v>0</v>
      </c>
      <c r="C7" s="1155"/>
      <c r="D7" s="428">
        <f>Application!O729</f>
        <v>0</v>
      </c>
      <c r="E7" s="429"/>
      <c r="F7" s="1078"/>
      <c r="G7" s="428">
        <f t="shared" si="2"/>
        <v>0</v>
      </c>
      <c r="H7" s="429"/>
      <c r="I7" s="428" t="str">
        <f t="shared" si="0"/>
        <v/>
      </c>
      <c r="J7" s="428" t="str">
        <f t="shared" si="1"/>
        <v/>
      </c>
      <c r="K7" s="204"/>
      <c r="L7" s="305"/>
    </row>
    <row r="8" spans="1:12">
      <c r="A8" s="428" t="str">
        <f>Application!B730</f>
        <v>1 Bedroom</v>
      </c>
      <c r="B8" s="1077">
        <f>Application!G730</f>
        <v>5</v>
      </c>
      <c r="C8" s="1155"/>
      <c r="D8" s="428">
        <f>Application!O730</f>
        <v>852</v>
      </c>
      <c r="E8" s="429"/>
      <c r="F8" s="1078"/>
      <c r="G8" s="428">
        <f t="shared" si="2"/>
        <v>0</v>
      </c>
      <c r="H8" s="429"/>
      <c r="I8" s="428" t="str">
        <f t="shared" si="0"/>
        <v/>
      </c>
      <c r="J8" s="428" t="str">
        <f t="shared" si="1"/>
        <v/>
      </c>
      <c r="K8" s="204"/>
      <c r="L8" s="305"/>
    </row>
    <row r="9" spans="1:12">
      <c r="A9" s="428" t="str">
        <f>Application!B731</f>
        <v>1 Bedroom</v>
      </c>
      <c r="B9" s="1077">
        <f>Application!G731</f>
        <v>6</v>
      </c>
      <c r="C9" s="1155"/>
      <c r="D9" s="428">
        <f>Application!O731</f>
        <v>1420</v>
      </c>
      <c r="E9" s="429"/>
      <c r="F9" s="1078"/>
      <c r="G9" s="428">
        <f t="shared" si="2"/>
        <v>0</v>
      </c>
      <c r="H9" s="429"/>
      <c r="I9" s="428" t="str">
        <f t="shared" si="0"/>
        <v/>
      </c>
      <c r="J9" s="428" t="str">
        <f t="shared" si="1"/>
        <v/>
      </c>
      <c r="K9" s="204"/>
      <c r="L9" s="305"/>
    </row>
    <row r="10" spans="1:12">
      <c r="A10" s="428" t="str">
        <f>Application!B732</f>
        <v>1 Bedroom</v>
      </c>
      <c r="B10" s="1077">
        <f>Application!G732</f>
        <v>26</v>
      </c>
      <c r="C10" s="1155"/>
      <c r="D10" s="428">
        <f>Application!O732</f>
        <v>1988</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t="str">
        <f>Application!B734</f>
        <v>2 Bedrooms</v>
      </c>
      <c r="B12" s="1077">
        <f>Application!G734</f>
        <v>1</v>
      </c>
      <c r="C12" s="1155"/>
      <c r="D12" s="428">
        <f>Application!O734</f>
        <v>1022</v>
      </c>
      <c r="E12" s="429"/>
      <c r="F12" s="1078"/>
      <c r="G12" s="428">
        <f t="shared" si="2"/>
        <v>0</v>
      </c>
      <c r="H12" s="429"/>
      <c r="I12" s="428" t="str">
        <f t="shared" si="0"/>
        <v/>
      </c>
      <c r="J12" s="428" t="str">
        <f t="shared" si="1"/>
        <v/>
      </c>
      <c r="K12" s="204"/>
      <c r="L12" s="305"/>
    </row>
    <row r="13" spans="1:12">
      <c r="A13" s="428" t="str">
        <f>Application!B735</f>
        <v>2 Bedrooms</v>
      </c>
      <c r="B13" s="1077">
        <f>Application!G735</f>
        <v>1</v>
      </c>
      <c r="C13" s="1155"/>
      <c r="D13" s="428">
        <f>Application!O735</f>
        <v>1703</v>
      </c>
      <c r="E13" s="429"/>
      <c r="F13" s="1078"/>
      <c r="G13" s="428">
        <f t="shared" si="2"/>
        <v>0</v>
      </c>
      <c r="H13" s="429"/>
      <c r="I13" s="428" t="str">
        <f t="shared" si="0"/>
        <v/>
      </c>
      <c r="J13" s="428" t="str">
        <f t="shared" si="1"/>
        <v/>
      </c>
      <c r="K13" s="204"/>
      <c r="L13" s="305"/>
    </row>
    <row r="14" spans="1:12">
      <c r="A14" s="428" t="str">
        <f>Application!B736</f>
        <v>2 Bedrooms</v>
      </c>
      <c r="B14" s="1077">
        <f>Application!G736</f>
        <v>5</v>
      </c>
      <c r="C14" s="1155"/>
      <c r="D14" s="428">
        <f>Application!O736</f>
        <v>2385</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t="str">
        <f>Application!B738</f>
        <v>3 Bedrooms</v>
      </c>
      <c r="B16" s="1077">
        <f>Application!G738</f>
        <v>1</v>
      </c>
      <c r="C16" s="1155"/>
      <c r="D16" s="428">
        <f>Application!O738</f>
        <v>1181.4000000000001</v>
      </c>
      <c r="E16" s="429"/>
      <c r="F16" s="1078"/>
      <c r="G16" s="428">
        <f t="shared" si="2"/>
        <v>0</v>
      </c>
      <c r="H16" s="429"/>
      <c r="I16" s="428" t="str">
        <f t="shared" si="0"/>
        <v/>
      </c>
      <c r="J16" s="428" t="str">
        <f t="shared" si="1"/>
        <v/>
      </c>
      <c r="K16" s="204"/>
      <c r="L16" s="305"/>
    </row>
    <row r="17" spans="1:12">
      <c r="A17" s="428" t="str">
        <f>Application!B739</f>
        <v>3 Bedrooms</v>
      </c>
      <c r="B17" s="1077">
        <f>Application!G739</f>
        <v>1</v>
      </c>
      <c r="C17" s="1155"/>
      <c r="D17" s="428">
        <f>Application!O739</f>
        <v>1969</v>
      </c>
      <c r="E17" s="429"/>
      <c r="F17" s="1078"/>
      <c r="G17" s="428">
        <f t="shared" si="2"/>
        <v>0</v>
      </c>
      <c r="H17" s="429"/>
      <c r="I17" s="428" t="str">
        <f t="shared" si="0"/>
        <v/>
      </c>
      <c r="J17" s="428" t="str">
        <f t="shared" si="1"/>
        <v/>
      </c>
      <c r="K17" s="204"/>
      <c r="L17" s="305"/>
    </row>
    <row r="18" spans="1:12">
      <c r="A18" s="428" t="str">
        <f>Application!B740</f>
        <v>3 Bedrooms</v>
      </c>
      <c r="B18" s="1077">
        <f>Application!G740</f>
        <v>5</v>
      </c>
      <c r="C18" s="1155"/>
      <c r="D18" s="428">
        <f>Application!O740</f>
        <v>2756.6</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105326.39999999999</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82" t="s">
        <v>2416</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2205</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77"/>
  <sheetViews>
    <sheetView topLeftCell="A4" zoomScale="85" zoomScaleNormal="85" workbookViewId="0">
      <selection activeCell="C17" sqref="C17"/>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12.7109375" hidden="1" customWidth="1"/>
    <col min="36" max="36" width="2.7109375" hidden="1" customWidth="1"/>
    <col min="37" max="37" width="12.7109375" hidden="1" customWidth="1"/>
    <col min="38" max="38" width="2.7109375" hidden="1" customWidth="1"/>
    <col min="39" max="39" width="12.7109375" hidden="1" customWidth="1"/>
    <col min="40" max="40" width="2.7109375" hidden="1" customWidth="1"/>
    <col min="41" max="41" width="12.7109375" hidden="1" customWidth="1"/>
    <col min="42" max="42" width="2.7109375" hidden="1" customWidth="1"/>
    <col min="43" max="43" width="12.7109375" hidden="1" customWidth="1"/>
    <col min="44" max="44" width="2.7109375" hidden="1" customWidth="1"/>
    <col min="45" max="45" width="12.7109375" hidden="1" customWidth="1"/>
    <col min="46" max="46" width="2.7109375" hidden="1" customWidth="1"/>
    <col min="47" max="47" width="12.7109375" hidden="1" customWidth="1"/>
    <col min="48" max="48" width="2.7109375" hidden="1" customWidth="1"/>
    <col min="49" max="49" width="12.7109375" hidden="1" customWidth="1"/>
    <col min="50" max="50" width="2.7109375" hidden="1" customWidth="1"/>
    <col min="51" max="51" width="12.7109375" hidden="1" customWidth="1"/>
    <col min="52" max="52" width="2.7109375" hidden="1" customWidth="1"/>
    <col min="53" max="53" width="12.7109375" hidden="1" customWidth="1"/>
    <col min="54" max="54" width="2.7109375" hidden="1" customWidth="1"/>
    <col min="55" max="55" width="12.7109375" hidden="1" customWidth="1"/>
    <col min="56" max="56" width="2.7109375" hidden="1" customWidth="1"/>
    <col min="57" max="57" width="12.7109375" hidden="1" customWidth="1"/>
    <col min="58" max="58" width="2.7109375" hidden="1" customWidth="1"/>
    <col min="59" max="59" width="12.7109375" hidden="1" customWidth="1"/>
    <col min="60" max="60" width="2.7109375" hidden="1" customWidth="1"/>
    <col min="61" max="61" width="12.7109375" hidden="1" customWidth="1"/>
    <col min="62" max="62" width="2.7109375" hidden="1" customWidth="1"/>
    <col min="63" max="63" width="12.7109375" hidden="1" customWidth="1"/>
    <col min="64" max="64" width="2.7109375" hidden="1" customWidth="1"/>
  </cols>
  <sheetData>
    <row r="1" spans="1:64" ht="18">
      <c r="A1" s="211" t="s">
        <v>2048</v>
      </c>
      <c r="B1" s="211"/>
    </row>
    <row r="2" spans="1:64"/>
    <row r="3" spans="1:6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c r="AI3" s="236" t="s">
        <v>2731</v>
      </c>
      <c r="AJ3" s="13"/>
      <c r="AK3" s="236" t="s">
        <v>2732</v>
      </c>
      <c r="AL3" s="13"/>
      <c r="AM3" s="236" t="s">
        <v>2733</v>
      </c>
      <c r="AN3" s="13"/>
      <c r="AO3" s="236" t="s">
        <v>2734</v>
      </c>
      <c r="AP3" s="13"/>
      <c r="AQ3" s="236" t="s">
        <v>2735</v>
      </c>
      <c r="AR3" s="13"/>
      <c r="AS3" s="236" t="s">
        <v>2736</v>
      </c>
      <c r="AT3" s="13"/>
      <c r="AU3" s="236" t="s">
        <v>2737</v>
      </c>
      <c r="AV3" s="13"/>
      <c r="AW3" s="236" t="s">
        <v>2738</v>
      </c>
      <c r="AX3" s="13"/>
      <c r="AY3" s="236" t="s">
        <v>2739</v>
      </c>
      <c r="AZ3" s="13"/>
      <c r="BA3" s="236" t="s">
        <v>2740</v>
      </c>
      <c r="BB3" s="13"/>
      <c r="BC3" s="236" t="s">
        <v>2741</v>
      </c>
      <c r="BD3" s="13"/>
      <c r="BE3" s="236" t="s">
        <v>2742</v>
      </c>
      <c r="BF3" s="13"/>
      <c r="BG3" s="236" t="s">
        <v>2743</v>
      </c>
      <c r="BH3" s="13"/>
      <c r="BI3" s="236" t="s">
        <v>2744</v>
      </c>
      <c r="BJ3" s="13"/>
      <c r="BK3" s="236" t="s">
        <v>2745</v>
      </c>
      <c r="BL3" s="13"/>
    </row>
    <row r="4" spans="1:64" s="219" customFormat="1" ht="14.25">
      <c r="A4" s="219" t="s">
        <v>837</v>
      </c>
      <c r="C4" s="237">
        <v>1.0249999999999999</v>
      </c>
      <c r="E4" s="219">
        <f>Application!Y809</f>
        <v>1284316.7999999998</v>
      </c>
      <c r="G4" s="219">
        <f>E4*$C$4</f>
        <v>1316424.7199999997</v>
      </c>
      <c r="I4" s="219">
        <f>G4*$C$4</f>
        <v>1349335.3379999995</v>
      </c>
      <c r="K4" s="219">
        <f>I4*$C$4</f>
        <v>1383068.7214499994</v>
      </c>
      <c r="M4" s="219">
        <f>K4*$C$4</f>
        <v>1417645.4394862491</v>
      </c>
      <c r="O4" s="219">
        <f>M4*$C$4</f>
        <v>1453086.5754734052</v>
      </c>
      <c r="Q4" s="219">
        <f>O4*$C$4</f>
        <v>1489413.7398602401</v>
      </c>
      <c r="S4" s="219">
        <f>Q4*$C$4</f>
        <v>1526649.083356746</v>
      </c>
      <c r="U4" s="219">
        <f>S4*$C$4</f>
        <v>1564815.3104406644</v>
      </c>
      <c r="W4" s="219">
        <f>U4*$C$4</f>
        <v>1603935.6932016809</v>
      </c>
      <c r="Y4" s="219">
        <f>W4*$C$4</f>
        <v>1644034.0855317228</v>
      </c>
      <c r="AA4" s="219">
        <f>Y4*$C$4</f>
        <v>1685134.9376700157</v>
      </c>
      <c r="AC4" s="219">
        <f>AA4*$C$4</f>
        <v>1727263.3111117659</v>
      </c>
      <c r="AE4" s="219">
        <f>AC4*$C$4</f>
        <v>1770444.8938895599</v>
      </c>
      <c r="AG4" s="219">
        <f>AE4*$C$4</f>
        <v>1814706.0162367988</v>
      </c>
      <c r="AI4" s="219">
        <f t="shared" ref="AI4" si="0">AG4*$C$4</f>
        <v>1860073.6666427187</v>
      </c>
      <c r="AK4" s="219">
        <f t="shared" ref="AK4" si="1">AI4*$C$4</f>
        <v>1906575.5083087864</v>
      </c>
      <c r="AM4" s="219">
        <f t="shared" ref="AM4" si="2">AK4*$C$4</f>
        <v>1954239.896016506</v>
      </c>
      <c r="AO4" s="219">
        <f t="shared" ref="AO4" si="3">AM4*$C$4</f>
        <v>2003095.8934169186</v>
      </c>
      <c r="AQ4" s="219">
        <f t="shared" ref="AQ4" si="4">AO4*$C$4</f>
        <v>2053173.2907523413</v>
      </c>
      <c r="AS4" s="219">
        <f t="shared" ref="AS4" si="5">AQ4*$C$4</f>
        <v>2104502.6230211495</v>
      </c>
      <c r="AU4" s="219">
        <f t="shared" ref="AU4" si="6">AS4*$C$4</f>
        <v>2157115.188596678</v>
      </c>
      <c r="AW4" s="219">
        <f t="shared" ref="AW4" si="7">AU4*$C$4</f>
        <v>2211043.0683115949</v>
      </c>
      <c r="AY4" s="219">
        <f t="shared" ref="AY4" si="8">AW4*$C$4</f>
        <v>2266319.1450193846</v>
      </c>
      <c r="BA4" s="219">
        <f t="shared" ref="BA4" si="9">AY4*$C$4</f>
        <v>2322977.1236448688</v>
      </c>
      <c r="BC4" s="219">
        <f t="shared" ref="BC4" si="10">BA4*$C$4</f>
        <v>2381051.5517359902</v>
      </c>
      <c r="BE4" s="219">
        <f t="shared" ref="BE4" si="11">BC4*$C$4</f>
        <v>2440577.8405293897</v>
      </c>
      <c r="BG4" s="219">
        <f t="shared" ref="BG4" si="12">BE4*$C$4</f>
        <v>2501592.2865426242</v>
      </c>
      <c r="BI4" s="219">
        <f t="shared" ref="BI4" si="13">BG4*$C$4</f>
        <v>2564132.0937061897</v>
      </c>
      <c r="BK4" s="219">
        <f t="shared" ref="BK4" si="14">BI4*$C$4</f>
        <v>2628235.3960488443</v>
      </c>
    </row>
    <row r="5" spans="1:64" s="210" customFormat="1" ht="14.25">
      <c r="B5" s="210" t="s">
        <v>838</v>
      </c>
      <c r="C5" s="238">
        <f>IF(Application!$D$211="Special Needs",(((0.1*Application!$T$212)+(0.05*(1-Application!$T$212)))),0.05)</f>
        <v>0.05</v>
      </c>
      <c r="E5" s="221">
        <f>-E4*$C$5</f>
        <v>-64215.839999999997</v>
      </c>
      <c r="F5" s="221"/>
      <c r="G5" s="221">
        <f>-G4*$C$5</f>
        <v>-65821.23599999999</v>
      </c>
      <c r="H5" s="221"/>
      <c r="I5" s="221">
        <f>-I4*$C$5</f>
        <v>-67466.766899999973</v>
      </c>
      <c r="J5" s="221"/>
      <c r="K5" s="221">
        <f>-K4*$C$5</f>
        <v>-69153.436072499971</v>
      </c>
      <c r="L5" s="221"/>
      <c r="M5" s="221">
        <f>-M4*$C$5</f>
        <v>-70882.271974312462</v>
      </c>
      <c r="N5" s="221"/>
      <c r="O5" s="221">
        <f>-O4*$C$5</f>
        <v>-72654.328773670262</v>
      </c>
      <c r="P5" s="221"/>
      <c r="Q5" s="221">
        <f>-Q4*$C$5</f>
        <v>-74470.686993012016</v>
      </c>
      <c r="R5" s="221"/>
      <c r="S5" s="221">
        <f>-S4*$C$5</f>
        <v>-76332.454167837306</v>
      </c>
      <c r="T5" s="221"/>
      <c r="U5" s="221">
        <f>-U4*$C$5</f>
        <v>-78240.765522033224</v>
      </c>
      <c r="V5" s="221"/>
      <c r="W5" s="221">
        <f>-W4*$C$5</f>
        <v>-80196.784660084057</v>
      </c>
      <c r="X5" s="221"/>
      <c r="Y5" s="221">
        <f>-Y4*$C$5</f>
        <v>-82201.704276586141</v>
      </c>
      <c r="Z5" s="221"/>
      <c r="AA5" s="221">
        <f>-AA4*$C$5</f>
        <v>-84256.746883500789</v>
      </c>
      <c r="AB5" s="221"/>
      <c r="AC5" s="221">
        <f>-AC4*$C$5</f>
        <v>-86363.165555588304</v>
      </c>
      <c r="AD5" s="221"/>
      <c r="AE5" s="221">
        <f>-AE4*$C$5</f>
        <v>-88522.244694477995</v>
      </c>
      <c r="AF5" s="221"/>
      <c r="AG5" s="221">
        <f>-AG4*$C$5</f>
        <v>-90735.300811839945</v>
      </c>
      <c r="AI5" s="221">
        <f t="shared" ref="AI5" si="15">-AI4*$C$5</f>
        <v>-93003.683332135945</v>
      </c>
      <c r="AK5" s="221">
        <f t="shared" ref="AK5" si="16">-AK4*$C$5</f>
        <v>-95328.775415439333</v>
      </c>
      <c r="AM5" s="221">
        <f t="shared" ref="AM5" si="17">-AM4*$C$5</f>
        <v>-97711.994800825312</v>
      </c>
      <c r="AO5" s="221">
        <f t="shared" ref="AO5" si="18">-AO4*$C$5</f>
        <v>-100154.79467084593</v>
      </c>
      <c r="AQ5" s="221">
        <f t="shared" ref="AQ5" si="19">-AQ4*$C$5</f>
        <v>-102658.66453761706</v>
      </c>
      <c r="AS5" s="221">
        <f t="shared" ref="AS5" si="20">-AS4*$C$5</f>
        <v>-105225.13115105749</v>
      </c>
      <c r="AU5" s="221">
        <f t="shared" ref="AU5" si="21">-AU4*$C$5</f>
        <v>-107855.75942983391</v>
      </c>
      <c r="AW5" s="221">
        <f t="shared" ref="AW5" si="22">-AW4*$C$5</f>
        <v>-110552.15341557976</v>
      </c>
      <c r="AY5" s="221">
        <f t="shared" ref="AY5" si="23">-AY4*$C$5</f>
        <v>-113315.95725096924</v>
      </c>
      <c r="BA5" s="221">
        <f t="shared" ref="BA5" si="24">-BA4*$C$5</f>
        <v>-116148.85618224344</v>
      </c>
      <c r="BC5" s="221">
        <f t="shared" ref="BC5" si="25">-BC4*$C$5</f>
        <v>-119052.57758679951</v>
      </c>
      <c r="BE5" s="221">
        <f t="shared" ref="BE5" si="26">-BE4*$C$5</f>
        <v>-122028.89202646949</v>
      </c>
      <c r="BG5" s="221">
        <f t="shared" ref="BG5" si="27">-BG4*$C$5</f>
        <v>-125079.61432713122</v>
      </c>
      <c r="BI5" s="221">
        <f t="shared" ref="BI5" si="28">-BI4*$C$5</f>
        <v>-128206.60468530949</v>
      </c>
      <c r="BK5" s="221">
        <f t="shared" ref="BK5" si="29">-BK4*$C$5</f>
        <v>-131411.76980244223</v>
      </c>
    </row>
    <row r="6" spans="1:6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c r="AI6" s="222">
        <f t="shared" ref="AI6" si="30">AG6*$C$6</f>
        <v>0</v>
      </c>
      <c r="AK6" s="222">
        <f t="shared" ref="AK6" si="31">AI6*$C$6</f>
        <v>0</v>
      </c>
      <c r="AM6" s="222">
        <f t="shared" ref="AM6" si="32">AK6*$C$6</f>
        <v>0</v>
      </c>
      <c r="AO6" s="222">
        <f t="shared" ref="AO6" si="33">AM6*$C$6</f>
        <v>0</v>
      </c>
      <c r="AQ6" s="222">
        <f t="shared" ref="AQ6" si="34">AO6*$C$6</f>
        <v>0</v>
      </c>
      <c r="AS6" s="222">
        <f t="shared" ref="AS6" si="35">AQ6*$C$6</f>
        <v>0</v>
      </c>
      <c r="AU6" s="222">
        <f t="shared" ref="AU6" si="36">AS6*$C$6</f>
        <v>0</v>
      </c>
      <c r="AW6" s="222">
        <f t="shared" ref="AW6" si="37">AU6*$C$6</f>
        <v>0</v>
      </c>
      <c r="AY6" s="222">
        <f t="shared" ref="AY6" si="38">AW6*$C$6</f>
        <v>0</v>
      </c>
      <c r="BA6" s="222">
        <f t="shared" ref="BA6" si="39">AY6*$C$6</f>
        <v>0</v>
      </c>
      <c r="BC6" s="222">
        <f t="shared" ref="BC6" si="40">BA6*$C$6</f>
        <v>0</v>
      </c>
      <c r="BE6" s="222">
        <f t="shared" ref="BE6" si="41">BC6*$C$6</f>
        <v>0</v>
      </c>
      <c r="BG6" s="222">
        <f t="shared" ref="BG6" si="42">BE6*$C$6</f>
        <v>0</v>
      </c>
      <c r="BI6" s="222">
        <f t="shared" ref="BI6" si="43">BG6*$C$6</f>
        <v>0</v>
      </c>
      <c r="BK6" s="222">
        <f t="shared" ref="BK6" si="44">BI6*$C$6</f>
        <v>0</v>
      </c>
    </row>
    <row r="7" spans="1:6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c r="AI7" s="221">
        <f t="shared" ref="AI7" si="45">-AI6*$C$7</f>
        <v>0</v>
      </c>
      <c r="AK7" s="221">
        <f t="shared" ref="AK7" si="46">-AK6*$C$7</f>
        <v>0</v>
      </c>
      <c r="AM7" s="221">
        <f t="shared" ref="AM7" si="47">-AM6*$C$7</f>
        <v>0</v>
      </c>
      <c r="AO7" s="221">
        <f t="shared" ref="AO7" si="48">-AO6*$C$7</f>
        <v>0</v>
      </c>
      <c r="AQ7" s="221">
        <f t="shared" ref="AQ7" si="49">-AQ6*$C$7</f>
        <v>0</v>
      </c>
      <c r="AS7" s="221">
        <f t="shared" ref="AS7" si="50">-AS6*$C$7</f>
        <v>0</v>
      </c>
      <c r="AU7" s="221">
        <f t="shared" ref="AU7" si="51">-AU6*$C$7</f>
        <v>0</v>
      </c>
      <c r="AW7" s="221">
        <f t="shared" ref="AW7" si="52">-AW6*$C$7</f>
        <v>0</v>
      </c>
      <c r="AY7" s="221">
        <f t="shared" ref="AY7" si="53">-AY6*$C$7</f>
        <v>0</v>
      </c>
      <c r="BA7" s="221">
        <f t="shared" ref="BA7" si="54">-BA6*$C$7</f>
        <v>0</v>
      </c>
      <c r="BC7" s="221">
        <f t="shared" ref="BC7" si="55">-BC6*$C$7</f>
        <v>0</v>
      </c>
      <c r="BE7" s="221">
        <f t="shared" ref="BE7" si="56">-BE6*$C$7</f>
        <v>0</v>
      </c>
      <c r="BG7" s="221">
        <f t="shared" ref="BG7" si="57">-BG6*$C$7</f>
        <v>0</v>
      </c>
      <c r="BI7" s="221">
        <f t="shared" ref="BI7" si="58">-BI6*$C$7</f>
        <v>0</v>
      </c>
      <c r="BK7" s="221">
        <f t="shared" ref="BK7" si="59">-BK6*$C$7</f>
        <v>0</v>
      </c>
    </row>
    <row r="8" spans="1:64" s="210" customFormat="1" ht="14.25">
      <c r="A8" s="210" t="s">
        <v>288</v>
      </c>
      <c r="C8" s="237">
        <v>1.0249999999999999</v>
      </c>
      <c r="E8" s="222">
        <f>Application!Z825</f>
        <v>65000</v>
      </c>
      <c r="F8" s="222"/>
      <c r="G8" s="222">
        <f>E8*$C$8</f>
        <v>66625</v>
      </c>
      <c r="H8" s="222"/>
      <c r="I8" s="222">
        <f>G8*$C$8</f>
        <v>68290.625</v>
      </c>
      <c r="J8" s="222"/>
      <c r="K8" s="222">
        <f>I8*$C$8</f>
        <v>69997.890625</v>
      </c>
      <c r="L8" s="222"/>
      <c r="M8" s="222">
        <f>K8*$C$8</f>
        <v>71747.837890625</v>
      </c>
      <c r="N8" s="222"/>
      <c r="O8" s="222">
        <f>M8*$C$8</f>
        <v>73541.533837890616</v>
      </c>
      <c r="P8" s="222"/>
      <c r="Q8" s="222">
        <f>O8*$C$8</f>
        <v>75380.072183837881</v>
      </c>
      <c r="R8" s="222"/>
      <c r="S8" s="222">
        <f>Q8*$C$8</f>
        <v>77264.573988433825</v>
      </c>
      <c r="T8" s="222"/>
      <c r="U8" s="222">
        <f>S8*$C$8</f>
        <v>79196.188338144668</v>
      </c>
      <c r="V8" s="222"/>
      <c r="W8" s="222">
        <f>U8*$C$8</f>
        <v>81176.093046598282</v>
      </c>
      <c r="X8" s="222"/>
      <c r="Y8" s="222">
        <f>W8*$C$8</f>
        <v>83205.495372763238</v>
      </c>
      <c r="Z8" s="222"/>
      <c r="AA8" s="222">
        <f>Y8*$C$8</f>
        <v>85285.632757082305</v>
      </c>
      <c r="AB8" s="222"/>
      <c r="AC8" s="222">
        <f>AA8*$C$8</f>
        <v>87417.773576009349</v>
      </c>
      <c r="AD8" s="222"/>
      <c r="AE8" s="222">
        <f>AC8*$C$8</f>
        <v>89603.217915409579</v>
      </c>
      <c r="AF8" s="222"/>
      <c r="AG8" s="222">
        <f>AE8*$C$8</f>
        <v>91843.298363294816</v>
      </c>
      <c r="AI8" s="222">
        <f t="shared" ref="AI8" si="60">AG8*$C$8</f>
        <v>94139.380822377178</v>
      </c>
      <c r="AK8" s="222">
        <f t="shared" ref="AK8" si="61">AI8*$C$8</f>
        <v>96492.865342936595</v>
      </c>
      <c r="AM8" s="222">
        <f t="shared" ref="AM8" si="62">AK8*$C$8</f>
        <v>98905.186976509998</v>
      </c>
      <c r="AO8" s="222">
        <f t="shared" ref="AO8" si="63">AM8*$C$8</f>
        <v>101377.81665092274</v>
      </c>
      <c r="AQ8" s="222">
        <f t="shared" ref="AQ8" si="64">AO8*$C$8</f>
        <v>103912.2620671958</v>
      </c>
      <c r="AS8" s="222">
        <f t="shared" ref="AS8" si="65">AQ8*$C$8</f>
        <v>106510.06861887568</v>
      </c>
      <c r="AU8" s="222">
        <f t="shared" ref="AU8" si="66">AS8*$C$8</f>
        <v>109172.82033434756</v>
      </c>
      <c r="AW8" s="222">
        <f t="shared" ref="AW8" si="67">AU8*$C$8</f>
        <v>111902.14084270624</v>
      </c>
      <c r="AY8" s="222">
        <f t="shared" ref="AY8" si="68">AW8*$C$8</f>
        <v>114699.69436377389</v>
      </c>
      <c r="BA8" s="222">
        <f t="shared" ref="BA8" si="69">AY8*$C$8</f>
        <v>117567.18672286822</v>
      </c>
      <c r="BC8" s="222">
        <f t="shared" ref="BC8" si="70">BA8*$C$8</f>
        <v>120506.36639093992</v>
      </c>
      <c r="BE8" s="222">
        <f t="shared" ref="BE8" si="71">BC8*$C$8</f>
        <v>123519.0255507134</v>
      </c>
      <c r="BG8" s="222">
        <f t="shared" ref="BG8" si="72">BE8*$C$8</f>
        <v>126607.00118948122</v>
      </c>
      <c r="BI8" s="222">
        <f t="shared" ref="BI8" si="73">BG8*$C$8</f>
        <v>129772.17621921824</v>
      </c>
      <c r="BK8" s="222">
        <f t="shared" ref="BK8" si="74">BI8*$C$8</f>
        <v>133016.48062469868</v>
      </c>
    </row>
    <row r="9" spans="1:64" s="210" customFormat="1" ht="14.25">
      <c r="B9" s="210" t="s">
        <v>838</v>
      </c>
      <c r="C9" s="238">
        <f>IF(Application!$D$211="Special Needs",(((0.1*Application!$T$212)+(0.05*(1-Application!$T$212)))),0.05)</f>
        <v>0.05</v>
      </c>
      <c r="E9" s="221">
        <f>-E8*$C$9</f>
        <v>-3250</v>
      </c>
      <c r="F9" s="221"/>
      <c r="G9" s="221">
        <f>-G8*$C$9</f>
        <v>-3331.25</v>
      </c>
      <c r="H9" s="221"/>
      <c r="I9" s="221">
        <f>-I8*$C$9</f>
        <v>-3414.53125</v>
      </c>
      <c r="J9" s="221"/>
      <c r="K9" s="221">
        <f>-K8*$C$9</f>
        <v>-3499.89453125</v>
      </c>
      <c r="L9" s="221"/>
      <c r="M9" s="221">
        <f>-M8*$C$9</f>
        <v>-3587.3918945312503</v>
      </c>
      <c r="N9" s="221"/>
      <c r="O9" s="221">
        <f>-O8*$C$9</f>
        <v>-3677.076691894531</v>
      </c>
      <c r="P9" s="221"/>
      <c r="Q9" s="221">
        <f>-Q8*$C$9</f>
        <v>-3769.0036091918942</v>
      </c>
      <c r="R9" s="221"/>
      <c r="S9" s="221">
        <f>-S8*$C$9</f>
        <v>-3863.2286994216915</v>
      </c>
      <c r="T9" s="221"/>
      <c r="U9" s="221">
        <f>-U8*$C$9</f>
        <v>-3959.8094169072338</v>
      </c>
      <c r="V9" s="221"/>
      <c r="W9" s="221">
        <f>-W8*$C$9</f>
        <v>-4058.8046523299145</v>
      </c>
      <c r="X9" s="221"/>
      <c r="Y9" s="221">
        <f>-Y8*$C$9</f>
        <v>-4160.2747686381617</v>
      </c>
      <c r="Z9" s="221"/>
      <c r="AA9" s="221">
        <f>-AA8*$C$9</f>
        <v>-4264.2816378541156</v>
      </c>
      <c r="AB9" s="221"/>
      <c r="AC9" s="221">
        <f>-AC8*$C$9</f>
        <v>-4370.8886788004675</v>
      </c>
      <c r="AD9" s="221"/>
      <c r="AE9" s="221">
        <f>-AE8*$C$9</f>
        <v>-4480.1608957704793</v>
      </c>
      <c r="AF9" s="221"/>
      <c r="AG9" s="221">
        <f>-AG8*$C$9</f>
        <v>-4592.1649181647408</v>
      </c>
      <c r="AI9" s="221">
        <f t="shared" ref="AI9" si="75">-AI8*$C$9</f>
        <v>-4706.9690411188594</v>
      </c>
      <c r="AK9" s="221">
        <f t="shared" ref="AK9" si="76">-AK8*$C$9</f>
        <v>-4824.6432671468301</v>
      </c>
      <c r="AM9" s="221">
        <f t="shared" ref="AM9" si="77">-AM8*$C$9</f>
        <v>-4945.2593488255006</v>
      </c>
      <c r="AO9" s="221">
        <f t="shared" ref="AO9" si="78">-AO8*$C$9</f>
        <v>-5068.890832546138</v>
      </c>
      <c r="AQ9" s="221">
        <f t="shared" ref="AQ9" si="79">-AQ8*$C$9</f>
        <v>-5195.6131033597903</v>
      </c>
      <c r="AS9" s="221">
        <f t="shared" ref="AS9" si="80">-AS8*$C$9</f>
        <v>-5325.5034309437842</v>
      </c>
      <c r="AU9" s="221">
        <f t="shared" ref="AU9" si="81">-AU8*$C$9</f>
        <v>-5458.6410167173781</v>
      </c>
      <c r="AW9" s="221">
        <f t="shared" ref="AW9" si="82">-AW8*$C$9</f>
        <v>-5595.1070421353124</v>
      </c>
      <c r="AY9" s="221">
        <f t="shared" ref="AY9" si="83">-AY8*$C$9</f>
        <v>-5734.9847181886944</v>
      </c>
      <c r="BA9" s="221">
        <f t="shared" ref="BA9" si="84">-BA8*$C$9</f>
        <v>-5878.3593361434114</v>
      </c>
      <c r="BC9" s="221">
        <f t="shared" ref="BC9" si="85">-BC8*$C$9</f>
        <v>-6025.3183195469965</v>
      </c>
      <c r="BE9" s="221">
        <f t="shared" ref="BE9" si="86">-BE8*$C$9</f>
        <v>-6175.9512775356707</v>
      </c>
      <c r="BG9" s="221">
        <f t="shared" ref="BG9" si="87">-BG8*$C$9</f>
        <v>-6330.3500594740617</v>
      </c>
      <c r="BI9" s="221">
        <f t="shared" ref="BI9" si="88">-BI8*$C$9</f>
        <v>-6488.6088109609118</v>
      </c>
      <c r="BK9" s="221">
        <f t="shared" ref="BK9" si="89">-BK8*$C$9</f>
        <v>-6650.8240312349344</v>
      </c>
    </row>
    <row r="10" spans="1:6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c r="AI10" s="1138"/>
      <c r="AK10" s="1138"/>
      <c r="AM10" s="1138"/>
      <c r="AO10" s="1138"/>
      <c r="AQ10" s="1138"/>
      <c r="AS10" s="1138"/>
      <c r="AU10" s="1138"/>
      <c r="AW10" s="1138"/>
      <c r="AY10" s="1138"/>
      <c r="BA10" s="1138"/>
      <c r="BC10" s="1138"/>
      <c r="BE10" s="1138"/>
      <c r="BG10" s="1138"/>
      <c r="BI10" s="1138"/>
      <c r="BK10" s="1138"/>
    </row>
    <row r="11" spans="1:64" s="223" customFormat="1" ht="15">
      <c r="A11" s="223" t="s">
        <v>859</v>
      </c>
      <c r="C11" s="216"/>
      <c r="E11" s="223">
        <f>SUM(E4:E10)</f>
        <v>1281850.9599999997</v>
      </c>
      <c r="G11" s="223">
        <f>SUM(G4:G10)</f>
        <v>1313897.2339999997</v>
      </c>
      <c r="I11" s="223">
        <f>SUM(I4:I10)</f>
        <v>1346744.6648499996</v>
      </c>
      <c r="K11" s="223">
        <f>SUM(K4:K10)</f>
        <v>1380413.2814712494</v>
      </c>
      <c r="M11" s="223">
        <f>SUM(M4:M10)</f>
        <v>1414923.6135080305</v>
      </c>
      <c r="O11" s="223">
        <f>SUM(O4:O10)</f>
        <v>1450296.703845731</v>
      </c>
      <c r="Q11" s="223">
        <f>SUM(Q4:Q10)</f>
        <v>1486554.1214418742</v>
      </c>
      <c r="S11" s="223">
        <f>SUM(S4:S10)</f>
        <v>1523717.9744779209</v>
      </c>
      <c r="U11" s="223">
        <f>SUM(U4:U10)</f>
        <v>1561810.9238398687</v>
      </c>
      <c r="W11" s="223">
        <f>SUM(W4:W10)</f>
        <v>1600856.1969358653</v>
      </c>
      <c r="Y11" s="223">
        <f>SUM(Y4:Y10)</f>
        <v>1640877.6018592615</v>
      </c>
      <c r="AA11" s="223">
        <f>SUM(AA4:AA10)</f>
        <v>1681899.5419057431</v>
      </c>
      <c r="AC11" s="223">
        <f>SUM(AC4:AC10)</f>
        <v>1723947.0304533865</v>
      </c>
      <c r="AE11" s="223">
        <f>SUM(AE4:AE10)</f>
        <v>1767045.7062147211</v>
      </c>
      <c r="AG11" s="223">
        <f>SUM(AG4:AG10)</f>
        <v>1811221.848870089</v>
      </c>
      <c r="AI11" s="223">
        <f t="shared" ref="AI11" si="90">SUM(AI4:AI10)</f>
        <v>1856502.3950918412</v>
      </c>
      <c r="AK11" s="223">
        <f t="shared" ref="AK11" si="91">SUM(AK4:AK10)</f>
        <v>1902914.954969137</v>
      </c>
      <c r="AM11" s="223">
        <f t="shared" ref="AM11" si="92">SUM(AM4:AM10)</f>
        <v>1950487.8288433652</v>
      </c>
      <c r="AO11" s="223">
        <f t="shared" ref="AO11" si="93">SUM(AO4:AO10)</f>
        <v>1999250.0245644492</v>
      </c>
      <c r="AQ11" s="223">
        <f t="shared" ref="AQ11" si="94">SUM(AQ4:AQ10)</f>
        <v>2049231.2751785603</v>
      </c>
      <c r="AS11" s="223">
        <f t="shared" ref="AS11" si="95">SUM(AS4:AS10)</f>
        <v>2100462.0570580238</v>
      </c>
      <c r="AU11" s="223">
        <f t="shared" ref="AU11" si="96">SUM(AU4:AU10)</f>
        <v>2152973.608484474</v>
      </c>
      <c r="AW11" s="223">
        <f t="shared" ref="AW11" si="97">SUM(AW4:AW10)</f>
        <v>2206797.9486965863</v>
      </c>
      <c r="AY11" s="223">
        <f t="shared" ref="AY11" si="98">SUM(AY4:AY10)</f>
        <v>2261967.8974140007</v>
      </c>
      <c r="BA11" s="223">
        <f t="shared" ref="BA11" si="99">SUM(BA4:BA10)</f>
        <v>2318517.0948493499</v>
      </c>
      <c r="BC11" s="223">
        <f t="shared" ref="BC11" si="100">SUM(BC4:BC10)</f>
        <v>2376480.0222205836</v>
      </c>
      <c r="BE11" s="223">
        <f t="shared" ref="BE11" si="101">SUM(BE4:BE10)</f>
        <v>2435892.0227760975</v>
      </c>
      <c r="BG11" s="223">
        <f t="shared" ref="BG11" si="102">SUM(BG4:BG10)</f>
        <v>2496789.3233455</v>
      </c>
      <c r="BI11" s="223">
        <f t="shared" ref="BI11" si="103">SUM(BI4:BI10)</f>
        <v>2559209.0564291379</v>
      </c>
      <c r="BK11" s="223">
        <f t="shared" ref="BK11" si="104">SUM(BK4:BK10)</f>
        <v>2623189.2828398659</v>
      </c>
    </row>
    <row r="12" spans="1:6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I12" s="215"/>
      <c r="AK12" s="215"/>
      <c r="AM12" s="215"/>
      <c r="AO12" s="215"/>
      <c r="AQ12" s="215"/>
      <c r="AS12" s="215"/>
      <c r="AU12" s="215"/>
      <c r="AW12" s="215"/>
      <c r="AY12" s="215"/>
      <c r="BA12" s="215"/>
      <c r="BC12" s="215"/>
      <c r="BE12" s="215"/>
      <c r="BG12" s="215"/>
      <c r="BI12" s="215"/>
      <c r="BK12" s="215"/>
    </row>
    <row r="13" spans="1:6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I13" s="215"/>
      <c r="AK13" s="215"/>
      <c r="AM13" s="215"/>
      <c r="AO13" s="215"/>
      <c r="AQ13" s="215"/>
      <c r="AS13" s="215"/>
      <c r="AU13" s="215"/>
      <c r="AW13" s="215"/>
      <c r="AY13" s="215"/>
      <c r="BA13" s="215"/>
      <c r="BC13" s="215"/>
      <c r="BE13" s="215"/>
      <c r="BG13" s="215"/>
      <c r="BI13" s="215"/>
      <c r="BK13" s="215"/>
    </row>
    <row r="14" spans="1:6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I14" s="222"/>
      <c r="AK14" s="222"/>
      <c r="AM14" s="222"/>
      <c r="AO14" s="222"/>
      <c r="AQ14" s="222"/>
      <c r="AS14" s="222"/>
      <c r="AU14" s="222"/>
      <c r="AW14" s="222"/>
      <c r="AY14" s="222"/>
      <c r="BA14" s="222"/>
      <c r="BC14" s="222"/>
      <c r="BE14" s="222"/>
      <c r="BG14" s="222"/>
      <c r="BI14" s="222"/>
      <c r="BK14" s="222"/>
    </row>
    <row r="15" spans="1:64" s="219" customFormat="1" ht="14.25">
      <c r="A15" s="219" t="s">
        <v>841</v>
      </c>
      <c r="C15" s="176"/>
      <c r="E15" s="219">
        <f>Application!W855</f>
        <v>63118</v>
      </c>
      <c r="G15" s="219">
        <f>E15*$C$14</f>
        <v>65327.13</v>
      </c>
      <c r="I15" s="219">
        <f>G15*$C$14</f>
        <v>67613.579549999995</v>
      </c>
      <c r="K15" s="219">
        <f>I15*$C$14</f>
        <v>69980.054834249982</v>
      </c>
      <c r="M15" s="219">
        <f>K15*$C$14</f>
        <v>72429.356753448723</v>
      </c>
      <c r="O15" s="219">
        <f>M15*$C$14</f>
        <v>74964.384239819425</v>
      </c>
      <c r="Q15" s="219">
        <f>O15*$C$14</f>
        <v>77588.137688213101</v>
      </c>
      <c r="S15" s="219">
        <f>Q15*$C$14</f>
        <v>80303.722507300554</v>
      </c>
      <c r="U15" s="219">
        <f>S15*$C$14</f>
        <v>83114.352795056067</v>
      </c>
      <c r="W15" s="219">
        <f>U15*$C$14</f>
        <v>86023.355142883025</v>
      </c>
      <c r="Y15" s="219">
        <f>W15*$C$14</f>
        <v>89034.172572883923</v>
      </c>
      <c r="AA15" s="219">
        <f>Y15*$C$14</f>
        <v>92150.36861293485</v>
      </c>
      <c r="AC15" s="219">
        <f>AA15*$C$14</f>
        <v>95375.631514387569</v>
      </c>
      <c r="AE15" s="219">
        <f>AC15*$C$14</f>
        <v>98713.77861739113</v>
      </c>
      <c r="AG15" s="219">
        <f>AE15*$C$14</f>
        <v>102168.76086899982</v>
      </c>
      <c r="AI15" s="219">
        <f t="shared" ref="AI15:AI21" si="105">AG15*$C$14</f>
        <v>105744.66749941481</v>
      </c>
      <c r="AK15" s="219">
        <f t="shared" ref="AK15:AK21" si="106">AI15*$C$14</f>
        <v>109445.73086189432</v>
      </c>
      <c r="AM15" s="219">
        <f t="shared" ref="AM15:AM21" si="107">AK15*$C$14</f>
        <v>113276.33144206062</v>
      </c>
      <c r="AO15" s="219">
        <f t="shared" ref="AO15:AO21" si="108">AM15*$C$14</f>
        <v>117241.00304253273</v>
      </c>
      <c r="AQ15" s="219">
        <f t="shared" ref="AQ15:AQ21" si="109">AO15*$C$14</f>
        <v>121344.43814902137</v>
      </c>
      <c r="AS15" s="219">
        <f t="shared" ref="AS15:AS21" si="110">AQ15*$C$14</f>
        <v>125591.49348423711</v>
      </c>
      <c r="AU15" s="219">
        <f t="shared" ref="AU15:AU21" si="111">AS15*$C$14</f>
        <v>129987.19575618541</v>
      </c>
      <c r="AW15" s="219">
        <f t="shared" ref="AW15:AW21" si="112">AU15*$C$14</f>
        <v>134536.74760765189</v>
      </c>
      <c r="AY15" s="219">
        <f t="shared" ref="AY15:AY21" si="113">AW15*$C$14</f>
        <v>139245.53377391971</v>
      </c>
      <c r="BA15" s="219">
        <f t="shared" ref="BA15:BA21" si="114">AY15*$C$14</f>
        <v>144119.12745600689</v>
      </c>
      <c r="BC15" s="219">
        <f t="shared" ref="BC15:BC21" si="115">BA15*$C$14</f>
        <v>149163.29691696711</v>
      </c>
      <c r="BE15" s="219">
        <f t="shared" ref="BE15:BE21" si="116">BC15*$C$14</f>
        <v>154384.01230906096</v>
      </c>
      <c r="BG15" s="219">
        <f t="shared" ref="BG15:BG21" si="117">BE15*$C$14</f>
        <v>159787.45273987806</v>
      </c>
      <c r="BI15" s="219">
        <f t="shared" ref="BI15:BI21" si="118">BG15*$C$14</f>
        <v>165380.01358577379</v>
      </c>
      <c r="BK15" s="219">
        <f t="shared" ref="BK15:BK21" si="119">BI15*$C$14</f>
        <v>171168.31406127586</v>
      </c>
    </row>
    <row r="16" spans="1:64" s="210" customFormat="1" ht="14.25">
      <c r="A16" s="210" t="s">
        <v>344</v>
      </c>
      <c r="C16" s="233"/>
      <c r="E16" s="222">
        <f>Application!W857</f>
        <v>50516</v>
      </c>
      <c r="F16" s="222"/>
      <c r="G16" s="222">
        <f t="shared" ref="G16:AG21" si="120">E16*$C$14</f>
        <v>52284.06</v>
      </c>
      <c r="H16" s="222"/>
      <c r="I16" s="222">
        <f t="shared" si="120"/>
        <v>54114.002099999991</v>
      </c>
      <c r="J16" s="222"/>
      <c r="K16" s="222">
        <f t="shared" si="120"/>
        <v>56007.992173499988</v>
      </c>
      <c r="L16" s="222"/>
      <c r="M16" s="222">
        <f t="shared" si="120"/>
        <v>57968.271899572486</v>
      </c>
      <c r="N16" s="222"/>
      <c r="O16" s="222">
        <f t="shared" si="120"/>
        <v>59997.161416057519</v>
      </c>
      <c r="P16" s="222"/>
      <c r="Q16" s="222">
        <f t="shared" si="120"/>
        <v>62097.062065619524</v>
      </c>
      <c r="R16" s="222"/>
      <c r="S16" s="222">
        <f t="shared" si="120"/>
        <v>64270.459237916206</v>
      </c>
      <c r="T16" s="222"/>
      <c r="U16" s="222">
        <f t="shared" si="120"/>
        <v>66519.925311243263</v>
      </c>
      <c r="V16" s="222"/>
      <c r="W16" s="222">
        <f t="shared" si="120"/>
        <v>68848.122697136772</v>
      </c>
      <c r="X16" s="222"/>
      <c r="Y16" s="222">
        <f t="shared" si="120"/>
        <v>71257.806991536549</v>
      </c>
      <c r="Z16" s="222"/>
      <c r="AA16" s="222">
        <f t="shared" si="120"/>
        <v>73751.830236240319</v>
      </c>
      <c r="AB16" s="222"/>
      <c r="AC16" s="222">
        <f t="shared" si="120"/>
        <v>76333.144294508718</v>
      </c>
      <c r="AD16" s="222"/>
      <c r="AE16" s="222">
        <f t="shared" si="120"/>
        <v>79004.804344816512</v>
      </c>
      <c r="AF16" s="222"/>
      <c r="AG16" s="222">
        <f t="shared" si="120"/>
        <v>81769.972496885079</v>
      </c>
      <c r="AI16" s="222">
        <f t="shared" si="105"/>
        <v>84631.921534276044</v>
      </c>
      <c r="AK16" s="222">
        <f t="shared" si="106"/>
        <v>87594.038787975704</v>
      </c>
      <c r="AM16" s="222">
        <f t="shared" si="107"/>
        <v>90659.83014555485</v>
      </c>
      <c r="AO16" s="222">
        <f t="shared" si="108"/>
        <v>93832.924200649257</v>
      </c>
      <c r="AQ16" s="222">
        <f t="shared" si="109"/>
        <v>97117.076547671968</v>
      </c>
      <c r="AS16" s="222">
        <f t="shared" si="110"/>
        <v>100516.17422684048</v>
      </c>
      <c r="AU16" s="222">
        <f t="shared" si="111"/>
        <v>104034.24032477988</v>
      </c>
      <c r="AW16" s="222">
        <f t="shared" si="112"/>
        <v>107675.43873614716</v>
      </c>
      <c r="AY16" s="222">
        <f t="shared" si="113"/>
        <v>111444.0790919123</v>
      </c>
      <c r="BA16" s="222">
        <f t="shared" si="114"/>
        <v>115344.62186012922</v>
      </c>
      <c r="BC16" s="222">
        <f t="shared" si="115"/>
        <v>119381.68362523374</v>
      </c>
      <c r="BE16" s="222">
        <f t="shared" si="116"/>
        <v>123560.04255211691</v>
      </c>
      <c r="BG16" s="222">
        <f t="shared" si="117"/>
        <v>127884.64404144099</v>
      </c>
      <c r="BI16" s="222">
        <f t="shared" si="118"/>
        <v>132360.6065828914</v>
      </c>
      <c r="BK16" s="222">
        <f t="shared" si="119"/>
        <v>136993.22781329259</v>
      </c>
    </row>
    <row r="17" spans="1:1023 1025:2047 2049:3071 3073:4095 4097:5119 5121:6143 6145:7167 7169:8191 8193:9215 9217:10239 10241:11263 11265:12287 12289:13311 13313:14335 14337:15359 15361:16383" s="210" customFormat="1" ht="14.25">
      <c r="A17" s="210" t="s">
        <v>561</v>
      </c>
      <c r="C17" s="233"/>
      <c r="E17" s="222">
        <f>Application!W863</f>
        <v>59746</v>
      </c>
      <c r="F17" s="222"/>
      <c r="G17" s="222">
        <f t="shared" si="120"/>
        <v>61837.109999999993</v>
      </c>
      <c r="H17" s="222"/>
      <c r="I17" s="222">
        <f t="shared" si="120"/>
        <v>64001.408849999985</v>
      </c>
      <c r="J17" s="222"/>
      <c r="K17" s="222">
        <f t="shared" si="120"/>
        <v>66241.458159749978</v>
      </c>
      <c r="L17" s="222"/>
      <c r="M17" s="222">
        <f t="shared" si="120"/>
        <v>68559.909195341228</v>
      </c>
      <c r="N17" s="222"/>
      <c r="O17" s="222">
        <f t="shared" si="120"/>
        <v>70959.506017178166</v>
      </c>
      <c r="P17" s="222"/>
      <c r="Q17" s="222">
        <f t="shared" si="120"/>
        <v>73443.088727779395</v>
      </c>
      <c r="R17" s="222"/>
      <c r="S17" s="222">
        <f t="shared" si="120"/>
        <v>76013.596833251664</v>
      </c>
      <c r="T17" s="222"/>
      <c r="U17" s="222">
        <f t="shared" si="120"/>
        <v>78674.072722415469</v>
      </c>
      <c r="V17" s="222"/>
      <c r="W17" s="222">
        <f t="shared" si="120"/>
        <v>81427.665267700009</v>
      </c>
      <c r="X17" s="222"/>
      <c r="Y17" s="222">
        <f t="shared" si="120"/>
        <v>84277.633552069499</v>
      </c>
      <c r="Z17" s="222"/>
      <c r="AA17" s="222">
        <f t="shared" si="120"/>
        <v>87227.350726391931</v>
      </c>
      <c r="AB17" s="222"/>
      <c r="AC17" s="222">
        <f t="shared" si="120"/>
        <v>90280.308001815647</v>
      </c>
      <c r="AD17" s="222"/>
      <c r="AE17" s="222">
        <f t="shared" si="120"/>
        <v>93440.11878187918</v>
      </c>
      <c r="AF17" s="222"/>
      <c r="AG17" s="222">
        <f t="shared" si="120"/>
        <v>96710.52293924494</v>
      </c>
      <c r="AI17" s="222">
        <f t="shared" si="105"/>
        <v>100095.39124211851</v>
      </c>
      <c r="AK17" s="222">
        <f t="shared" si="106"/>
        <v>103598.72993559265</v>
      </c>
      <c r="AM17" s="222">
        <f t="shared" si="107"/>
        <v>107224.68548333838</v>
      </c>
      <c r="AO17" s="222">
        <f t="shared" si="108"/>
        <v>110977.54947525522</v>
      </c>
      <c r="AQ17" s="222">
        <f t="shared" si="109"/>
        <v>114861.76370688915</v>
      </c>
      <c r="AS17" s="222">
        <f t="shared" si="110"/>
        <v>118881.92543663026</v>
      </c>
      <c r="AU17" s="222">
        <f t="shared" si="111"/>
        <v>123042.79282691231</v>
      </c>
      <c r="AW17" s="222">
        <f t="shared" si="112"/>
        <v>127349.29057585423</v>
      </c>
      <c r="AY17" s="222">
        <f t="shared" si="113"/>
        <v>131806.51574600913</v>
      </c>
      <c r="BA17" s="222">
        <f t="shared" si="114"/>
        <v>136419.74379711944</v>
      </c>
      <c r="BC17" s="222">
        <f t="shared" si="115"/>
        <v>141194.43483001861</v>
      </c>
      <c r="BE17" s="222">
        <f t="shared" si="116"/>
        <v>146136.24004906925</v>
      </c>
      <c r="BG17" s="222">
        <f t="shared" si="117"/>
        <v>151251.00845078667</v>
      </c>
      <c r="BI17" s="222">
        <f t="shared" si="118"/>
        <v>156544.79374656419</v>
      </c>
      <c r="BK17" s="222">
        <f t="shared" si="119"/>
        <v>162023.86152769392</v>
      </c>
    </row>
    <row r="18" spans="1:1023 1025:2047 2049:3071 3073:4095 4097:5119 5121:6143 6145:7167 7169:8191 8193:9215 9217:10239 10241:11263 11265:12287 12289:13311 13313:14335 14337:15359 15361:16383" s="210" customFormat="1" ht="14.25">
      <c r="A18" s="210" t="s">
        <v>842</v>
      </c>
      <c r="C18" s="233"/>
      <c r="E18" s="222">
        <f>Application!W870</f>
        <v>96787</v>
      </c>
      <c r="F18" s="222"/>
      <c r="G18" s="222">
        <f t="shared" si="120"/>
        <v>100174.545</v>
      </c>
      <c r="H18" s="222"/>
      <c r="I18" s="222">
        <f t="shared" si="120"/>
        <v>103680.65407499998</v>
      </c>
      <c r="J18" s="222"/>
      <c r="K18" s="222">
        <f t="shared" si="120"/>
        <v>107309.47696762497</v>
      </c>
      <c r="L18" s="222"/>
      <c r="M18" s="222">
        <f t="shared" si="120"/>
        <v>111065.30866149184</v>
      </c>
      <c r="N18" s="222"/>
      <c r="O18" s="222">
        <f t="shared" si="120"/>
        <v>114952.59446464405</v>
      </c>
      <c r="P18" s="222"/>
      <c r="Q18" s="222">
        <f t="shared" si="120"/>
        <v>118975.93527090659</v>
      </c>
      <c r="R18" s="222"/>
      <c r="S18" s="222">
        <f t="shared" si="120"/>
        <v>123140.09300538831</v>
      </c>
      <c r="T18" s="222"/>
      <c r="U18" s="222">
        <f t="shared" si="120"/>
        <v>127449.99626057688</v>
      </c>
      <c r="V18" s="222"/>
      <c r="W18" s="222">
        <f t="shared" si="120"/>
        <v>131910.74612969707</v>
      </c>
      <c r="X18" s="222"/>
      <c r="Y18" s="222">
        <f t="shared" si="120"/>
        <v>136527.62224423647</v>
      </c>
      <c r="Z18" s="222"/>
      <c r="AA18" s="222">
        <f t="shared" si="120"/>
        <v>141306.08902278473</v>
      </c>
      <c r="AB18" s="222"/>
      <c r="AC18" s="222">
        <f t="shared" si="120"/>
        <v>146251.80213858219</v>
      </c>
      <c r="AD18" s="222"/>
      <c r="AE18" s="222">
        <f t="shared" si="120"/>
        <v>151370.61521343255</v>
      </c>
      <c r="AF18" s="222"/>
      <c r="AG18" s="222">
        <f t="shared" si="120"/>
        <v>156668.58674590269</v>
      </c>
      <c r="AI18" s="222">
        <f t="shared" si="105"/>
        <v>162151.98728200927</v>
      </c>
      <c r="AK18" s="222">
        <f t="shared" si="106"/>
        <v>167827.30683687958</v>
      </c>
      <c r="AM18" s="222">
        <f t="shared" si="107"/>
        <v>173701.26257617035</v>
      </c>
      <c r="AO18" s="222">
        <f t="shared" si="108"/>
        <v>179780.80676633629</v>
      </c>
      <c r="AQ18" s="222">
        <f t="shared" si="109"/>
        <v>186073.13500315804</v>
      </c>
      <c r="AS18" s="222">
        <f t="shared" si="110"/>
        <v>192585.69472826854</v>
      </c>
      <c r="AU18" s="222">
        <f t="shared" si="111"/>
        <v>199326.19404375792</v>
      </c>
      <c r="AW18" s="222">
        <f t="shared" si="112"/>
        <v>206302.61083528944</v>
      </c>
      <c r="AY18" s="222">
        <f t="shared" si="113"/>
        <v>213523.20221452456</v>
      </c>
      <c r="BA18" s="222">
        <f t="shared" si="114"/>
        <v>220996.51429203289</v>
      </c>
      <c r="BC18" s="222">
        <f t="shared" si="115"/>
        <v>228731.39229225402</v>
      </c>
      <c r="BE18" s="222">
        <f t="shared" si="116"/>
        <v>236736.99102248289</v>
      </c>
      <c r="BG18" s="222">
        <f t="shared" si="117"/>
        <v>245022.78570826977</v>
      </c>
      <c r="BI18" s="222">
        <f t="shared" si="118"/>
        <v>253598.58320805919</v>
      </c>
      <c r="BK18" s="222">
        <f t="shared" si="119"/>
        <v>262474.53362034127</v>
      </c>
    </row>
    <row r="19" spans="1:1023 1025:2047 2049:3071 3073:4095 4097:5119 5121:6143 6145:7167 7169:8191 8193:9215 9217:10239 10241:11263 11265:12287 12289:13311 13313:14335 14337:15359 15361:16383" s="210" customFormat="1" ht="14.25">
      <c r="A19" s="210" t="s">
        <v>155</v>
      </c>
      <c r="C19" s="233"/>
      <c r="E19" s="222">
        <f>Application!W872</f>
        <v>37950</v>
      </c>
      <c r="F19" s="222"/>
      <c r="G19" s="222">
        <f t="shared" si="120"/>
        <v>39278.25</v>
      </c>
      <c r="H19" s="222"/>
      <c r="I19" s="222">
        <f t="shared" si="120"/>
        <v>40652.988749999997</v>
      </c>
      <c r="J19" s="222"/>
      <c r="K19" s="222">
        <f t="shared" si="120"/>
        <v>42075.843356249992</v>
      </c>
      <c r="L19" s="222"/>
      <c r="M19" s="222">
        <f t="shared" si="120"/>
        <v>43548.497873718741</v>
      </c>
      <c r="N19" s="222"/>
      <c r="O19" s="222">
        <f t="shared" si="120"/>
        <v>45072.695299298895</v>
      </c>
      <c r="P19" s="222"/>
      <c r="Q19" s="222">
        <f t="shared" si="120"/>
        <v>46650.239634774356</v>
      </c>
      <c r="R19" s="222"/>
      <c r="S19" s="222">
        <f t="shared" si="120"/>
        <v>48282.998021991458</v>
      </c>
      <c r="T19" s="222"/>
      <c r="U19" s="222">
        <f t="shared" si="120"/>
        <v>49972.902952761156</v>
      </c>
      <c r="V19" s="222"/>
      <c r="W19" s="222">
        <f t="shared" si="120"/>
        <v>51721.95455610779</v>
      </c>
      <c r="X19" s="222"/>
      <c r="Y19" s="222">
        <f t="shared" si="120"/>
        <v>53532.222965571556</v>
      </c>
      <c r="Z19" s="222"/>
      <c r="AA19" s="222">
        <f t="shared" si="120"/>
        <v>55405.85076936656</v>
      </c>
      <c r="AB19" s="222"/>
      <c r="AC19" s="222">
        <f t="shared" si="120"/>
        <v>57345.055546294388</v>
      </c>
      <c r="AD19" s="222"/>
      <c r="AE19" s="222">
        <f t="shared" si="120"/>
        <v>59352.13249041469</v>
      </c>
      <c r="AF19" s="222"/>
      <c r="AG19" s="222">
        <f t="shared" si="120"/>
        <v>61429.457127579197</v>
      </c>
      <c r="AI19" s="222">
        <f t="shared" si="105"/>
        <v>63579.48812704446</v>
      </c>
      <c r="AK19" s="222">
        <f t="shared" si="106"/>
        <v>65804.770211491006</v>
      </c>
      <c r="AM19" s="222">
        <f t="shared" si="107"/>
        <v>68107.937168893186</v>
      </c>
      <c r="AO19" s="222">
        <f t="shared" si="108"/>
        <v>70491.714969804438</v>
      </c>
      <c r="AQ19" s="222">
        <f t="shared" si="109"/>
        <v>72958.924993747583</v>
      </c>
      <c r="AS19" s="222">
        <f t="shared" si="110"/>
        <v>75512.487368528746</v>
      </c>
      <c r="AU19" s="222">
        <f t="shared" si="111"/>
        <v>78155.424426427242</v>
      </c>
      <c r="AW19" s="222">
        <f t="shared" si="112"/>
        <v>80890.864281352187</v>
      </c>
      <c r="AY19" s="222">
        <f t="shared" si="113"/>
        <v>83722.044531199514</v>
      </c>
      <c r="BA19" s="222">
        <f t="shared" si="114"/>
        <v>86652.316089791493</v>
      </c>
      <c r="BC19" s="222">
        <f t="shared" si="115"/>
        <v>89685.147152934194</v>
      </c>
      <c r="BE19" s="222">
        <f t="shared" si="116"/>
        <v>92824.127303286878</v>
      </c>
      <c r="BG19" s="222">
        <f t="shared" si="117"/>
        <v>96072.971758901913</v>
      </c>
      <c r="BI19" s="222">
        <f t="shared" si="118"/>
        <v>99435.525770463471</v>
      </c>
      <c r="BK19" s="222">
        <f t="shared" si="119"/>
        <v>102915.76917242969</v>
      </c>
    </row>
    <row r="20" spans="1:1023 1025:2047 2049:3071 3073:4095 4097:5119 5121:6143 6145:7167 7169:8191 8193:9215 9217:10239 10241:11263 11265:12287 12289:13311 13313:14335 14337:15359 15361:16383" s="210" customFormat="1" ht="14.25">
      <c r="A20" s="210" t="s">
        <v>390</v>
      </c>
      <c r="C20" s="233"/>
      <c r="E20" s="222">
        <f>Application!W881</f>
        <v>63583</v>
      </c>
      <c r="F20" s="222"/>
      <c r="G20" s="222">
        <f t="shared" si="120"/>
        <v>65808.404999999999</v>
      </c>
      <c r="H20" s="222"/>
      <c r="I20" s="222">
        <f t="shared" si="120"/>
        <v>68111.699174999987</v>
      </c>
      <c r="J20" s="222"/>
      <c r="K20" s="222">
        <f t="shared" si="120"/>
        <v>70495.60864612498</v>
      </c>
      <c r="L20" s="222"/>
      <c r="M20" s="222">
        <f t="shared" si="120"/>
        <v>72962.954948739352</v>
      </c>
      <c r="N20" s="222"/>
      <c r="O20" s="222">
        <f t="shared" si="120"/>
        <v>75516.658371945217</v>
      </c>
      <c r="P20" s="222"/>
      <c r="Q20" s="222">
        <f t="shared" si="120"/>
        <v>78159.741414963297</v>
      </c>
      <c r="R20" s="222"/>
      <c r="S20" s="222">
        <f t="shared" si="120"/>
        <v>80895.332364487011</v>
      </c>
      <c r="T20" s="222"/>
      <c r="U20" s="222">
        <f t="shared" si="120"/>
        <v>83726.668997244051</v>
      </c>
      <c r="V20" s="222"/>
      <c r="W20" s="222">
        <f t="shared" si="120"/>
        <v>86657.102412147593</v>
      </c>
      <c r="X20" s="222"/>
      <c r="Y20" s="222">
        <f t="shared" si="120"/>
        <v>89690.100996572757</v>
      </c>
      <c r="Z20" s="222"/>
      <c r="AA20" s="222">
        <f t="shared" si="120"/>
        <v>92829.254531452796</v>
      </c>
      <c r="AB20" s="222"/>
      <c r="AC20" s="222">
        <f t="shared" si="120"/>
        <v>96078.278440053633</v>
      </c>
      <c r="AD20" s="222"/>
      <c r="AE20" s="222">
        <f t="shared" si="120"/>
        <v>99441.018185455498</v>
      </c>
      <c r="AF20" s="222"/>
      <c r="AG20" s="222">
        <f t="shared" si="120"/>
        <v>102921.45382194643</v>
      </c>
      <c r="AI20" s="222">
        <f t="shared" si="105"/>
        <v>106523.70470571455</v>
      </c>
      <c r="AK20" s="222">
        <f t="shared" si="106"/>
        <v>110252.03437041455</v>
      </c>
      <c r="AM20" s="222">
        <f t="shared" si="107"/>
        <v>114110.85557337906</v>
      </c>
      <c r="AO20" s="222">
        <f t="shared" si="108"/>
        <v>118104.73551844731</v>
      </c>
      <c r="AQ20" s="222">
        <f t="shared" si="109"/>
        <v>122238.40126159295</v>
      </c>
      <c r="AS20" s="222">
        <f t="shared" si="110"/>
        <v>126516.7453057487</v>
      </c>
      <c r="AU20" s="222">
        <f t="shared" si="111"/>
        <v>130944.8313914499</v>
      </c>
      <c r="AW20" s="222">
        <f t="shared" si="112"/>
        <v>135527.90049015064</v>
      </c>
      <c r="AY20" s="222">
        <f t="shared" si="113"/>
        <v>140271.37700730591</v>
      </c>
      <c r="BA20" s="222">
        <f t="shared" si="114"/>
        <v>145180.87520256161</v>
      </c>
      <c r="BC20" s="222">
        <f t="shared" si="115"/>
        <v>150262.20583465125</v>
      </c>
      <c r="BE20" s="222">
        <f t="shared" si="116"/>
        <v>155521.38303886403</v>
      </c>
      <c r="BG20" s="222">
        <f t="shared" si="117"/>
        <v>160964.63144522425</v>
      </c>
      <c r="BI20" s="222">
        <f t="shared" si="118"/>
        <v>166598.39354580708</v>
      </c>
      <c r="BK20" s="222">
        <f t="shared" si="119"/>
        <v>172429.33731991032</v>
      </c>
    </row>
    <row r="21" spans="1:1023 1025:2047 2049:3071 3073:4095 4097:5119 5121:6143 6145:7167 7169:8191 8193:9215 9217:10239 10241:11263 11265:12287 12289:13311 13313:14335 14337:15359 15361:16383" s="210" customFormat="1" ht="14.25">
      <c r="A21" s="226" t="s">
        <v>962</v>
      </c>
      <c r="B21" s="226"/>
      <c r="C21" s="233"/>
      <c r="E21" s="232">
        <f>Application!W888</f>
        <v>0</v>
      </c>
      <c r="F21" s="222"/>
      <c r="G21" s="232">
        <f t="shared" si="120"/>
        <v>0</v>
      </c>
      <c r="H21" s="222"/>
      <c r="I21" s="232">
        <f t="shared" si="120"/>
        <v>0</v>
      </c>
      <c r="J21" s="222"/>
      <c r="K21" s="232">
        <f t="shared" si="120"/>
        <v>0</v>
      </c>
      <c r="L21" s="222"/>
      <c r="M21" s="232">
        <f t="shared" si="120"/>
        <v>0</v>
      </c>
      <c r="N21" s="222"/>
      <c r="O21" s="232">
        <f t="shared" si="120"/>
        <v>0</v>
      </c>
      <c r="P21" s="222"/>
      <c r="Q21" s="232">
        <f t="shared" si="120"/>
        <v>0</v>
      </c>
      <c r="R21" s="222"/>
      <c r="S21" s="232">
        <f t="shared" si="120"/>
        <v>0</v>
      </c>
      <c r="T21" s="222"/>
      <c r="U21" s="232">
        <f t="shared" si="120"/>
        <v>0</v>
      </c>
      <c r="V21" s="222"/>
      <c r="W21" s="232">
        <f t="shared" si="120"/>
        <v>0</v>
      </c>
      <c r="X21" s="222"/>
      <c r="Y21" s="232">
        <f t="shared" si="120"/>
        <v>0</v>
      </c>
      <c r="Z21" s="222"/>
      <c r="AA21" s="232">
        <f t="shared" si="120"/>
        <v>0</v>
      </c>
      <c r="AB21" s="222"/>
      <c r="AC21" s="232">
        <f t="shared" si="120"/>
        <v>0</v>
      </c>
      <c r="AD21" s="222"/>
      <c r="AE21" s="232">
        <f t="shared" si="120"/>
        <v>0</v>
      </c>
      <c r="AF21" s="222"/>
      <c r="AG21" s="232">
        <f t="shared" si="120"/>
        <v>0</v>
      </c>
      <c r="AI21" s="232">
        <f t="shared" si="105"/>
        <v>0</v>
      </c>
      <c r="AK21" s="232">
        <f t="shared" si="106"/>
        <v>0</v>
      </c>
      <c r="AM21" s="232">
        <f t="shared" si="107"/>
        <v>0</v>
      </c>
      <c r="AO21" s="232">
        <f t="shared" si="108"/>
        <v>0</v>
      </c>
      <c r="AQ21" s="232">
        <f t="shared" si="109"/>
        <v>0</v>
      </c>
      <c r="AS21" s="232">
        <f t="shared" si="110"/>
        <v>0</v>
      </c>
      <c r="AU21" s="232">
        <f t="shared" si="111"/>
        <v>0</v>
      </c>
      <c r="AW21" s="232">
        <f t="shared" si="112"/>
        <v>0</v>
      </c>
      <c r="AY21" s="232">
        <f t="shared" si="113"/>
        <v>0</v>
      </c>
      <c r="BA21" s="232">
        <f t="shared" si="114"/>
        <v>0</v>
      </c>
      <c r="BC21" s="232">
        <f t="shared" si="115"/>
        <v>0</v>
      </c>
      <c r="BE21" s="232">
        <f t="shared" si="116"/>
        <v>0</v>
      </c>
      <c r="BG21" s="232">
        <f t="shared" si="117"/>
        <v>0</v>
      </c>
      <c r="BI21" s="232">
        <f t="shared" si="118"/>
        <v>0</v>
      </c>
      <c r="BK21" s="232">
        <f t="shared" si="119"/>
        <v>0</v>
      </c>
    </row>
    <row r="22" spans="1:1023 1025:2047 2049:3071 3073:4095 4097:5119 5121:6143 6145:7167 7169:8191 8193:9215 9217:10239 10241:11263 11265:12287 12289:13311 13313:14335 14337:15359 15361:16383" s="223" customFormat="1" ht="15">
      <c r="A22" s="223" t="s">
        <v>843</v>
      </c>
      <c r="C22" s="233"/>
      <c r="E22" s="223">
        <f>SUM(E15:E21)</f>
        <v>371700</v>
      </c>
      <c r="G22" s="223">
        <f>SUM(G15:G21)</f>
        <v>384709.5</v>
      </c>
      <c r="I22" s="223">
        <f>SUM(I15:I21)</f>
        <v>398174.3324999999</v>
      </c>
      <c r="K22" s="223">
        <f>SUM(K15:K21)</f>
        <v>412110.43413749989</v>
      </c>
      <c r="M22" s="223">
        <f>SUM(M15:M21)</f>
        <v>426534.29933231242</v>
      </c>
      <c r="O22" s="223">
        <f>SUM(O15:O21)</f>
        <v>441462.99980894325</v>
      </c>
      <c r="Q22" s="223">
        <f>SUM(Q15:Q21)</f>
        <v>456914.20480225619</v>
      </c>
      <c r="S22" s="223">
        <f>SUM(S15:S21)</f>
        <v>472906.20197033521</v>
      </c>
      <c r="U22" s="223">
        <f>SUM(U15:U21)</f>
        <v>489457.91903929686</v>
      </c>
      <c r="W22" s="223">
        <f>SUM(W15:W21)</f>
        <v>506588.94620567234</v>
      </c>
      <c r="Y22" s="223">
        <f>SUM(Y15:Y21)</f>
        <v>524319.5593228708</v>
      </c>
      <c r="AA22" s="223">
        <f>SUM(AA15:AA21)</f>
        <v>542670.74389917124</v>
      </c>
      <c r="AC22" s="223">
        <f>SUM(AC15:AC21)</f>
        <v>561664.21993564209</v>
      </c>
      <c r="AE22" s="223">
        <f>SUM(AE15:AE21)</f>
        <v>581322.46763338952</v>
      </c>
      <c r="AG22" s="223">
        <f>SUM(AG15:AG21)</f>
        <v>601668.75400055817</v>
      </c>
      <c r="AI22" s="223">
        <f t="shared" ref="AI22" si="121">SUM(AI15:AI21)</f>
        <v>622727.16039057763</v>
      </c>
      <c r="AK22" s="223">
        <f t="shared" ref="AK22" si="122">SUM(AK15:AK21)</f>
        <v>644522.6110042478</v>
      </c>
      <c r="AM22" s="223">
        <f t="shared" ref="AM22" si="123">SUM(AM15:AM21)</f>
        <v>667080.90238939645</v>
      </c>
      <c r="AO22" s="223">
        <f t="shared" ref="AO22" si="124">SUM(AO15:AO21)</f>
        <v>690428.73397302523</v>
      </c>
      <c r="AQ22" s="223">
        <f t="shared" ref="AQ22" si="125">SUM(AQ15:AQ21)</f>
        <v>714593.73966208112</v>
      </c>
      <c r="AS22" s="223">
        <f t="shared" ref="AS22" si="126">SUM(AS15:AS21)</f>
        <v>739604.5205502538</v>
      </c>
      <c r="AU22" s="223">
        <f t="shared" ref="AU22" si="127">SUM(AU15:AU21)</f>
        <v>765490.67876951257</v>
      </c>
      <c r="AW22" s="223">
        <f t="shared" ref="AW22" si="128">SUM(AW15:AW21)</f>
        <v>792282.85252644552</v>
      </c>
      <c r="AY22" s="223">
        <f t="shared" ref="AY22" si="129">SUM(AY15:AY21)</f>
        <v>820012.75236487109</v>
      </c>
      <c r="BA22" s="223">
        <f t="shared" ref="BA22" si="130">SUM(BA15:BA21)</f>
        <v>848713.19869764161</v>
      </c>
      <c r="BC22" s="223">
        <f t="shared" ref="BC22" si="131">SUM(BC15:BC21)</f>
        <v>878418.16065205901</v>
      </c>
      <c r="BE22" s="223">
        <f t="shared" ref="BE22" si="132">SUM(BE15:BE21)</f>
        <v>909162.79627488088</v>
      </c>
      <c r="BG22" s="223">
        <f t="shared" ref="BG22" si="133">SUM(BG15:BG21)</f>
        <v>940983.49414450175</v>
      </c>
      <c r="BI22" s="223">
        <f t="shared" ref="BI22" si="134">SUM(BI15:BI21)</f>
        <v>973917.91643955919</v>
      </c>
      <c r="BK22" s="223">
        <f t="shared" ref="BK22" si="135">SUM(BK15:BK21)</f>
        <v>1008005.0435149436</v>
      </c>
    </row>
    <row r="23" spans="1:1023 1025:2047 2049:3071 3073:4095 4097:5119 5121:6143 6145:7167 7169:8191 8193:9215 9217:10239 10241:11263 11265:12287 12289:13311 13313:14335 14337:15359 15361:1638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I23" s="222"/>
      <c r="AK23" s="222"/>
      <c r="AM23" s="222"/>
      <c r="AO23" s="222"/>
      <c r="AQ23" s="222"/>
      <c r="AS23" s="222"/>
      <c r="AU23" s="222"/>
      <c r="AW23" s="222"/>
      <c r="AY23" s="222"/>
      <c r="BA23" s="222"/>
      <c r="BC23" s="222"/>
      <c r="BE23" s="222"/>
      <c r="BG23" s="222"/>
      <c r="BI23" s="222"/>
      <c r="BK23" s="222"/>
    </row>
    <row r="24" spans="1:1023 1025:2047 2049:3071 3073:4095 4097:5119 5121:6143 6145:7167 7169:8191 8193:9215 9217:10239 10241:11263 11265:12287 12289:13311 13313:14335 14337:15359 15361:16383" s="222" customFormat="1" ht="14.25">
      <c r="A24" s="210" t="s">
        <v>1671</v>
      </c>
      <c r="B24" s="210"/>
      <c r="C24" s="233">
        <v>1</v>
      </c>
      <c r="D24" s="210"/>
      <c r="E24" s="906">
        <v>100000</v>
      </c>
      <c r="G24" s="906">
        <f>$C$24*E24</f>
        <v>100000</v>
      </c>
      <c r="I24" s="906">
        <f t="shared" ref="I24" si="136">$C$24*G24</f>
        <v>100000</v>
      </c>
      <c r="K24" s="906">
        <f t="shared" ref="K24" si="137">$C$24*I24</f>
        <v>100000</v>
      </c>
      <c r="M24" s="906">
        <f t="shared" ref="M24" si="138">$C$24*K24</f>
        <v>100000</v>
      </c>
      <c r="O24" s="906">
        <f t="shared" ref="O24" si="139">$C$24*M24</f>
        <v>100000</v>
      </c>
      <c r="Q24" s="906">
        <f t="shared" ref="Q24" si="140">$C$24*O24</f>
        <v>100000</v>
      </c>
      <c r="S24" s="906">
        <f t="shared" ref="S24" si="141">$C$24*Q24</f>
        <v>100000</v>
      </c>
      <c r="U24" s="906">
        <f t="shared" ref="U24" si="142">$C$24*S24</f>
        <v>100000</v>
      </c>
      <c r="W24" s="906">
        <f t="shared" ref="W24" si="143">$C$24*U24</f>
        <v>100000</v>
      </c>
      <c r="Y24" s="906">
        <f t="shared" ref="Y24" si="144">$C$24*W24</f>
        <v>100000</v>
      </c>
      <c r="AA24" s="906">
        <f t="shared" ref="AA24" si="145">$C$24*Y24</f>
        <v>100000</v>
      </c>
      <c r="AC24" s="906">
        <f t="shared" ref="AC24" si="146">$C$24*AA24</f>
        <v>100000</v>
      </c>
      <c r="AE24" s="906">
        <f t="shared" ref="AE24" si="147">$C$24*AC24</f>
        <v>100000</v>
      </c>
      <c r="AG24" s="906">
        <f t="shared" ref="AG24" si="148">$C$24*AE24</f>
        <v>100000</v>
      </c>
      <c r="AI24" s="906">
        <f t="shared" ref="AI24" si="149">$C$24*AG24</f>
        <v>100000</v>
      </c>
      <c r="AK24" s="906">
        <f t="shared" ref="AK24" si="150">$C$24*AI24</f>
        <v>100000</v>
      </c>
      <c r="AM24" s="906">
        <f t="shared" ref="AM24" si="151">$C$24*AK24</f>
        <v>100000</v>
      </c>
      <c r="AO24" s="906">
        <f t="shared" ref="AO24" si="152">$C$24*AM24</f>
        <v>100000</v>
      </c>
      <c r="AQ24" s="906">
        <f t="shared" ref="AQ24" si="153">$C$24*AO24</f>
        <v>100000</v>
      </c>
      <c r="AS24" s="906">
        <f t="shared" ref="AS24" si="154">$C$24*AQ24</f>
        <v>100000</v>
      </c>
      <c r="AU24" s="906">
        <f t="shared" ref="AU24" si="155">$C$24*AS24</f>
        <v>100000</v>
      </c>
      <c r="AW24" s="906">
        <f t="shared" ref="AW24" si="156">$C$24*AU24</f>
        <v>100000</v>
      </c>
      <c r="AY24" s="906">
        <f t="shared" ref="AY24" si="157">$C$24*AW24</f>
        <v>100000</v>
      </c>
      <c r="BA24" s="906">
        <f t="shared" ref="BA24" si="158">$C$24*AY24</f>
        <v>100000</v>
      </c>
      <c r="BC24" s="906">
        <f t="shared" ref="BC24" si="159">$C$24*BA24</f>
        <v>100000</v>
      </c>
      <c r="BE24" s="906">
        <f t="shared" ref="BE24" si="160">$C$24*BC24</f>
        <v>100000</v>
      </c>
      <c r="BG24" s="906">
        <f t="shared" ref="BG24" si="161">$C$24*BE24</f>
        <v>100000</v>
      </c>
      <c r="BI24" s="906">
        <f t="shared" ref="BI24" si="162">$C$24*BG24</f>
        <v>100000</v>
      </c>
      <c r="BK24" s="906">
        <f t="shared" ref="BK24" si="163">$C$24*BI24</f>
        <v>100000</v>
      </c>
      <c r="BM24" s="906">
        <f t="shared" ref="BM24" si="164">$C$24*BK24</f>
        <v>100000</v>
      </c>
      <c r="BO24" s="906">
        <f t="shared" ref="BO24" si="165">$C$24*BM24</f>
        <v>100000</v>
      </c>
      <c r="BQ24" s="906">
        <f t="shared" ref="BQ24" si="166">$C$24*BO24</f>
        <v>100000</v>
      </c>
      <c r="BS24" s="906">
        <f t="shared" ref="BS24" si="167">$C$24*BQ24</f>
        <v>100000</v>
      </c>
      <c r="BU24" s="906">
        <f t="shared" ref="BU24" si="168">$C$24*BS24</f>
        <v>100000</v>
      </c>
      <c r="BW24" s="906">
        <f t="shared" ref="BW24" si="169">$C$24*BU24</f>
        <v>100000</v>
      </c>
      <c r="BY24" s="906">
        <f t="shared" ref="BY24" si="170">$C$24*BW24</f>
        <v>100000</v>
      </c>
      <c r="CA24" s="906">
        <f t="shared" ref="CA24" si="171">$C$24*BY24</f>
        <v>100000</v>
      </c>
      <c r="CC24" s="906">
        <f t="shared" ref="CC24" si="172">$C$24*CA24</f>
        <v>100000</v>
      </c>
      <c r="CE24" s="906">
        <f t="shared" ref="CE24" si="173">$C$24*CC24</f>
        <v>100000</v>
      </c>
      <c r="CG24" s="906">
        <f t="shared" ref="CG24" si="174">$C$24*CE24</f>
        <v>100000</v>
      </c>
      <c r="CI24" s="906">
        <f t="shared" ref="CI24" si="175">$C$24*CG24</f>
        <v>100000</v>
      </c>
      <c r="CK24" s="906">
        <f t="shared" ref="CK24" si="176">$C$24*CI24</f>
        <v>100000</v>
      </c>
      <c r="CM24" s="906">
        <f t="shared" ref="CM24" si="177">$C$24*CK24</f>
        <v>100000</v>
      </c>
      <c r="CO24" s="906">
        <f t="shared" ref="CO24" si="178">$C$24*CM24</f>
        <v>100000</v>
      </c>
      <c r="CQ24" s="906">
        <f t="shared" ref="CQ24" si="179">$C$24*CO24</f>
        <v>100000</v>
      </c>
      <c r="CS24" s="906">
        <f t="shared" ref="CS24" si="180">$C$24*CQ24</f>
        <v>100000</v>
      </c>
      <c r="CU24" s="906">
        <f t="shared" ref="CU24" si="181">$C$24*CS24</f>
        <v>100000</v>
      </c>
      <c r="CW24" s="906">
        <f t="shared" ref="CW24" si="182">$C$24*CU24</f>
        <v>100000</v>
      </c>
      <c r="CY24" s="906">
        <f t="shared" ref="CY24" si="183">$C$24*CW24</f>
        <v>100000</v>
      </c>
      <c r="DA24" s="906">
        <f t="shared" ref="DA24" si="184">$C$24*CY24</f>
        <v>100000</v>
      </c>
      <c r="DC24" s="906">
        <f t="shared" ref="DC24" si="185">$C$24*DA24</f>
        <v>100000</v>
      </c>
      <c r="DE24" s="906">
        <f t="shared" ref="DE24" si="186">$C$24*DC24</f>
        <v>100000</v>
      </c>
      <c r="DG24" s="906">
        <f t="shared" ref="DG24" si="187">$C$24*DE24</f>
        <v>100000</v>
      </c>
      <c r="DI24" s="906">
        <f t="shared" ref="DI24" si="188">$C$24*DG24</f>
        <v>100000</v>
      </c>
      <c r="DK24" s="906">
        <f t="shared" ref="DK24" si="189">$C$24*DI24</f>
        <v>100000</v>
      </c>
      <c r="DM24" s="906">
        <f t="shared" ref="DM24" si="190">$C$24*DK24</f>
        <v>100000</v>
      </c>
      <c r="DO24" s="906">
        <f t="shared" ref="DO24" si="191">$C$24*DM24</f>
        <v>100000</v>
      </c>
      <c r="DQ24" s="906">
        <f t="shared" ref="DQ24" si="192">$C$24*DO24</f>
        <v>100000</v>
      </c>
      <c r="DS24" s="906">
        <f t="shared" ref="DS24" si="193">$C$24*DQ24</f>
        <v>100000</v>
      </c>
      <c r="DU24" s="906">
        <f t="shared" ref="DU24" si="194">$C$24*DS24</f>
        <v>100000</v>
      </c>
      <c r="DW24" s="906">
        <f t="shared" ref="DW24" si="195">$C$24*DU24</f>
        <v>100000</v>
      </c>
      <c r="DY24" s="906">
        <f t="shared" ref="DY24" si="196">$C$24*DW24</f>
        <v>100000</v>
      </c>
      <c r="EA24" s="906">
        <f t="shared" ref="EA24" si="197">$C$24*DY24</f>
        <v>100000</v>
      </c>
      <c r="EC24" s="906">
        <f t="shared" ref="EC24" si="198">$C$24*EA24</f>
        <v>100000</v>
      </c>
      <c r="EE24" s="906">
        <f t="shared" ref="EE24" si="199">$C$24*EC24</f>
        <v>100000</v>
      </c>
      <c r="EG24" s="906">
        <f t="shared" ref="EG24" si="200">$C$24*EE24</f>
        <v>100000</v>
      </c>
      <c r="EI24" s="906">
        <f t="shared" ref="EI24" si="201">$C$24*EG24</f>
        <v>100000</v>
      </c>
      <c r="EK24" s="906">
        <f t="shared" ref="EK24" si="202">$C$24*EI24</f>
        <v>100000</v>
      </c>
      <c r="EM24" s="906">
        <f t="shared" ref="EM24" si="203">$C$24*EK24</f>
        <v>100000</v>
      </c>
      <c r="EO24" s="906">
        <f t="shared" ref="EO24" si="204">$C$24*EM24</f>
        <v>100000</v>
      </c>
      <c r="EQ24" s="906">
        <f t="shared" ref="EQ24" si="205">$C$24*EO24</f>
        <v>100000</v>
      </c>
      <c r="ES24" s="906">
        <f t="shared" ref="ES24" si="206">$C$24*EQ24</f>
        <v>100000</v>
      </c>
      <c r="EU24" s="906">
        <f t="shared" ref="EU24" si="207">$C$24*ES24</f>
        <v>100000</v>
      </c>
      <c r="EW24" s="906">
        <f t="shared" ref="EW24" si="208">$C$24*EU24</f>
        <v>100000</v>
      </c>
      <c r="EY24" s="906">
        <f t="shared" ref="EY24" si="209">$C$24*EW24</f>
        <v>100000</v>
      </c>
      <c r="FA24" s="906">
        <f t="shared" ref="FA24" si="210">$C$24*EY24</f>
        <v>100000</v>
      </c>
      <c r="FC24" s="906">
        <f t="shared" ref="FC24" si="211">$C$24*FA24</f>
        <v>100000</v>
      </c>
      <c r="FE24" s="906">
        <f t="shared" ref="FE24" si="212">$C$24*FC24</f>
        <v>100000</v>
      </c>
      <c r="FG24" s="906">
        <f t="shared" ref="FG24" si="213">$C$24*FE24</f>
        <v>100000</v>
      </c>
      <c r="FI24" s="906">
        <f t="shared" ref="FI24" si="214">$C$24*FG24</f>
        <v>100000</v>
      </c>
      <c r="FK24" s="906">
        <f t="shared" ref="FK24" si="215">$C$24*FI24</f>
        <v>100000</v>
      </c>
      <c r="FM24" s="906">
        <f t="shared" ref="FM24" si="216">$C$24*FK24</f>
        <v>100000</v>
      </c>
      <c r="FO24" s="906">
        <f t="shared" ref="FO24" si="217">$C$24*FM24</f>
        <v>100000</v>
      </c>
      <c r="FQ24" s="906">
        <f t="shared" ref="FQ24" si="218">$C$24*FO24</f>
        <v>100000</v>
      </c>
      <c r="FS24" s="906">
        <f t="shared" ref="FS24" si="219">$C$24*FQ24</f>
        <v>100000</v>
      </c>
      <c r="FU24" s="906">
        <f t="shared" ref="FU24" si="220">$C$24*FS24</f>
        <v>100000</v>
      </c>
      <c r="FW24" s="906">
        <f t="shared" ref="FW24" si="221">$C$24*FU24</f>
        <v>100000</v>
      </c>
      <c r="FY24" s="906">
        <f t="shared" ref="FY24" si="222">$C$24*FW24</f>
        <v>100000</v>
      </c>
      <c r="GA24" s="906">
        <f t="shared" ref="GA24" si="223">$C$24*FY24</f>
        <v>100000</v>
      </c>
      <c r="GC24" s="906">
        <f t="shared" ref="GC24" si="224">$C$24*GA24</f>
        <v>100000</v>
      </c>
      <c r="GE24" s="906">
        <f t="shared" ref="GE24" si="225">$C$24*GC24</f>
        <v>100000</v>
      </c>
      <c r="GG24" s="906">
        <f t="shared" ref="GG24" si="226">$C$24*GE24</f>
        <v>100000</v>
      </c>
      <c r="GI24" s="906">
        <f t="shared" ref="GI24" si="227">$C$24*GG24</f>
        <v>100000</v>
      </c>
      <c r="GK24" s="906">
        <f t="shared" ref="GK24" si="228">$C$24*GI24</f>
        <v>100000</v>
      </c>
      <c r="GM24" s="906">
        <f t="shared" ref="GM24" si="229">$C$24*GK24</f>
        <v>100000</v>
      </c>
      <c r="GO24" s="906">
        <f t="shared" ref="GO24" si="230">$C$24*GM24</f>
        <v>100000</v>
      </c>
      <c r="GQ24" s="906">
        <f t="shared" ref="GQ24" si="231">$C$24*GO24</f>
        <v>100000</v>
      </c>
      <c r="GS24" s="906">
        <f t="shared" ref="GS24" si="232">$C$24*GQ24</f>
        <v>100000</v>
      </c>
      <c r="GU24" s="906">
        <f t="shared" ref="GU24" si="233">$C$24*GS24</f>
        <v>100000</v>
      </c>
      <c r="GW24" s="906">
        <f t="shared" ref="GW24" si="234">$C$24*GU24</f>
        <v>100000</v>
      </c>
      <c r="GY24" s="906">
        <f t="shared" ref="GY24" si="235">$C$24*GW24</f>
        <v>100000</v>
      </c>
      <c r="HA24" s="906">
        <f t="shared" ref="HA24" si="236">$C$24*GY24</f>
        <v>100000</v>
      </c>
      <c r="HC24" s="906">
        <f t="shared" ref="HC24" si="237">$C$24*HA24</f>
        <v>100000</v>
      </c>
      <c r="HE24" s="906">
        <f t="shared" ref="HE24" si="238">$C$24*HC24</f>
        <v>100000</v>
      </c>
      <c r="HG24" s="906">
        <f t="shared" ref="HG24" si="239">$C$24*HE24</f>
        <v>100000</v>
      </c>
      <c r="HI24" s="906">
        <f t="shared" ref="HI24" si="240">$C$24*HG24</f>
        <v>100000</v>
      </c>
      <c r="HK24" s="906">
        <f t="shared" ref="HK24" si="241">$C$24*HI24</f>
        <v>100000</v>
      </c>
      <c r="HM24" s="906">
        <f t="shared" ref="HM24" si="242">$C$24*HK24</f>
        <v>100000</v>
      </c>
      <c r="HO24" s="906">
        <f t="shared" ref="HO24" si="243">$C$24*HM24</f>
        <v>100000</v>
      </c>
      <c r="HQ24" s="906">
        <f t="shared" ref="HQ24" si="244">$C$24*HO24</f>
        <v>100000</v>
      </c>
      <c r="HS24" s="906">
        <f t="shared" ref="HS24" si="245">$C$24*HQ24</f>
        <v>100000</v>
      </c>
      <c r="HU24" s="906">
        <f t="shared" ref="HU24" si="246">$C$24*HS24</f>
        <v>100000</v>
      </c>
      <c r="HW24" s="906">
        <f t="shared" ref="HW24" si="247">$C$24*HU24</f>
        <v>100000</v>
      </c>
      <c r="HY24" s="906">
        <f t="shared" ref="HY24" si="248">$C$24*HW24</f>
        <v>100000</v>
      </c>
      <c r="IA24" s="906">
        <f t="shared" ref="IA24" si="249">$C$24*HY24</f>
        <v>100000</v>
      </c>
      <c r="IC24" s="906">
        <f t="shared" ref="IC24" si="250">$C$24*IA24</f>
        <v>100000</v>
      </c>
      <c r="IE24" s="906">
        <f t="shared" ref="IE24" si="251">$C$24*IC24</f>
        <v>100000</v>
      </c>
      <c r="IG24" s="906">
        <f t="shared" ref="IG24" si="252">$C$24*IE24</f>
        <v>100000</v>
      </c>
      <c r="II24" s="906">
        <f t="shared" ref="II24" si="253">$C$24*IG24</f>
        <v>100000</v>
      </c>
      <c r="IK24" s="906">
        <f t="shared" ref="IK24" si="254">$C$24*II24</f>
        <v>100000</v>
      </c>
      <c r="IM24" s="906">
        <f t="shared" ref="IM24" si="255">$C$24*IK24</f>
        <v>100000</v>
      </c>
      <c r="IO24" s="906">
        <f t="shared" ref="IO24" si="256">$C$24*IM24</f>
        <v>100000</v>
      </c>
      <c r="IQ24" s="906">
        <f t="shared" ref="IQ24" si="257">$C$24*IO24</f>
        <v>100000</v>
      </c>
      <c r="IS24" s="906">
        <f t="shared" ref="IS24" si="258">$C$24*IQ24</f>
        <v>100000</v>
      </c>
      <c r="IU24" s="906">
        <f t="shared" ref="IU24" si="259">$C$24*IS24</f>
        <v>100000</v>
      </c>
      <c r="IW24" s="906">
        <f t="shared" ref="IW24" si="260">$C$24*IU24</f>
        <v>100000</v>
      </c>
      <c r="IY24" s="906">
        <f t="shared" ref="IY24" si="261">$C$24*IW24</f>
        <v>100000</v>
      </c>
      <c r="JA24" s="906">
        <f t="shared" ref="JA24" si="262">$C$24*IY24</f>
        <v>100000</v>
      </c>
      <c r="JC24" s="906">
        <f t="shared" ref="JC24" si="263">$C$24*JA24</f>
        <v>100000</v>
      </c>
      <c r="JE24" s="906">
        <f t="shared" ref="JE24" si="264">$C$24*JC24</f>
        <v>100000</v>
      </c>
      <c r="JG24" s="906">
        <f t="shared" ref="JG24" si="265">$C$24*JE24</f>
        <v>100000</v>
      </c>
      <c r="JI24" s="906">
        <f t="shared" ref="JI24" si="266">$C$24*JG24</f>
        <v>100000</v>
      </c>
      <c r="JK24" s="906">
        <f t="shared" ref="JK24" si="267">$C$24*JI24</f>
        <v>100000</v>
      </c>
      <c r="JM24" s="906">
        <f t="shared" ref="JM24" si="268">$C$24*JK24</f>
        <v>100000</v>
      </c>
      <c r="JO24" s="906">
        <f t="shared" ref="JO24" si="269">$C$24*JM24</f>
        <v>100000</v>
      </c>
      <c r="JQ24" s="906">
        <f t="shared" ref="JQ24" si="270">$C$24*JO24</f>
        <v>100000</v>
      </c>
      <c r="JS24" s="906">
        <f t="shared" ref="JS24" si="271">$C$24*JQ24</f>
        <v>100000</v>
      </c>
      <c r="JU24" s="906">
        <f t="shared" ref="JU24" si="272">$C$24*JS24</f>
        <v>100000</v>
      </c>
      <c r="JW24" s="906">
        <f t="shared" ref="JW24" si="273">$C$24*JU24</f>
        <v>100000</v>
      </c>
      <c r="JY24" s="906">
        <f t="shared" ref="JY24" si="274">$C$24*JW24</f>
        <v>100000</v>
      </c>
      <c r="KA24" s="906">
        <f t="shared" ref="KA24" si="275">$C$24*JY24</f>
        <v>100000</v>
      </c>
      <c r="KC24" s="906">
        <f t="shared" ref="KC24" si="276">$C$24*KA24</f>
        <v>100000</v>
      </c>
      <c r="KE24" s="906">
        <f t="shared" ref="KE24" si="277">$C$24*KC24</f>
        <v>100000</v>
      </c>
      <c r="KG24" s="906">
        <f t="shared" ref="KG24" si="278">$C$24*KE24</f>
        <v>100000</v>
      </c>
      <c r="KI24" s="906">
        <f t="shared" ref="KI24" si="279">$C$24*KG24</f>
        <v>100000</v>
      </c>
      <c r="KK24" s="906">
        <f t="shared" ref="KK24" si="280">$C$24*KI24</f>
        <v>100000</v>
      </c>
      <c r="KM24" s="906">
        <f t="shared" ref="KM24" si="281">$C$24*KK24</f>
        <v>100000</v>
      </c>
      <c r="KO24" s="906">
        <f t="shared" ref="KO24" si="282">$C$24*KM24</f>
        <v>100000</v>
      </c>
      <c r="KQ24" s="906">
        <f t="shared" ref="KQ24" si="283">$C$24*KO24</f>
        <v>100000</v>
      </c>
      <c r="KS24" s="906">
        <f t="shared" ref="KS24" si="284">$C$24*KQ24</f>
        <v>100000</v>
      </c>
      <c r="KU24" s="906">
        <f t="shared" ref="KU24" si="285">$C$24*KS24</f>
        <v>100000</v>
      </c>
      <c r="KW24" s="906">
        <f t="shared" ref="KW24" si="286">$C$24*KU24</f>
        <v>100000</v>
      </c>
      <c r="KY24" s="906">
        <f t="shared" ref="KY24" si="287">$C$24*KW24</f>
        <v>100000</v>
      </c>
      <c r="LA24" s="906">
        <f t="shared" ref="LA24" si="288">$C$24*KY24</f>
        <v>100000</v>
      </c>
      <c r="LC24" s="906">
        <f t="shared" ref="LC24" si="289">$C$24*LA24</f>
        <v>100000</v>
      </c>
      <c r="LE24" s="906">
        <f t="shared" ref="LE24" si="290">$C$24*LC24</f>
        <v>100000</v>
      </c>
      <c r="LG24" s="906">
        <f t="shared" ref="LG24" si="291">$C$24*LE24</f>
        <v>100000</v>
      </c>
      <c r="LI24" s="906">
        <f t="shared" ref="LI24" si="292">$C$24*LG24</f>
        <v>100000</v>
      </c>
      <c r="LK24" s="906">
        <f t="shared" ref="LK24" si="293">$C$24*LI24</f>
        <v>100000</v>
      </c>
      <c r="LM24" s="906">
        <f t="shared" ref="LM24" si="294">$C$24*LK24</f>
        <v>100000</v>
      </c>
      <c r="LO24" s="906">
        <f t="shared" ref="LO24" si="295">$C$24*LM24</f>
        <v>100000</v>
      </c>
      <c r="LQ24" s="906">
        <f t="shared" ref="LQ24" si="296">$C$24*LO24</f>
        <v>100000</v>
      </c>
      <c r="LS24" s="906">
        <f t="shared" ref="LS24" si="297">$C$24*LQ24</f>
        <v>100000</v>
      </c>
      <c r="LU24" s="906">
        <f t="shared" ref="LU24" si="298">$C$24*LS24</f>
        <v>100000</v>
      </c>
      <c r="LW24" s="906">
        <f t="shared" ref="LW24" si="299">$C$24*LU24</f>
        <v>100000</v>
      </c>
      <c r="LY24" s="906">
        <f t="shared" ref="LY24" si="300">$C$24*LW24</f>
        <v>100000</v>
      </c>
      <c r="MA24" s="906">
        <f t="shared" ref="MA24" si="301">$C$24*LY24</f>
        <v>100000</v>
      </c>
      <c r="MC24" s="906">
        <f t="shared" ref="MC24" si="302">$C$24*MA24</f>
        <v>100000</v>
      </c>
      <c r="ME24" s="906">
        <f t="shared" ref="ME24" si="303">$C$24*MC24</f>
        <v>100000</v>
      </c>
      <c r="MG24" s="906">
        <f t="shared" ref="MG24" si="304">$C$24*ME24</f>
        <v>100000</v>
      </c>
      <c r="MI24" s="906">
        <f t="shared" ref="MI24" si="305">$C$24*MG24</f>
        <v>100000</v>
      </c>
      <c r="MK24" s="906">
        <f t="shared" ref="MK24" si="306">$C$24*MI24</f>
        <v>100000</v>
      </c>
      <c r="MM24" s="906">
        <f t="shared" ref="MM24" si="307">$C$24*MK24</f>
        <v>100000</v>
      </c>
      <c r="MO24" s="906">
        <f t="shared" ref="MO24" si="308">$C$24*MM24</f>
        <v>100000</v>
      </c>
      <c r="MQ24" s="906">
        <f t="shared" ref="MQ24" si="309">$C$24*MO24</f>
        <v>100000</v>
      </c>
      <c r="MS24" s="906">
        <f t="shared" ref="MS24" si="310">$C$24*MQ24</f>
        <v>100000</v>
      </c>
      <c r="MU24" s="906">
        <f t="shared" ref="MU24" si="311">$C$24*MS24</f>
        <v>100000</v>
      </c>
      <c r="MW24" s="906">
        <f t="shared" ref="MW24" si="312">$C$24*MU24</f>
        <v>100000</v>
      </c>
      <c r="MY24" s="906">
        <f t="shared" ref="MY24" si="313">$C$24*MW24</f>
        <v>100000</v>
      </c>
      <c r="NA24" s="906">
        <f t="shared" ref="NA24" si="314">$C$24*MY24</f>
        <v>100000</v>
      </c>
      <c r="NC24" s="906">
        <f t="shared" ref="NC24" si="315">$C$24*NA24</f>
        <v>100000</v>
      </c>
      <c r="NE24" s="906">
        <f t="shared" ref="NE24" si="316">$C$24*NC24</f>
        <v>100000</v>
      </c>
      <c r="NG24" s="906">
        <f t="shared" ref="NG24" si="317">$C$24*NE24</f>
        <v>100000</v>
      </c>
      <c r="NI24" s="906">
        <f t="shared" ref="NI24" si="318">$C$24*NG24</f>
        <v>100000</v>
      </c>
      <c r="NK24" s="906">
        <f t="shared" ref="NK24" si="319">$C$24*NI24</f>
        <v>100000</v>
      </c>
      <c r="NM24" s="906">
        <f t="shared" ref="NM24" si="320">$C$24*NK24</f>
        <v>100000</v>
      </c>
      <c r="NO24" s="906">
        <f t="shared" ref="NO24" si="321">$C$24*NM24</f>
        <v>100000</v>
      </c>
      <c r="NQ24" s="906">
        <f t="shared" ref="NQ24" si="322">$C$24*NO24</f>
        <v>100000</v>
      </c>
      <c r="NS24" s="906">
        <f t="shared" ref="NS24" si="323">$C$24*NQ24</f>
        <v>100000</v>
      </c>
      <c r="NU24" s="906">
        <f t="shared" ref="NU24" si="324">$C$24*NS24</f>
        <v>100000</v>
      </c>
      <c r="NW24" s="906">
        <f t="shared" ref="NW24" si="325">$C$24*NU24</f>
        <v>100000</v>
      </c>
      <c r="NY24" s="906">
        <f t="shared" ref="NY24" si="326">$C$24*NW24</f>
        <v>100000</v>
      </c>
      <c r="OA24" s="906">
        <f t="shared" ref="OA24" si="327">$C$24*NY24</f>
        <v>100000</v>
      </c>
      <c r="OC24" s="906">
        <f t="shared" ref="OC24" si="328">$C$24*OA24</f>
        <v>100000</v>
      </c>
      <c r="OE24" s="906">
        <f t="shared" ref="OE24" si="329">$C$24*OC24</f>
        <v>100000</v>
      </c>
      <c r="OG24" s="906">
        <f t="shared" ref="OG24" si="330">$C$24*OE24</f>
        <v>100000</v>
      </c>
      <c r="OI24" s="906">
        <f t="shared" ref="OI24" si="331">$C$24*OG24</f>
        <v>100000</v>
      </c>
      <c r="OK24" s="906">
        <f t="shared" ref="OK24" si="332">$C$24*OI24</f>
        <v>100000</v>
      </c>
      <c r="OM24" s="906">
        <f t="shared" ref="OM24" si="333">$C$24*OK24</f>
        <v>100000</v>
      </c>
      <c r="OO24" s="906">
        <f t="shared" ref="OO24" si="334">$C$24*OM24</f>
        <v>100000</v>
      </c>
      <c r="OQ24" s="906">
        <f t="shared" ref="OQ24" si="335">$C$24*OO24</f>
        <v>100000</v>
      </c>
      <c r="OS24" s="906">
        <f t="shared" ref="OS24" si="336">$C$24*OQ24</f>
        <v>100000</v>
      </c>
      <c r="OU24" s="906">
        <f t="shared" ref="OU24" si="337">$C$24*OS24</f>
        <v>100000</v>
      </c>
      <c r="OW24" s="906">
        <f t="shared" ref="OW24" si="338">$C$24*OU24</f>
        <v>100000</v>
      </c>
      <c r="OY24" s="906">
        <f t="shared" ref="OY24" si="339">$C$24*OW24</f>
        <v>100000</v>
      </c>
      <c r="PA24" s="906">
        <f t="shared" ref="PA24" si="340">$C$24*OY24</f>
        <v>100000</v>
      </c>
      <c r="PC24" s="906">
        <f t="shared" ref="PC24" si="341">$C$24*PA24</f>
        <v>100000</v>
      </c>
      <c r="PE24" s="906">
        <f t="shared" ref="PE24" si="342">$C$24*PC24</f>
        <v>100000</v>
      </c>
      <c r="PG24" s="906">
        <f t="shared" ref="PG24" si="343">$C$24*PE24</f>
        <v>100000</v>
      </c>
      <c r="PI24" s="906">
        <f t="shared" ref="PI24" si="344">$C$24*PG24</f>
        <v>100000</v>
      </c>
      <c r="PK24" s="906">
        <f t="shared" ref="PK24" si="345">$C$24*PI24</f>
        <v>100000</v>
      </c>
      <c r="PM24" s="906">
        <f t="shared" ref="PM24" si="346">$C$24*PK24</f>
        <v>100000</v>
      </c>
      <c r="PO24" s="906">
        <f t="shared" ref="PO24" si="347">$C$24*PM24</f>
        <v>100000</v>
      </c>
      <c r="PQ24" s="906">
        <f t="shared" ref="PQ24" si="348">$C$24*PO24</f>
        <v>100000</v>
      </c>
      <c r="PS24" s="906">
        <f t="shared" ref="PS24" si="349">$C$24*PQ24</f>
        <v>100000</v>
      </c>
      <c r="PU24" s="906">
        <f t="shared" ref="PU24" si="350">$C$24*PS24</f>
        <v>100000</v>
      </c>
      <c r="PW24" s="906">
        <f t="shared" ref="PW24" si="351">$C$24*PU24</f>
        <v>100000</v>
      </c>
      <c r="PY24" s="906">
        <f t="shared" ref="PY24" si="352">$C$24*PW24</f>
        <v>100000</v>
      </c>
      <c r="QA24" s="906">
        <f t="shared" ref="QA24" si="353">$C$24*PY24</f>
        <v>100000</v>
      </c>
      <c r="QC24" s="906">
        <f t="shared" ref="QC24" si="354">$C$24*QA24</f>
        <v>100000</v>
      </c>
      <c r="QE24" s="906">
        <f t="shared" ref="QE24" si="355">$C$24*QC24</f>
        <v>100000</v>
      </c>
      <c r="QG24" s="906">
        <f t="shared" ref="QG24" si="356">$C$24*QE24</f>
        <v>100000</v>
      </c>
      <c r="QI24" s="906">
        <f t="shared" ref="QI24" si="357">$C$24*QG24</f>
        <v>100000</v>
      </c>
      <c r="QK24" s="906">
        <f t="shared" ref="QK24" si="358">$C$24*QI24</f>
        <v>100000</v>
      </c>
      <c r="QM24" s="906">
        <f t="shared" ref="QM24" si="359">$C$24*QK24</f>
        <v>100000</v>
      </c>
      <c r="QO24" s="906">
        <f t="shared" ref="QO24" si="360">$C$24*QM24</f>
        <v>100000</v>
      </c>
      <c r="QQ24" s="906">
        <f t="shared" ref="QQ24" si="361">$C$24*QO24</f>
        <v>100000</v>
      </c>
      <c r="QS24" s="906">
        <f t="shared" ref="QS24" si="362">$C$24*QQ24</f>
        <v>100000</v>
      </c>
      <c r="QU24" s="906">
        <f t="shared" ref="QU24" si="363">$C$24*QS24</f>
        <v>100000</v>
      </c>
      <c r="QW24" s="906">
        <f t="shared" ref="QW24" si="364">$C$24*QU24</f>
        <v>100000</v>
      </c>
      <c r="QY24" s="906">
        <f t="shared" ref="QY24" si="365">$C$24*QW24</f>
        <v>100000</v>
      </c>
      <c r="RA24" s="906">
        <f t="shared" ref="RA24" si="366">$C$24*QY24</f>
        <v>100000</v>
      </c>
      <c r="RC24" s="906">
        <f t="shared" ref="RC24" si="367">$C$24*RA24</f>
        <v>100000</v>
      </c>
      <c r="RE24" s="906">
        <f t="shared" ref="RE24" si="368">$C$24*RC24</f>
        <v>100000</v>
      </c>
      <c r="RG24" s="906">
        <f t="shared" ref="RG24" si="369">$C$24*RE24</f>
        <v>100000</v>
      </c>
      <c r="RI24" s="906">
        <f t="shared" ref="RI24" si="370">$C$24*RG24</f>
        <v>100000</v>
      </c>
      <c r="RK24" s="906">
        <f t="shared" ref="RK24" si="371">$C$24*RI24</f>
        <v>100000</v>
      </c>
      <c r="RM24" s="906">
        <f t="shared" ref="RM24" si="372">$C$24*RK24</f>
        <v>100000</v>
      </c>
      <c r="RO24" s="906">
        <f t="shared" ref="RO24" si="373">$C$24*RM24</f>
        <v>100000</v>
      </c>
      <c r="RQ24" s="906">
        <f t="shared" ref="RQ24" si="374">$C$24*RO24</f>
        <v>100000</v>
      </c>
      <c r="RS24" s="906">
        <f t="shared" ref="RS24" si="375">$C$24*RQ24</f>
        <v>100000</v>
      </c>
      <c r="RU24" s="906">
        <f t="shared" ref="RU24" si="376">$C$24*RS24</f>
        <v>100000</v>
      </c>
      <c r="RW24" s="906">
        <f t="shared" ref="RW24" si="377">$C$24*RU24</f>
        <v>100000</v>
      </c>
      <c r="RY24" s="906">
        <f t="shared" ref="RY24" si="378">$C$24*RW24</f>
        <v>100000</v>
      </c>
      <c r="SA24" s="906">
        <f t="shared" ref="SA24" si="379">$C$24*RY24</f>
        <v>100000</v>
      </c>
      <c r="SC24" s="906">
        <f t="shared" ref="SC24" si="380">$C$24*SA24</f>
        <v>100000</v>
      </c>
      <c r="SE24" s="906">
        <f t="shared" ref="SE24" si="381">$C$24*SC24</f>
        <v>100000</v>
      </c>
      <c r="SG24" s="906">
        <f t="shared" ref="SG24" si="382">$C$24*SE24</f>
        <v>100000</v>
      </c>
      <c r="SI24" s="906">
        <f t="shared" ref="SI24" si="383">$C$24*SG24</f>
        <v>100000</v>
      </c>
      <c r="SK24" s="906">
        <f t="shared" ref="SK24" si="384">$C$24*SI24</f>
        <v>100000</v>
      </c>
      <c r="SM24" s="906">
        <f t="shared" ref="SM24" si="385">$C$24*SK24</f>
        <v>100000</v>
      </c>
      <c r="SO24" s="906">
        <f t="shared" ref="SO24" si="386">$C$24*SM24</f>
        <v>100000</v>
      </c>
      <c r="SQ24" s="906">
        <f t="shared" ref="SQ24" si="387">$C$24*SO24</f>
        <v>100000</v>
      </c>
      <c r="SS24" s="906">
        <f t="shared" ref="SS24" si="388">$C$24*SQ24</f>
        <v>100000</v>
      </c>
      <c r="SU24" s="906">
        <f t="shared" ref="SU24" si="389">$C$24*SS24</f>
        <v>100000</v>
      </c>
      <c r="SW24" s="906">
        <f t="shared" ref="SW24" si="390">$C$24*SU24</f>
        <v>100000</v>
      </c>
      <c r="SY24" s="906">
        <f t="shared" ref="SY24" si="391">$C$24*SW24</f>
        <v>100000</v>
      </c>
      <c r="TA24" s="906">
        <f t="shared" ref="TA24" si="392">$C$24*SY24</f>
        <v>100000</v>
      </c>
      <c r="TC24" s="906">
        <f t="shared" ref="TC24" si="393">$C$24*TA24</f>
        <v>100000</v>
      </c>
      <c r="TE24" s="906">
        <f t="shared" ref="TE24" si="394">$C$24*TC24</f>
        <v>100000</v>
      </c>
      <c r="TG24" s="906">
        <f t="shared" ref="TG24" si="395">$C$24*TE24</f>
        <v>100000</v>
      </c>
      <c r="TI24" s="906">
        <f t="shared" ref="TI24" si="396">$C$24*TG24</f>
        <v>100000</v>
      </c>
      <c r="TK24" s="906">
        <f t="shared" ref="TK24" si="397">$C$24*TI24</f>
        <v>100000</v>
      </c>
      <c r="TM24" s="906">
        <f t="shared" ref="TM24" si="398">$C$24*TK24</f>
        <v>100000</v>
      </c>
      <c r="TO24" s="906">
        <f t="shared" ref="TO24" si="399">$C$24*TM24</f>
        <v>100000</v>
      </c>
      <c r="TQ24" s="906">
        <f t="shared" ref="TQ24" si="400">$C$24*TO24</f>
        <v>100000</v>
      </c>
      <c r="TS24" s="906">
        <f t="shared" ref="TS24" si="401">$C$24*TQ24</f>
        <v>100000</v>
      </c>
      <c r="TU24" s="906">
        <f t="shared" ref="TU24" si="402">$C$24*TS24</f>
        <v>100000</v>
      </c>
      <c r="TW24" s="906">
        <f t="shared" ref="TW24" si="403">$C$24*TU24</f>
        <v>100000</v>
      </c>
      <c r="TY24" s="906">
        <f t="shared" ref="TY24" si="404">$C$24*TW24</f>
        <v>100000</v>
      </c>
      <c r="UA24" s="906">
        <f t="shared" ref="UA24" si="405">$C$24*TY24</f>
        <v>100000</v>
      </c>
      <c r="UC24" s="906">
        <f t="shared" ref="UC24" si="406">$C$24*UA24</f>
        <v>100000</v>
      </c>
      <c r="UE24" s="906">
        <f t="shared" ref="UE24" si="407">$C$24*UC24</f>
        <v>100000</v>
      </c>
      <c r="UG24" s="906">
        <f t="shared" ref="UG24" si="408">$C$24*UE24</f>
        <v>100000</v>
      </c>
      <c r="UI24" s="906">
        <f t="shared" ref="UI24" si="409">$C$24*UG24</f>
        <v>100000</v>
      </c>
      <c r="UK24" s="906">
        <f t="shared" ref="UK24" si="410">$C$24*UI24</f>
        <v>100000</v>
      </c>
      <c r="UM24" s="906">
        <f t="shared" ref="UM24" si="411">$C$24*UK24</f>
        <v>100000</v>
      </c>
      <c r="UO24" s="906">
        <f t="shared" ref="UO24" si="412">$C$24*UM24</f>
        <v>100000</v>
      </c>
      <c r="UQ24" s="906">
        <f t="shared" ref="UQ24" si="413">$C$24*UO24</f>
        <v>100000</v>
      </c>
      <c r="US24" s="906">
        <f t="shared" ref="US24" si="414">$C$24*UQ24</f>
        <v>100000</v>
      </c>
      <c r="UU24" s="906">
        <f t="shared" ref="UU24" si="415">$C$24*US24</f>
        <v>100000</v>
      </c>
      <c r="UW24" s="906">
        <f t="shared" ref="UW24" si="416">$C$24*UU24</f>
        <v>100000</v>
      </c>
      <c r="UY24" s="906">
        <f t="shared" ref="UY24" si="417">$C$24*UW24</f>
        <v>100000</v>
      </c>
      <c r="VA24" s="906">
        <f t="shared" ref="VA24" si="418">$C$24*UY24</f>
        <v>100000</v>
      </c>
      <c r="VC24" s="906">
        <f t="shared" ref="VC24" si="419">$C$24*VA24</f>
        <v>100000</v>
      </c>
      <c r="VE24" s="906">
        <f t="shared" ref="VE24" si="420">$C$24*VC24</f>
        <v>100000</v>
      </c>
      <c r="VG24" s="906">
        <f t="shared" ref="VG24" si="421">$C$24*VE24</f>
        <v>100000</v>
      </c>
      <c r="VI24" s="906">
        <f t="shared" ref="VI24" si="422">$C$24*VG24</f>
        <v>100000</v>
      </c>
      <c r="VK24" s="906">
        <f t="shared" ref="VK24" si="423">$C$24*VI24</f>
        <v>100000</v>
      </c>
      <c r="VM24" s="906">
        <f t="shared" ref="VM24" si="424">$C$24*VK24</f>
        <v>100000</v>
      </c>
      <c r="VO24" s="906">
        <f t="shared" ref="VO24" si="425">$C$24*VM24</f>
        <v>100000</v>
      </c>
      <c r="VQ24" s="906">
        <f t="shared" ref="VQ24" si="426">$C$24*VO24</f>
        <v>100000</v>
      </c>
      <c r="VS24" s="906">
        <f t="shared" ref="VS24" si="427">$C$24*VQ24</f>
        <v>100000</v>
      </c>
      <c r="VU24" s="906">
        <f t="shared" ref="VU24" si="428">$C$24*VS24</f>
        <v>100000</v>
      </c>
      <c r="VW24" s="906">
        <f t="shared" ref="VW24" si="429">$C$24*VU24</f>
        <v>100000</v>
      </c>
      <c r="VY24" s="906">
        <f t="shared" ref="VY24" si="430">$C$24*VW24</f>
        <v>100000</v>
      </c>
      <c r="WA24" s="906">
        <f t="shared" ref="WA24" si="431">$C$24*VY24</f>
        <v>100000</v>
      </c>
      <c r="WC24" s="906">
        <f t="shared" ref="WC24" si="432">$C$24*WA24</f>
        <v>100000</v>
      </c>
      <c r="WE24" s="906">
        <f t="shared" ref="WE24" si="433">$C$24*WC24</f>
        <v>100000</v>
      </c>
      <c r="WG24" s="906">
        <f t="shared" ref="WG24" si="434">$C$24*WE24</f>
        <v>100000</v>
      </c>
      <c r="WI24" s="906">
        <f t="shared" ref="WI24" si="435">$C$24*WG24</f>
        <v>100000</v>
      </c>
      <c r="WK24" s="906">
        <f t="shared" ref="WK24" si="436">$C$24*WI24</f>
        <v>100000</v>
      </c>
      <c r="WM24" s="906">
        <f t="shared" ref="WM24" si="437">$C$24*WK24</f>
        <v>100000</v>
      </c>
      <c r="WO24" s="906">
        <f t="shared" ref="WO24" si="438">$C$24*WM24</f>
        <v>100000</v>
      </c>
      <c r="WQ24" s="906">
        <f t="shared" ref="WQ24" si="439">$C$24*WO24</f>
        <v>100000</v>
      </c>
      <c r="WS24" s="906">
        <f t="shared" ref="WS24" si="440">$C$24*WQ24</f>
        <v>100000</v>
      </c>
      <c r="WU24" s="906">
        <f t="shared" ref="WU24" si="441">$C$24*WS24</f>
        <v>100000</v>
      </c>
      <c r="WW24" s="906">
        <f t="shared" ref="WW24" si="442">$C$24*WU24</f>
        <v>100000</v>
      </c>
      <c r="WY24" s="906">
        <f t="shared" ref="WY24" si="443">$C$24*WW24</f>
        <v>100000</v>
      </c>
      <c r="XA24" s="906">
        <f t="shared" ref="XA24" si="444">$C$24*WY24</f>
        <v>100000</v>
      </c>
      <c r="XC24" s="906">
        <f t="shared" ref="XC24" si="445">$C$24*XA24</f>
        <v>100000</v>
      </c>
      <c r="XE24" s="906">
        <f t="shared" ref="XE24" si="446">$C$24*XC24</f>
        <v>100000</v>
      </c>
      <c r="XG24" s="906">
        <f t="shared" ref="XG24" si="447">$C$24*XE24</f>
        <v>100000</v>
      </c>
      <c r="XI24" s="906">
        <f t="shared" ref="XI24" si="448">$C$24*XG24</f>
        <v>100000</v>
      </c>
      <c r="XK24" s="906">
        <f t="shared" ref="XK24" si="449">$C$24*XI24</f>
        <v>100000</v>
      </c>
      <c r="XM24" s="906">
        <f t="shared" ref="XM24" si="450">$C$24*XK24</f>
        <v>100000</v>
      </c>
      <c r="XO24" s="906">
        <f t="shared" ref="XO24" si="451">$C$24*XM24</f>
        <v>100000</v>
      </c>
      <c r="XQ24" s="906">
        <f t="shared" ref="XQ24" si="452">$C$24*XO24</f>
        <v>100000</v>
      </c>
      <c r="XS24" s="906">
        <f t="shared" ref="XS24" si="453">$C$24*XQ24</f>
        <v>100000</v>
      </c>
      <c r="XU24" s="906">
        <f t="shared" ref="XU24" si="454">$C$24*XS24</f>
        <v>100000</v>
      </c>
      <c r="XW24" s="906">
        <f t="shared" ref="XW24" si="455">$C$24*XU24</f>
        <v>100000</v>
      </c>
      <c r="XY24" s="906">
        <f t="shared" ref="XY24" si="456">$C$24*XW24</f>
        <v>100000</v>
      </c>
      <c r="YA24" s="906">
        <f t="shared" ref="YA24" si="457">$C$24*XY24</f>
        <v>100000</v>
      </c>
      <c r="YC24" s="906">
        <f t="shared" ref="YC24" si="458">$C$24*YA24</f>
        <v>100000</v>
      </c>
      <c r="YE24" s="906">
        <f t="shared" ref="YE24" si="459">$C$24*YC24</f>
        <v>100000</v>
      </c>
      <c r="YG24" s="906">
        <f t="shared" ref="YG24" si="460">$C$24*YE24</f>
        <v>100000</v>
      </c>
      <c r="YI24" s="906">
        <f t="shared" ref="YI24" si="461">$C$24*YG24</f>
        <v>100000</v>
      </c>
      <c r="YK24" s="906">
        <f t="shared" ref="YK24" si="462">$C$24*YI24</f>
        <v>100000</v>
      </c>
      <c r="YM24" s="906">
        <f t="shared" ref="YM24" si="463">$C$24*YK24</f>
        <v>100000</v>
      </c>
      <c r="YO24" s="906">
        <f t="shared" ref="YO24" si="464">$C$24*YM24</f>
        <v>100000</v>
      </c>
      <c r="YQ24" s="906">
        <f t="shared" ref="YQ24" si="465">$C$24*YO24</f>
        <v>100000</v>
      </c>
      <c r="YS24" s="906">
        <f t="shared" ref="YS24" si="466">$C$24*YQ24</f>
        <v>100000</v>
      </c>
      <c r="YU24" s="906">
        <f t="shared" ref="YU24" si="467">$C$24*YS24</f>
        <v>100000</v>
      </c>
      <c r="YW24" s="906">
        <f t="shared" ref="YW24" si="468">$C$24*YU24</f>
        <v>100000</v>
      </c>
      <c r="YY24" s="906">
        <f t="shared" ref="YY24" si="469">$C$24*YW24</f>
        <v>100000</v>
      </c>
      <c r="ZA24" s="906">
        <f t="shared" ref="ZA24" si="470">$C$24*YY24</f>
        <v>100000</v>
      </c>
      <c r="ZC24" s="906">
        <f t="shared" ref="ZC24" si="471">$C$24*ZA24</f>
        <v>100000</v>
      </c>
      <c r="ZE24" s="906">
        <f t="shared" ref="ZE24" si="472">$C$24*ZC24</f>
        <v>100000</v>
      </c>
      <c r="ZG24" s="906">
        <f t="shared" ref="ZG24" si="473">$C$24*ZE24</f>
        <v>100000</v>
      </c>
      <c r="ZI24" s="906">
        <f t="shared" ref="ZI24" si="474">$C$24*ZG24</f>
        <v>100000</v>
      </c>
      <c r="ZK24" s="906">
        <f t="shared" ref="ZK24" si="475">$C$24*ZI24</f>
        <v>100000</v>
      </c>
      <c r="ZM24" s="906">
        <f t="shared" ref="ZM24" si="476">$C$24*ZK24</f>
        <v>100000</v>
      </c>
      <c r="ZO24" s="906">
        <f t="shared" ref="ZO24" si="477">$C$24*ZM24</f>
        <v>100000</v>
      </c>
      <c r="ZQ24" s="906">
        <f t="shared" ref="ZQ24" si="478">$C$24*ZO24</f>
        <v>100000</v>
      </c>
      <c r="ZS24" s="906">
        <f t="shared" ref="ZS24" si="479">$C$24*ZQ24</f>
        <v>100000</v>
      </c>
      <c r="ZU24" s="906">
        <f t="shared" ref="ZU24" si="480">$C$24*ZS24</f>
        <v>100000</v>
      </c>
      <c r="ZW24" s="906">
        <f t="shared" ref="ZW24" si="481">$C$24*ZU24</f>
        <v>100000</v>
      </c>
      <c r="ZY24" s="906">
        <f t="shared" ref="ZY24" si="482">$C$24*ZW24</f>
        <v>100000</v>
      </c>
      <c r="AAA24" s="906">
        <f t="shared" ref="AAA24" si="483">$C$24*ZY24</f>
        <v>100000</v>
      </c>
      <c r="AAC24" s="906">
        <f t="shared" ref="AAC24" si="484">$C$24*AAA24</f>
        <v>100000</v>
      </c>
      <c r="AAE24" s="906">
        <f t="shared" ref="AAE24" si="485">$C$24*AAC24</f>
        <v>100000</v>
      </c>
      <c r="AAG24" s="906">
        <f t="shared" ref="AAG24" si="486">$C$24*AAE24</f>
        <v>100000</v>
      </c>
      <c r="AAI24" s="906">
        <f t="shared" ref="AAI24" si="487">$C$24*AAG24</f>
        <v>100000</v>
      </c>
      <c r="AAK24" s="906">
        <f t="shared" ref="AAK24" si="488">$C$24*AAI24</f>
        <v>100000</v>
      </c>
      <c r="AAM24" s="906">
        <f t="shared" ref="AAM24" si="489">$C$24*AAK24</f>
        <v>100000</v>
      </c>
      <c r="AAO24" s="906">
        <f t="shared" ref="AAO24" si="490">$C$24*AAM24</f>
        <v>100000</v>
      </c>
      <c r="AAQ24" s="906">
        <f t="shared" ref="AAQ24" si="491">$C$24*AAO24</f>
        <v>100000</v>
      </c>
      <c r="AAS24" s="906">
        <f t="shared" ref="AAS24" si="492">$C$24*AAQ24</f>
        <v>100000</v>
      </c>
      <c r="AAU24" s="906">
        <f t="shared" ref="AAU24" si="493">$C$24*AAS24</f>
        <v>100000</v>
      </c>
      <c r="AAW24" s="906">
        <f t="shared" ref="AAW24" si="494">$C$24*AAU24</f>
        <v>100000</v>
      </c>
      <c r="AAY24" s="906">
        <f t="shared" ref="AAY24" si="495">$C$24*AAW24</f>
        <v>100000</v>
      </c>
      <c r="ABA24" s="906">
        <f t="shared" ref="ABA24" si="496">$C$24*AAY24</f>
        <v>100000</v>
      </c>
      <c r="ABC24" s="906">
        <f t="shared" ref="ABC24" si="497">$C$24*ABA24</f>
        <v>100000</v>
      </c>
      <c r="ABE24" s="906">
        <f t="shared" ref="ABE24" si="498">$C$24*ABC24</f>
        <v>100000</v>
      </c>
      <c r="ABG24" s="906">
        <f t="shared" ref="ABG24" si="499">$C$24*ABE24</f>
        <v>100000</v>
      </c>
      <c r="ABI24" s="906">
        <f t="shared" ref="ABI24" si="500">$C$24*ABG24</f>
        <v>100000</v>
      </c>
      <c r="ABK24" s="906">
        <f t="shared" ref="ABK24" si="501">$C$24*ABI24</f>
        <v>100000</v>
      </c>
      <c r="ABM24" s="906">
        <f t="shared" ref="ABM24" si="502">$C$24*ABK24</f>
        <v>100000</v>
      </c>
      <c r="ABO24" s="906">
        <f t="shared" ref="ABO24" si="503">$C$24*ABM24</f>
        <v>100000</v>
      </c>
      <c r="ABQ24" s="906">
        <f t="shared" ref="ABQ24" si="504">$C$24*ABO24</f>
        <v>100000</v>
      </c>
      <c r="ABS24" s="906">
        <f t="shared" ref="ABS24" si="505">$C$24*ABQ24</f>
        <v>100000</v>
      </c>
      <c r="ABU24" s="906">
        <f t="shared" ref="ABU24" si="506">$C$24*ABS24</f>
        <v>100000</v>
      </c>
      <c r="ABW24" s="906">
        <f t="shared" ref="ABW24" si="507">$C$24*ABU24</f>
        <v>100000</v>
      </c>
      <c r="ABY24" s="906">
        <f t="shared" ref="ABY24" si="508">$C$24*ABW24</f>
        <v>100000</v>
      </c>
      <c r="ACA24" s="906">
        <f t="shared" ref="ACA24" si="509">$C$24*ABY24</f>
        <v>100000</v>
      </c>
      <c r="ACC24" s="906">
        <f t="shared" ref="ACC24" si="510">$C$24*ACA24</f>
        <v>100000</v>
      </c>
      <c r="ACE24" s="906">
        <f t="shared" ref="ACE24" si="511">$C$24*ACC24</f>
        <v>100000</v>
      </c>
      <c r="ACG24" s="906">
        <f t="shared" ref="ACG24" si="512">$C$24*ACE24</f>
        <v>100000</v>
      </c>
      <c r="ACI24" s="906">
        <f t="shared" ref="ACI24" si="513">$C$24*ACG24</f>
        <v>100000</v>
      </c>
      <c r="ACK24" s="906">
        <f t="shared" ref="ACK24" si="514">$C$24*ACI24</f>
        <v>100000</v>
      </c>
      <c r="ACM24" s="906">
        <f t="shared" ref="ACM24" si="515">$C$24*ACK24</f>
        <v>100000</v>
      </c>
      <c r="ACO24" s="906">
        <f t="shared" ref="ACO24" si="516">$C$24*ACM24</f>
        <v>100000</v>
      </c>
      <c r="ACQ24" s="906">
        <f t="shared" ref="ACQ24" si="517">$C$24*ACO24</f>
        <v>100000</v>
      </c>
      <c r="ACS24" s="906">
        <f t="shared" ref="ACS24" si="518">$C$24*ACQ24</f>
        <v>100000</v>
      </c>
      <c r="ACU24" s="906">
        <f t="shared" ref="ACU24" si="519">$C$24*ACS24</f>
        <v>100000</v>
      </c>
      <c r="ACW24" s="906">
        <f t="shared" ref="ACW24" si="520">$C$24*ACU24</f>
        <v>100000</v>
      </c>
      <c r="ACY24" s="906">
        <f t="shared" ref="ACY24" si="521">$C$24*ACW24</f>
        <v>100000</v>
      </c>
      <c r="ADA24" s="906">
        <f t="shared" ref="ADA24" si="522">$C$24*ACY24</f>
        <v>100000</v>
      </c>
      <c r="ADC24" s="906">
        <f t="shared" ref="ADC24" si="523">$C$24*ADA24</f>
        <v>100000</v>
      </c>
      <c r="ADE24" s="906">
        <f t="shared" ref="ADE24" si="524">$C$24*ADC24</f>
        <v>100000</v>
      </c>
      <c r="ADG24" s="906">
        <f t="shared" ref="ADG24" si="525">$C$24*ADE24</f>
        <v>100000</v>
      </c>
      <c r="ADI24" s="906">
        <f t="shared" ref="ADI24" si="526">$C$24*ADG24</f>
        <v>100000</v>
      </c>
      <c r="ADK24" s="906">
        <f t="shared" ref="ADK24" si="527">$C$24*ADI24</f>
        <v>100000</v>
      </c>
      <c r="ADM24" s="906">
        <f t="shared" ref="ADM24" si="528">$C$24*ADK24</f>
        <v>100000</v>
      </c>
      <c r="ADO24" s="906">
        <f t="shared" ref="ADO24" si="529">$C$24*ADM24</f>
        <v>100000</v>
      </c>
      <c r="ADQ24" s="906">
        <f t="shared" ref="ADQ24" si="530">$C$24*ADO24</f>
        <v>100000</v>
      </c>
      <c r="ADS24" s="906">
        <f t="shared" ref="ADS24" si="531">$C$24*ADQ24</f>
        <v>100000</v>
      </c>
      <c r="ADU24" s="906">
        <f t="shared" ref="ADU24" si="532">$C$24*ADS24</f>
        <v>100000</v>
      </c>
      <c r="ADW24" s="906">
        <f t="shared" ref="ADW24" si="533">$C$24*ADU24</f>
        <v>100000</v>
      </c>
      <c r="ADY24" s="906">
        <f t="shared" ref="ADY24" si="534">$C$24*ADW24</f>
        <v>100000</v>
      </c>
      <c r="AEA24" s="906">
        <f t="shared" ref="AEA24" si="535">$C$24*ADY24</f>
        <v>100000</v>
      </c>
      <c r="AEC24" s="906">
        <f t="shared" ref="AEC24" si="536">$C$24*AEA24</f>
        <v>100000</v>
      </c>
      <c r="AEE24" s="906">
        <f t="shared" ref="AEE24" si="537">$C$24*AEC24</f>
        <v>100000</v>
      </c>
      <c r="AEG24" s="906">
        <f t="shared" ref="AEG24" si="538">$C$24*AEE24</f>
        <v>100000</v>
      </c>
      <c r="AEI24" s="906">
        <f t="shared" ref="AEI24" si="539">$C$24*AEG24</f>
        <v>100000</v>
      </c>
      <c r="AEK24" s="906">
        <f t="shared" ref="AEK24" si="540">$C$24*AEI24</f>
        <v>100000</v>
      </c>
      <c r="AEM24" s="906">
        <f t="shared" ref="AEM24" si="541">$C$24*AEK24</f>
        <v>100000</v>
      </c>
      <c r="AEO24" s="906">
        <f t="shared" ref="AEO24" si="542">$C$24*AEM24</f>
        <v>100000</v>
      </c>
      <c r="AEQ24" s="906">
        <f t="shared" ref="AEQ24" si="543">$C$24*AEO24</f>
        <v>100000</v>
      </c>
      <c r="AES24" s="906">
        <f t="shared" ref="AES24" si="544">$C$24*AEQ24</f>
        <v>100000</v>
      </c>
      <c r="AEU24" s="906">
        <f t="shared" ref="AEU24" si="545">$C$24*AES24</f>
        <v>100000</v>
      </c>
      <c r="AEW24" s="906">
        <f t="shared" ref="AEW24" si="546">$C$24*AEU24</f>
        <v>100000</v>
      </c>
      <c r="AEY24" s="906">
        <f t="shared" ref="AEY24" si="547">$C$24*AEW24</f>
        <v>100000</v>
      </c>
      <c r="AFA24" s="906">
        <f t="shared" ref="AFA24" si="548">$C$24*AEY24</f>
        <v>100000</v>
      </c>
      <c r="AFC24" s="906">
        <f t="shared" ref="AFC24" si="549">$C$24*AFA24</f>
        <v>100000</v>
      </c>
      <c r="AFE24" s="906">
        <f t="shared" ref="AFE24" si="550">$C$24*AFC24</f>
        <v>100000</v>
      </c>
      <c r="AFG24" s="906">
        <f t="shared" ref="AFG24" si="551">$C$24*AFE24</f>
        <v>100000</v>
      </c>
      <c r="AFI24" s="906">
        <f t="shared" ref="AFI24" si="552">$C$24*AFG24</f>
        <v>100000</v>
      </c>
      <c r="AFK24" s="906">
        <f t="shared" ref="AFK24" si="553">$C$24*AFI24</f>
        <v>100000</v>
      </c>
      <c r="AFM24" s="906">
        <f t="shared" ref="AFM24" si="554">$C$24*AFK24</f>
        <v>100000</v>
      </c>
      <c r="AFO24" s="906">
        <f t="shared" ref="AFO24" si="555">$C$24*AFM24</f>
        <v>100000</v>
      </c>
      <c r="AFQ24" s="906">
        <f t="shared" ref="AFQ24" si="556">$C$24*AFO24</f>
        <v>100000</v>
      </c>
      <c r="AFS24" s="906">
        <f t="shared" ref="AFS24" si="557">$C$24*AFQ24</f>
        <v>100000</v>
      </c>
      <c r="AFU24" s="906">
        <f t="shared" ref="AFU24" si="558">$C$24*AFS24</f>
        <v>100000</v>
      </c>
      <c r="AFW24" s="906">
        <f t="shared" ref="AFW24" si="559">$C$24*AFU24</f>
        <v>100000</v>
      </c>
      <c r="AFY24" s="906">
        <f t="shared" ref="AFY24" si="560">$C$24*AFW24</f>
        <v>100000</v>
      </c>
      <c r="AGA24" s="906">
        <f t="shared" ref="AGA24" si="561">$C$24*AFY24</f>
        <v>100000</v>
      </c>
      <c r="AGC24" s="906">
        <f t="shared" ref="AGC24" si="562">$C$24*AGA24</f>
        <v>100000</v>
      </c>
      <c r="AGE24" s="906">
        <f t="shared" ref="AGE24" si="563">$C$24*AGC24</f>
        <v>100000</v>
      </c>
      <c r="AGG24" s="906">
        <f t="shared" ref="AGG24" si="564">$C$24*AGE24</f>
        <v>100000</v>
      </c>
      <c r="AGI24" s="906">
        <f t="shared" ref="AGI24" si="565">$C$24*AGG24</f>
        <v>100000</v>
      </c>
      <c r="AGK24" s="906">
        <f t="shared" ref="AGK24" si="566">$C$24*AGI24</f>
        <v>100000</v>
      </c>
      <c r="AGM24" s="906">
        <f t="shared" ref="AGM24" si="567">$C$24*AGK24</f>
        <v>100000</v>
      </c>
      <c r="AGO24" s="906">
        <f t="shared" ref="AGO24" si="568">$C$24*AGM24</f>
        <v>100000</v>
      </c>
      <c r="AGQ24" s="906">
        <f t="shared" ref="AGQ24" si="569">$C$24*AGO24</f>
        <v>100000</v>
      </c>
      <c r="AGS24" s="906">
        <f t="shared" ref="AGS24" si="570">$C$24*AGQ24</f>
        <v>100000</v>
      </c>
      <c r="AGU24" s="906">
        <f t="shared" ref="AGU24" si="571">$C$24*AGS24</f>
        <v>100000</v>
      </c>
      <c r="AGW24" s="906">
        <f t="shared" ref="AGW24" si="572">$C$24*AGU24</f>
        <v>100000</v>
      </c>
      <c r="AGY24" s="906">
        <f t="shared" ref="AGY24" si="573">$C$24*AGW24</f>
        <v>100000</v>
      </c>
      <c r="AHA24" s="906">
        <f t="shared" ref="AHA24" si="574">$C$24*AGY24</f>
        <v>100000</v>
      </c>
      <c r="AHC24" s="906">
        <f t="shared" ref="AHC24" si="575">$C$24*AHA24</f>
        <v>100000</v>
      </c>
      <c r="AHE24" s="906">
        <f t="shared" ref="AHE24" si="576">$C$24*AHC24</f>
        <v>100000</v>
      </c>
      <c r="AHG24" s="906">
        <f t="shared" ref="AHG24" si="577">$C$24*AHE24</f>
        <v>100000</v>
      </c>
      <c r="AHI24" s="906">
        <f t="shared" ref="AHI24" si="578">$C$24*AHG24</f>
        <v>100000</v>
      </c>
      <c r="AHK24" s="906">
        <f t="shared" ref="AHK24" si="579">$C$24*AHI24</f>
        <v>100000</v>
      </c>
      <c r="AHM24" s="906">
        <f t="shared" ref="AHM24" si="580">$C$24*AHK24</f>
        <v>100000</v>
      </c>
      <c r="AHO24" s="906">
        <f t="shared" ref="AHO24" si="581">$C$24*AHM24</f>
        <v>100000</v>
      </c>
      <c r="AHQ24" s="906">
        <f t="shared" ref="AHQ24" si="582">$C$24*AHO24</f>
        <v>100000</v>
      </c>
      <c r="AHS24" s="906">
        <f t="shared" ref="AHS24" si="583">$C$24*AHQ24</f>
        <v>100000</v>
      </c>
      <c r="AHU24" s="906">
        <f t="shared" ref="AHU24" si="584">$C$24*AHS24</f>
        <v>100000</v>
      </c>
      <c r="AHW24" s="906">
        <f t="shared" ref="AHW24" si="585">$C$24*AHU24</f>
        <v>100000</v>
      </c>
      <c r="AHY24" s="906">
        <f t="shared" ref="AHY24" si="586">$C$24*AHW24</f>
        <v>100000</v>
      </c>
      <c r="AIA24" s="906">
        <f t="shared" ref="AIA24" si="587">$C$24*AHY24</f>
        <v>100000</v>
      </c>
      <c r="AIC24" s="906">
        <f t="shared" ref="AIC24" si="588">$C$24*AIA24</f>
        <v>100000</v>
      </c>
      <c r="AIE24" s="906">
        <f t="shared" ref="AIE24" si="589">$C$24*AIC24</f>
        <v>100000</v>
      </c>
      <c r="AIG24" s="906">
        <f t="shared" ref="AIG24" si="590">$C$24*AIE24</f>
        <v>100000</v>
      </c>
      <c r="AII24" s="906">
        <f t="shared" ref="AII24" si="591">$C$24*AIG24</f>
        <v>100000</v>
      </c>
      <c r="AIK24" s="906">
        <f t="shared" ref="AIK24" si="592">$C$24*AII24</f>
        <v>100000</v>
      </c>
      <c r="AIM24" s="906">
        <f t="shared" ref="AIM24" si="593">$C$24*AIK24</f>
        <v>100000</v>
      </c>
      <c r="AIO24" s="906">
        <f t="shared" ref="AIO24" si="594">$C$24*AIM24</f>
        <v>100000</v>
      </c>
      <c r="AIQ24" s="906">
        <f t="shared" ref="AIQ24" si="595">$C$24*AIO24</f>
        <v>100000</v>
      </c>
      <c r="AIS24" s="906">
        <f t="shared" ref="AIS24" si="596">$C$24*AIQ24</f>
        <v>100000</v>
      </c>
      <c r="AIU24" s="906">
        <f t="shared" ref="AIU24" si="597">$C$24*AIS24</f>
        <v>100000</v>
      </c>
      <c r="AIW24" s="906">
        <f t="shared" ref="AIW24" si="598">$C$24*AIU24</f>
        <v>100000</v>
      </c>
      <c r="AIY24" s="906">
        <f t="shared" ref="AIY24" si="599">$C$24*AIW24</f>
        <v>100000</v>
      </c>
      <c r="AJA24" s="906">
        <f t="shared" ref="AJA24" si="600">$C$24*AIY24</f>
        <v>100000</v>
      </c>
      <c r="AJC24" s="906">
        <f t="shared" ref="AJC24" si="601">$C$24*AJA24</f>
        <v>100000</v>
      </c>
      <c r="AJE24" s="906">
        <f t="shared" ref="AJE24" si="602">$C$24*AJC24</f>
        <v>100000</v>
      </c>
      <c r="AJG24" s="906">
        <f t="shared" ref="AJG24" si="603">$C$24*AJE24</f>
        <v>100000</v>
      </c>
      <c r="AJI24" s="906">
        <f t="shared" ref="AJI24" si="604">$C$24*AJG24</f>
        <v>100000</v>
      </c>
      <c r="AJK24" s="906">
        <f t="shared" ref="AJK24" si="605">$C$24*AJI24</f>
        <v>100000</v>
      </c>
      <c r="AJM24" s="906">
        <f t="shared" ref="AJM24" si="606">$C$24*AJK24</f>
        <v>100000</v>
      </c>
      <c r="AJO24" s="906">
        <f t="shared" ref="AJO24" si="607">$C$24*AJM24</f>
        <v>100000</v>
      </c>
      <c r="AJQ24" s="906">
        <f t="shared" ref="AJQ24" si="608">$C$24*AJO24</f>
        <v>100000</v>
      </c>
      <c r="AJS24" s="906">
        <f t="shared" ref="AJS24" si="609">$C$24*AJQ24</f>
        <v>100000</v>
      </c>
      <c r="AJU24" s="906">
        <f t="shared" ref="AJU24" si="610">$C$24*AJS24</f>
        <v>100000</v>
      </c>
      <c r="AJW24" s="906">
        <f t="shared" ref="AJW24" si="611">$C$24*AJU24</f>
        <v>100000</v>
      </c>
      <c r="AJY24" s="906">
        <f t="shared" ref="AJY24" si="612">$C$24*AJW24</f>
        <v>100000</v>
      </c>
      <c r="AKA24" s="906">
        <f t="shared" ref="AKA24" si="613">$C$24*AJY24</f>
        <v>100000</v>
      </c>
      <c r="AKC24" s="906">
        <f t="shared" ref="AKC24" si="614">$C$24*AKA24</f>
        <v>100000</v>
      </c>
      <c r="AKE24" s="906">
        <f t="shared" ref="AKE24" si="615">$C$24*AKC24</f>
        <v>100000</v>
      </c>
      <c r="AKG24" s="906">
        <f t="shared" ref="AKG24" si="616">$C$24*AKE24</f>
        <v>100000</v>
      </c>
      <c r="AKI24" s="906">
        <f t="shared" ref="AKI24" si="617">$C$24*AKG24</f>
        <v>100000</v>
      </c>
      <c r="AKK24" s="906">
        <f t="shared" ref="AKK24" si="618">$C$24*AKI24</f>
        <v>100000</v>
      </c>
      <c r="AKM24" s="906">
        <f t="shared" ref="AKM24" si="619">$C$24*AKK24</f>
        <v>100000</v>
      </c>
      <c r="AKO24" s="906">
        <f t="shared" ref="AKO24" si="620">$C$24*AKM24</f>
        <v>100000</v>
      </c>
      <c r="AKQ24" s="906">
        <f t="shared" ref="AKQ24" si="621">$C$24*AKO24</f>
        <v>100000</v>
      </c>
      <c r="AKS24" s="906">
        <f t="shared" ref="AKS24" si="622">$C$24*AKQ24</f>
        <v>100000</v>
      </c>
      <c r="AKU24" s="906">
        <f t="shared" ref="AKU24" si="623">$C$24*AKS24</f>
        <v>100000</v>
      </c>
      <c r="AKW24" s="906">
        <f t="shared" ref="AKW24" si="624">$C$24*AKU24</f>
        <v>100000</v>
      </c>
      <c r="AKY24" s="906">
        <f t="shared" ref="AKY24" si="625">$C$24*AKW24</f>
        <v>100000</v>
      </c>
      <c r="ALA24" s="906">
        <f t="shared" ref="ALA24" si="626">$C$24*AKY24</f>
        <v>100000</v>
      </c>
      <c r="ALC24" s="906">
        <f t="shared" ref="ALC24" si="627">$C$24*ALA24</f>
        <v>100000</v>
      </c>
      <c r="ALE24" s="906">
        <f t="shared" ref="ALE24" si="628">$C$24*ALC24</f>
        <v>100000</v>
      </c>
      <c r="ALG24" s="906">
        <f t="shared" ref="ALG24" si="629">$C$24*ALE24</f>
        <v>100000</v>
      </c>
      <c r="ALI24" s="906">
        <f t="shared" ref="ALI24" si="630">$C$24*ALG24</f>
        <v>100000</v>
      </c>
      <c r="ALK24" s="906">
        <f t="shared" ref="ALK24" si="631">$C$24*ALI24</f>
        <v>100000</v>
      </c>
      <c r="ALM24" s="906">
        <f t="shared" ref="ALM24" si="632">$C$24*ALK24</f>
        <v>100000</v>
      </c>
      <c r="ALO24" s="906">
        <f t="shared" ref="ALO24" si="633">$C$24*ALM24</f>
        <v>100000</v>
      </c>
      <c r="ALQ24" s="906">
        <f t="shared" ref="ALQ24" si="634">$C$24*ALO24</f>
        <v>100000</v>
      </c>
      <c r="ALS24" s="906">
        <f t="shared" ref="ALS24" si="635">$C$24*ALQ24</f>
        <v>100000</v>
      </c>
      <c r="ALU24" s="906">
        <f t="shared" ref="ALU24" si="636">$C$24*ALS24</f>
        <v>100000</v>
      </c>
      <c r="ALW24" s="906">
        <f t="shared" ref="ALW24" si="637">$C$24*ALU24</f>
        <v>100000</v>
      </c>
      <c r="ALY24" s="906">
        <f t="shared" ref="ALY24" si="638">$C$24*ALW24</f>
        <v>100000</v>
      </c>
      <c r="AMA24" s="906">
        <f t="shared" ref="AMA24" si="639">$C$24*ALY24</f>
        <v>100000</v>
      </c>
      <c r="AMC24" s="906">
        <f t="shared" ref="AMC24" si="640">$C$24*AMA24</f>
        <v>100000</v>
      </c>
      <c r="AME24" s="906">
        <f t="shared" ref="AME24" si="641">$C$24*AMC24</f>
        <v>100000</v>
      </c>
      <c r="AMG24" s="906">
        <f t="shared" ref="AMG24" si="642">$C$24*AME24</f>
        <v>100000</v>
      </c>
      <c r="AMI24" s="906">
        <f t="shared" ref="AMI24" si="643">$C$24*AMG24</f>
        <v>100000</v>
      </c>
      <c r="AMK24" s="906">
        <f t="shared" ref="AMK24" si="644">$C$24*AMI24</f>
        <v>100000</v>
      </c>
      <c r="AMM24" s="906">
        <f t="shared" ref="AMM24" si="645">$C$24*AMK24</f>
        <v>100000</v>
      </c>
      <c r="AMO24" s="906">
        <f t="shared" ref="AMO24" si="646">$C$24*AMM24</f>
        <v>100000</v>
      </c>
      <c r="AMQ24" s="906">
        <f t="shared" ref="AMQ24" si="647">$C$24*AMO24</f>
        <v>100000</v>
      </c>
      <c r="AMS24" s="906">
        <f t="shared" ref="AMS24" si="648">$C$24*AMQ24</f>
        <v>100000</v>
      </c>
      <c r="AMU24" s="906">
        <f t="shared" ref="AMU24" si="649">$C$24*AMS24</f>
        <v>100000</v>
      </c>
      <c r="AMW24" s="906">
        <f t="shared" ref="AMW24" si="650">$C$24*AMU24</f>
        <v>100000</v>
      </c>
      <c r="AMY24" s="906">
        <f t="shared" ref="AMY24" si="651">$C$24*AMW24</f>
        <v>100000</v>
      </c>
      <c r="ANA24" s="906">
        <f t="shared" ref="ANA24" si="652">$C$24*AMY24</f>
        <v>100000</v>
      </c>
      <c r="ANC24" s="906">
        <f t="shared" ref="ANC24" si="653">$C$24*ANA24</f>
        <v>100000</v>
      </c>
      <c r="ANE24" s="906">
        <f t="shared" ref="ANE24" si="654">$C$24*ANC24</f>
        <v>100000</v>
      </c>
      <c r="ANG24" s="906">
        <f t="shared" ref="ANG24" si="655">$C$24*ANE24</f>
        <v>100000</v>
      </c>
      <c r="ANI24" s="906">
        <f t="shared" ref="ANI24" si="656">$C$24*ANG24</f>
        <v>100000</v>
      </c>
      <c r="ANK24" s="906">
        <f t="shared" ref="ANK24" si="657">$C$24*ANI24</f>
        <v>100000</v>
      </c>
      <c r="ANM24" s="906">
        <f t="shared" ref="ANM24" si="658">$C$24*ANK24</f>
        <v>100000</v>
      </c>
      <c r="ANO24" s="906">
        <f t="shared" ref="ANO24" si="659">$C$24*ANM24</f>
        <v>100000</v>
      </c>
      <c r="ANQ24" s="906">
        <f t="shared" ref="ANQ24" si="660">$C$24*ANO24</f>
        <v>100000</v>
      </c>
      <c r="ANS24" s="906">
        <f t="shared" ref="ANS24" si="661">$C$24*ANQ24</f>
        <v>100000</v>
      </c>
      <c r="ANU24" s="906">
        <f t="shared" ref="ANU24" si="662">$C$24*ANS24</f>
        <v>100000</v>
      </c>
      <c r="ANW24" s="906">
        <f t="shared" ref="ANW24" si="663">$C$24*ANU24</f>
        <v>100000</v>
      </c>
      <c r="ANY24" s="906">
        <f t="shared" ref="ANY24" si="664">$C$24*ANW24</f>
        <v>100000</v>
      </c>
      <c r="AOA24" s="906">
        <f t="shared" ref="AOA24" si="665">$C$24*ANY24</f>
        <v>100000</v>
      </c>
      <c r="AOC24" s="906">
        <f t="shared" ref="AOC24" si="666">$C$24*AOA24</f>
        <v>100000</v>
      </c>
      <c r="AOE24" s="906">
        <f t="shared" ref="AOE24" si="667">$C$24*AOC24</f>
        <v>100000</v>
      </c>
      <c r="AOG24" s="906">
        <f t="shared" ref="AOG24" si="668">$C$24*AOE24</f>
        <v>100000</v>
      </c>
      <c r="AOI24" s="906">
        <f t="shared" ref="AOI24" si="669">$C$24*AOG24</f>
        <v>100000</v>
      </c>
      <c r="AOK24" s="906">
        <f t="shared" ref="AOK24" si="670">$C$24*AOI24</f>
        <v>100000</v>
      </c>
      <c r="AOM24" s="906">
        <f t="shared" ref="AOM24" si="671">$C$24*AOK24</f>
        <v>100000</v>
      </c>
      <c r="AOO24" s="906">
        <f t="shared" ref="AOO24" si="672">$C$24*AOM24</f>
        <v>100000</v>
      </c>
      <c r="AOQ24" s="906">
        <f t="shared" ref="AOQ24" si="673">$C$24*AOO24</f>
        <v>100000</v>
      </c>
      <c r="AOS24" s="906">
        <f t="shared" ref="AOS24" si="674">$C$24*AOQ24</f>
        <v>100000</v>
      </c>
      <c r="AOU24" s="906">
        <f t="shared" ref="AOU24" si="675">$C$24*AOS24</f>
        <v>100000</v>
      </c>
      <c r="AOW24" s="906">
        <f t="shared" ref="AOW24" si="676">$C$24*AOU24</f>
        <v>100000</v>
      </c>
      <c r="AOY24" s="906">
        <f t="shared" ref="AOY24" si="677">$C$24*AOW24</f>
        <v>100000</v>
      </c>
      <c r="APA24" s="906">
        <f t="shared" ref="APA24" si="678">$C$24*AOY24</f>
        <v>100000</v>
      </c>
      <c r="APC24" s="906">
        <f t="shared" ref="APC24" si="679">$C$24*APA24</f>
        <v>100000</v>
      </c>
      <c r="APE24" s="906">
        <f t="shared" ref="APE24" si="680">$C$24*APC24</f>
        <v>100000</v>
      </c>
      <c r="APG24" s="906">
        <f t="shared" ref="APG24" si="681">$C$24*APE24</f>
        <v>100000</v>
      </c>
      <c r="API24" s="906">
        <f t="shared" ref="API24" si="682">$C$24*APG24</f>
        <v>100000</v>
      </c>
      <c r="APK24" s="906">
        <f t="shared" ref="APK24" si="683">$C$24*API24</f>
        <v>100000</v>
      </c>
      <c r="APM24" s="906">
        <f t="shared" ref="APM24" si="684">$C$24*APK24</f>
        <v>100000</v>
      </c>
      <c r="APO24" s="906">
        <f t="shared" ref="APO24" si="685">$C$24*APM24</f>
        <v>100000</v>
      </c>
      <c r="APQ24" s="906">
        <f t="shared" ref="APQ24" si="686">$C$24*APO24</f>
        <v>100000</v>
      </c>
      <c r="APS24" s="906">
        <f t="shared" ref="APS24" si="687">$C$24*APQ24</f>
        <v>100000</v>
      </c>
      <c r="APU24" s="906">
        <f t="shared" ref="APU24" si="688">$C$24*APS24</f>
        <v>100000</v>
      </c>
      <c r="APW24" s="906">
        <f t="shared" ref="APW24" si="689">$C$24*APU24</f>
        <v>100000</v>
      </c>
      <c r="APY24" s="906">
        <f t="shared" ref="APY24" si="690">$C$24*APW24</f>
        <v>100000</v>
      </c>
      <c r="AQA24" s="906">
        <f t="shared" ref="AQA24" si="691">$C$24*APY24</f>
        <v>100000</v>
      </c>
      <c r="AQC24" s="906">
        <f t="shared" ref="AQC24" si="692">$C$24*AQA24</f>
        <v>100000</v>
      </c>
      <c r="AQE24" s="906">
        <f t="shared" ref="AQE24" si="693">$C$24*AQC24</f>
        <v>100000</v>
      </c>
      <c r="AQG24" s="906">
        <f t="shared" ref="AQG24" si="694">$C$24*AQE24</f>
        <v>100000</v>
      </c>
      <c r="AQI24" s="906">
        <f t="shared" ref="AQI24" si="695">$C$24*AQG24</f>
        <v>100000</v>
      </c>
      <c r="AQK24" s="906">
        <f t="shared" ref="AQK24" si="696">$C$24*AQI24</f>
        <v>100000</v>
      </c>
      <c r="AQM24" s="906">
        <f t="shared" ref="AQM24" si="697">$C$24*AQK24</f>
        <v>100000</v>
      </c>
      <c r="AQO24" s="906">
        <f t="shared" ref="AQO24" si="698">$C$24*AQM24</f>
        <v>100000</v>
      </c>
      <c r="AQQ24" s="906">
        <f t="shared" ref="AQQ24" si="699">$C$24*AQO24</f>
        <v>100000</v>
      </c>
      <c r="AQS24" s="906">
        <f t="shared" ref="AQS24" si="700">$C$24*AQQ24</f>
        <v>100000</v>
      </c>
      <c r="AQU24" s="906">
        <f t="shared" ref="AQU24" si="701">$C$24*AQS24</f>
        <v>100000</v>
      </c>
      <c r="AQW24" s="906">
        <f t="shared" ref="AQW24" si="702">$C$24*AQU24</f>
        <v>100000</v>
      </c>
      <c r="AQY24" s="906">
        <f t="shared" ref="AQY24" si="703">$C$24*AQW24</f>
        <v>100000</v>
      </c>
      <c r="ARA24" s="906">
        <f t="shared" ref="ARA24" si="704">$C$24*AQY24</f>
        <v>100000</v>
      </c>
      <c r="ARC24" s="906">
        <f t="shared" ref="ARC24" si="705">$C$24*ARA24</f>
        <v>100000</v>
      </c>
      <c r="ARE24" s="906">
        <f t="shared" ref="ARE24" si="706">$C$24*ARC24</f>
        <v>100000</v>
      </c>
      <c r="ARG24" s="906">
        <f t="shared" ref="ARG24" si="707">$C$24*ARE24</f>
        <v>100000</v>
      </c>
      <c r="ARI24" s="906">
        <f t="shared" ref="ARI24" si="708">$C$24*ARG24</f>
        <v>100000</v>
      </c>
      <c r="ARK24" s="906">
        <f t="shared" ref="ARK24" si="709">$C$24*ARI24</f>
        <v>100000</v>
      </c>
      <c r="ARM24" s="906">
        <f t="shared" ref="ARM24" si="710">$C$24*ARK24</f>
        <v>100000</v>
      </c>
      <c r="ARO24" s="906">
        <f t="shared" ref="ARO24" si="711">$C$24*ARM24</f>
        <v>100000</v>
      </c>
      <c r="ARQ24" s="906">
        <f t="shared" ref="ARQ24" si="712">$C$24*ARO24</f>
        <v>100000</v>
      </c>
      <c r="ARS24" s="906">
        <f t="shared" ref="ARS24" si="713">$C$24*ARQ24</f>
        <v>100000</v>
      </c>
      <c r="ARU24" s="906">
        <f t="shared" ref="ARU24" si="714">$C$24*ARS24</f>
        <v>100000</v>
      </c>
      <c r="ARW24" s="906">
        <f t="shared" ref="ARW24" si="715">$C$24*ARU24</f>
        <v>100000</v>
      </c>
      <c r="ARY24" s="906">
        <f t="shared" ref="ARY24" si="716">$C$24*ARW24</f>
        <v>100000</v>
      </c>
      <c r="ASA24" s="906">
        <f t="shared" ref="ASA24" si="717">$C$24*ARY24</f>
        <v>100000</v>
      </c>
      <c r="ASC24" s="906">
        <f t="shared" ref="ASC24" si="718">$C$24*ASA24</f>
        <v>100000</v>
      </c>
      <c r="ASE24" s="906">
        <f t="shared" ref="ASE24" si="719">$C$24*ASC24</f>
        <v>100000</v>
      </c>
      <c r="ASG24" s="906">
        <f t="shared" ref="ASG24" si="720">$C$24*ASE24</f>
        <v>100000</v>
      </c>
      <c r="ASI24" s="906">
        <f t="shared" ref="ASI24" si="721">$C$24*ASG24</f>
        <v>100000</v>
      </c>
      <c r="ASK24" s="906">
        <f t="shared" ref="ASK24" si="722">$C$24*ASI24</f>
        <v>100000</v>
      </c>
      <c r="ASM24" s="906">
        <f t="shared" ref="ASM24" si="723">$C$24*ASK24</f>
        <v>100000</v>
      </c>
      <c r="ASO24" s="906">
        <f t="shared" ref="ASO24" si="724">$C$24*ASM24</f>
        <v>100000</v>
      </c>
      <c r="ASQ24" s="906">
        <f t="shared" ref="ASQ24" si="725">$C$24*ASO24</f>
        <v>100000</v>
      </c>
      <c r="ASS24" s="906">
        <f t="shared" ref="ASS24" si="726">$C$24*ASQ24</f>
        <v>100000</v>
      </c>
      <c r="ASU24" s="906">
        <f t="shared" ref="ASU24" si="727">$C$24*ASS24</f>
        <v>100000</v>
      </c>
      <c r="ASW24" s="906">
        <f t="shared" ref="ASW24" si="728">$C$24*ASU24</f>
        <v>100000</v>
      </c>
      <c r="ASY24" s="906">
        <f t="shared" ref="ASY24" si="729">$C$24*ASW24</f>
        <v>100000</v>
      </c>
      <c r="ATA24" s="906">
        <f t="shared" ref="ATA24" si="730">$C$24*ASY24</f>
        <v>100000</v>
      </c>
      <c r="ATC24" s="906">
        <f t="shared" ref="ATC24" si="731">$C$24*ATA24</f>
        <v>100000</v>
      </c>
      <c r="ATE24" s="906">
        <f t="shared" ref="ATE24" si="732">$C$24*ATC24</f>
        <v>100000</v>
      </c>
      <c r="ATG24" s="906">
        <f t="shared" ref="ATG24" si="733">$C$24*ATE24</f>
        <v>100000</v>
      </c>
      <c r="ATI24" s="906">
        <f t="shared" ref="ATI24" si="734">$C$24*ATG24</f>
        <v>100000</v>
      </c>
      <c r="ATK24" s="906">
        <f t="shared" ref="ATK24" si="735">$C$24*ATI24</f>
        <v>100000</v>
      </c>
      <c r="ATM24" s="906">
        <f t="shared" ref="ATM24" si="736">$C$24*ATK24</f>
        <v>100000</v>
      </c>
      <c r="ATO24" s="906">
        <f t="shared" ref="ATO24" si="737">$C$24*ATM24</f>
        <v>100000</v>
      </c>
      <c r="ATQ24" s="906">
        <f t="shared" ref="ATQ24" si="738">$C$24*ATO24</f>
        <v>100000</v>
      </c>
      <c r="ATS24" s="906">
        <f t="shared" ref="ATS24" si="739">$C$24*ATQ24</f>
        <v>100000</v>
      </c>
      <c r="ATU24" s="906">
        <f t="shared" ref="ATU24" si="740">$C$24*ATS24</f>
        <v>100000</v>
      </c>
      <c r="ATW24" s="906">
        <f t="shared" ref="ATW24" si="741">$C$24*ATU24</f>
        <v>100000</v>
      </c>
      <c r="ATY24" s="906">
        <f t="shared" ref="ATY24" si="742">$C$24*ATW24</f>
        <v>100000</v>
      </c>
      <c r="AUA24" s="906">
        <f t="shared" ref="AUA24" si="743">$C$24*ATY24</f>
        <v>100000</v>
      </c>
      <c r="AUC24" s="906">
        <f t="shared" ref="AUC24" si="744">$C$24*AUA24</f>
        <v>100000</v>
      </c>
      <c r="AUE24" s="906">
        <f t="shared" ref="AUE24" si="745">$C$24*AUC24</f>
        <v>100000</v>
      </c>
      <c r="AUG24" s="906">
        <f t="shared" ref="AUG24" si="746">$C$24*AUE24</f>
        <v>100000</v>
      </c>
      <c r="AUI24" s="906">
        <f t="shared" ref="AUI24" si="747">$C$24*AUG24</f>
        <v>100000</v>
      </c>
      <c r="AUK24" s="906">
        <f t="shared" ref="AUK24" si="748">$C$24*AUI24</f>
        <v>100000</v>
      </c>
      <c r="AUM24" s="906">
        <f t="shared" ref="AUM24" si="749">$C$24*AUK24</f>
        <v>100000</v>
      </c>
      <c r="AUO24" s="906">
        <f t="shared" ref="AUO24" si="750">$C$24*AUM24</f>
        <v>100000</v>
      </c>
      <c r="AUQ24" s="906">
        <f t="shared" ref="AUQ24" si="751">$C$24*AUO24</f>
        <v>100000</v>
      </c>
      <c r="AUS24" s="906">
        <f t="shared" ref="AUS24" si="752">$C$24*AUQ24</f>
        <v>100000</v>
      </c>
      <c r="AUU24" s="906">
        <f t="shared" ref="AUU24" si="753">$C$24*AUS24</f>
        <v>100000</v>
      </c>
      <c r="AUW24" s="906">
        <f t="shared" ref="AUW24" si="754">$C$24*AUU24</f>
        <v>100000</v>
      </c>
      <c r="AUY24" s="906">
        <f t="shared" ref="AUY24" si="755">$C$24*AUW24</f>
        <v>100000</v>
      </c>
      <c r="AVA24" s="906">
        <f t="shared" ref="AVA24" si="756">$C$24*AUY24</f>
        <v>100000</v>
      </c>
      <c r="AVC24" s="906">
        <f t="shared" ref="AVC24" si="757">$C$24*AVA24</f>
        <v>100000</v>
      </c>
      <c r="AVE24" s="906">
        <f t="shared" ref="AVE24" si="758">$C$24*AVC24</f>
        <v>100000</v>
      </c>
      <c r="AVG24" s="906">
        <f t="shared" ref="AVG24" si="759">$C$24*AVE24</f>
        <v>100000</v>
      </c>
      <c r="AVI24" s="906">
        <f t="shared" ref="AVI24" si="760">$C$24*AVG24</f>
        <v>100000</v>
      </c>
      <c r="AVK24" s="906">
        <f t="shared" ref="AVK24" si="761">$C$24*AVI24</f>
        <v>100000</v>
      </c>
      <c r="AVM24" s="906">
        <f t="shared" ref="AVM24" si="762">$C$24*AVK24</f>
        <v>100000</v>
      </c>
      <c r="AVO24" s="906">
        <f t="shared" ref="AVO24" si="763">$C$24*AVM24</f>
        <v>100000</v>
      </c>
      <c r="AVQ24" s="906">
        <f t="shared" ref="AVQ24" si="764">$C$24*AVO24</f>
        <v>100000</v>
      </c>
      <c r="AVS24" s="906">
        <f t="shared" ref="AVS24" si="765">$C$24*AVQ24</f>
        <v>100000</v>
      </c>
      <c r="AVU24" s="906">
        <f t="shared" ref="AVU24" si="766">$C$24*AVS24</f>
        <v>100000</v>
      </c>
      <c r="AVW24" s="906">
        <f t="shared" ref="AVW24" si="767">$C$24*AVU24</f>
        <v>100000</v>
      </c>
      <c r="AVY24" s="906">
        <f t="shared" ref="AVY24" si="768">$C$24*AVW24</f>
        <v>100000</v>
      </c>
      <c r="AWA24" s="906">
        <f t="shared" ref="AWA24" si="769">$C$24*AVY24</f>
        <v>100000</v>
      </c>
      <c r="AWC24" s="906">
        <f t="shared" ref="AWC24" si="770">$C$24*AWA24</f>
        <v>100000</v>
      </c>
      <c r="AWE24" s="906">
        <f t="shared" ref="AWE24" si="771">$C$24*AWC24</f>
        <v>100000</v>
      </c>
      <c r="AWG24" s="906">
        <f t="shared" ref="AWG24" si="772">$C$24*AWE24</f>
        <v>100000</v>
      </c>
      <c r="AWI24" s="906">
        <f t="shared" ref="AWI24" si="773">$C$24*AWG24</f>
        <v>100000</v>
      </c>
      <c r="AWK24" s="906">
        <f t="shared" ref="AWK24" si="774">$C$24*AWI24</f>
        <v>100000</v>
      </c>
      <c r="AWM24" s="906">
        <f t="shared" ref="AWM24" si="775">$C$24*AWK24</f>
        <v>100000</v>
      </c>
      <c r="AWO24" s="906">
        <f t="shared" ref="AWO24" si="776">$C$24*AWM24</f>
        <v>100000</v>
      </c>
      <c r="AWQ24" s="906">
        <f t="shared" ref="AWQ24" si="777">$C$24*AWO24</f>
        <v>100000</v>
      </c>
      <c r="AWS24" s="906">
        <f t="shared" ref="AWS24" si="778">$C$24*AWQ24</f>
        <v>100000</v>
      </c>
      <c r="AWU24" s="906">
        <f t="shared" ref="AWU24" si="779">$C$24*AWS24</f>
        <v>100000</v>
      </c>
      <c r="AWW24" s="906">
        <f t="shared" ref="AWW24" si="780">$C$24*AWU24</f>
        <v>100000</v>
      </c>
      <c r="AWY24" s="906">
        <f t="shared" ref="AWY24" si="781">$C$24*AWW24</f>
        <v>100000</v>
      </c>
      <c r="AXA24" s="906">
        <f t="shared" ref="AXA24" si="782">$C$24*AWY24</f>
        <v>100000</v>
      </c>
      <c r="AXC24" s="906">
        <f t="shared" ref="AXC24" si="783">$C$24*AXA24</f>
        <v>100000</v>
      </c>
      <c r="AXE24" s="906">
        <f t="shared" ref="AXE24" si="784">$C$24*AXC24</f>
        <v>100000</v>
      </c>
      <c r="AXG24" s="906">
        <f t="shared" ref="AXG24" si="785">$C$24*AXE24</f>
        <v>100000</v>
      </c>
      <c r="AXI24" s="906">
        <f t="shared" ref="AXI24" si="786">$C$24*AXG24</f>
        <v>100000</v>
      </c>
      <c r="AXK24" s="906">
        <f t="shared" ref="AXK24" si="787">$C$24*AXI24</f>
        <v>100000</v>
      </c>
      <c r="AXM24" s="906">
        <f t="shared" ref="AXM24" si="788">$C$24*AXK24</f>
        <v>100000</v>
      </c>
      <c r="AXO24" s="906">
        <f t="shared" ref="AXO24" si="789">$C$24*AXM24</f>
        <v>100000</v>
      </c>
      <c r="AXQ24" s="906">
        <f t="shared" ref="AXQ24" si="790">$C$24*AXO24</f>
        <v>100000</v>
      </c>
      <c r="AXS24" s="906">
        <f t="shared" ref="AXS24" si="791">$C$24*AXQ24</f>
        <v>100000</v>
      </c>
      <c r="AXU24" s="906">
        <f t="shared" ref="AXU24" si="792">$C$24*AXS24</f>
        <v>100000</v>
      </c>
      <c r="AXW24" s="906">
        <f t="shared" ref="AXW24" si="793">$C$24*AXU24</f>
        <v>100000</v>
      </c>
      <c r="AXY24" s="906">
        <f t="shared" ref="AXY24" si="794">$C$24*AXW24</f>
        <v>100000</v>
      </c>
      <c r="AYA24" s="906">
        <f t="shared" ref="AYA24" si="795">$C$24*AXY24</f>
        <v>100000</v>
      </c>
      <c r="AYC24" s="906">
        <f t="shared" ref="AYC24" si="796">$C$24*AYA24</f>
        <v>100000</v>
      </c>
      <c r="AYE24" s="906">
        <f t="shared" ref="AYE24" si="797">$C$24*AYC24</f>
        <v>100000</v>
      </c>
      <c r="AYG24" s="906">
        <f t="shared" ref="AYG24" si="798">$C$24*AYE24</f>
        <v>100000</v>
      </c>
      <c r="AYI24" s="906">
        <f t="shared" ref="AYI24" si="799">$C$24*AYG24</f>
        <v>100000</v>
      </c>
      <c r="AYK24" s="906">
        <f t="shared" ref="AYK24" si="800">$C$24*AYI24</f>
        <v>100000</v>
      </c>
      <c r="AYM24" s="906">
        <f t="shared" ref="AYM24" si="801">$C$24*AYK24</f>
        <v>100000</v>
      </c>
      <c r="AYO24" s="906">
        <f t="shared" ref="AYO24" si="802">$C$24*AYM24</f>
        <v>100000</v>
      </c>
      <c r="AYQ24" s="906">
        <f t="shared" ref="AYQ24" si="803">$C$24*AYO24</f>
        <v>100000</v>
      </c>
      <c r="AYS24" s="906">
        <f t="shared" ref="AYS24" si="804">$C$24*AYQ24</f>
        <v>100000</v>
      </c>
      <c r="AYU24" s="906">
        <f t="shared" ref="AYU24" si="805">$C$24*AYS24</f>
        <v>100000</v>
      </c>
      <c r="AYW24" s="906">
        <f t="shared" ref="AYW24" si="806">$C$24*AYU24</f>
        <v>100000</v>
      </c>
      <c r="AYY24" s="906">
        <f t="shared" ref="AYY24" si="807">$C$24*AYW24</f>
        <v>100000</v>
      </c>
      <c r="AZA24" s="906">
        <f t="shared" ref="AZA24" si="808">$C$24*AYY24</f>
        <v>100000</v>
      </c>
      <c r="AZC24" s="906">
        <f t="shared" ref="AZC24" si="809">$C$24*AZA24</f>
        <v>100000</v>
      </c>
      <c r="AZE24" s="906">
        <f t="shared" ref="AZE24" si="810">$C$24*AZC24</f>
        <v>100000</v>
      </c>
      <c r="AZG24" s="906">
        <f t="shared" ref="AZG24" si="811">$C$24*AZE24</f>
        <v>100000</v>
      </c>
      <c r="AZI24" s="906">
        <f t="shared" ref="AZI24" si="812">$C$24*AZG24</f>
        <v>100000</v>
      </c>
      <c r="AZK24" s="906">
        <f t="shared" ref="AZK24" si="813">$C$24*AZI24</f>
        <v>100000</v>
      </c>
      <c r="AZM24" s="906">
        <f t="shared" ref="AZM24" si="814">$C$24*AZK24</f>
        <v>100000</v>
      </c>
      <c r="AZO24" s="906">
        <f t="shared" ref="AZO24" si="815">$C$24*AZM24</f>
        <v>100000</v>
      </c>
      <c r="AZQ24" s="906">
        <f t="shared" ref="AZQ24" si="816">$C$24*AZO24</f>
        <v>100000</v>
      </c>
      <c r="AZS24" s="906">
        <f t="shared" ref="AZS24" si="817">$C$24*AZQ24</f>
        <v>100000</v>
      </c>
      <c r="AZU24" s="906">
        <f t="shared" ref="AZU24" si="818">$C$24*AZS24</f>
        <v>100000</v>
      </c>
      <c r="AZW24" s="906">
        <f t="shared" ref="AZW24" si="819">$C$24*AZU24</f>
        <v>100000</v>
      </c>
      <c r="AZY24" s="906">
        <f t="shared" ref="AZY24" si="820">$C$24*AZW24</f>
        <v>100000</v>
      </c>
      <c r="BAA24" s="906">
        <f t="shared" ref="BAA24" si="821">$C$24*AZY24</f>
        <v>100000</v>
      </c>
      <c r="BAC24" s="906">
        <f t="shared" ref="BAC24" si="822">$C$24*BAA24</f>
        <v>100000</v>
      </c>
      <c r="BAE24" s="906">
        <f t="shared" ref="BAE24" si="823">$C$24*BAC24</f>
        <v>100000</v>
      </c>
      <c r="BAG24" s="906">
        <f t="shared" ref="BAG24" si="824">$C$24*BAE24</f>
        <v>100000</v>
      </c>
      <c r="BAI24" s="906">
        <f t="shared" ref="BAI24" si="825">$C$24*BAG24</f>
        <v>100000</v>
      </c>
      <c r="BAK24" s="906">
        <f t="shared" ref="BAK24" si="826">$C$24*BAI24</f>
        <v>100000</v>
      </c>
      <c r="BAM24" s="906">
        <f t="shared" ref="BAM24" si="827">$C$24*BAK24</f>
        <v>100000</v>
      </c>
      <c r="BAO24" s="906">
        <f t="shared" ref="BAO24" si="828">$C$24*BAM24</f>
        <v>100000</v>
      </c>
      <c r="BAQ24" s="906">
        <f t="shared" ref="BAQ24" si="829">$C$24*BAO24</f>
        <v>100000</v>
      </c>
      <c r="BAS24" s="906">
        <f t="shared" ref="BAS24" si="830">$C$24*BAQ24</f>
        <v>100000</v>
      </c>
      <c r="BAU24" s="906">
        <f t="shared" ref="BAU24" si="831">$C$24*BAS24</f>
        <v>100000</v>
      </c>
      <c r="BAW24" s="906">
        <f t="shared" ref="BAW24" si="832">$C$24*BAU24</f>
        <v>100000</v>
      </c>
      <c r="BAY24" s="906">
        <f t="shared" ref="BAY24" si="833">$C$24*BAW24</f>
        <v>100000</v>
      </c>
      <c r="BBA24" s="906">
        <f t="shared" ref="BBA24" si="834">$C$24*BAY24</f>
        <v>100000</v>
      </c>
      <c r="BBC24" s="906">
        <f t="shared" ref="BBC24" si="835">$C$24*BBA24</f>
        <v>100000</v>
      </c>
      <c r="BBE24" s="906">
        <f t="shared" ref="BBE24" si="836">$C$24*BBC24</f>
        <v>100000</v>
      </c>
      <c r="BBG24" s="906">
        <f t="shared" ref="BBG24" si="837">$C$24*BBE24</f>
        <v>100000</v>
      </c>
      <c r="BBI24" s="906">
        <f t="shared" ref="BBI24" si="838">$C$24*BBG24</f>
        <v>100000</v>
      </c>
      <c r="BBK24" s="906">
        <f t="shared" ref="BBK24" si="839">$C$24*BBI24</f>
        <v>100000</v>
      </c>
      <c r="BBM24" s="906">
        <f t="shared" ref="BBM24" si="840">$C$24*BBK24</f>
        <v>100000</v>
      </c>
      <c r="BBO24" s="906">
        <f t="shared" ref="BBO24" si="841">$C$24*BBM24</f>
        <v>100000</v>
      </c>
      <c r="BBQ24" s="906">
        <f t="shared" ref="BBQ24" si="842">$C$24*BBO24</f>
        <v>100000</v>
      </c>
      <c r="BBS24" s="906">
        <f t="shared" ref="BBS24" si="843">$C$24*BBQ24</f>
        <v>100000</v>
      </c>
      <c r="BBU24" s="906">
        <f t="shared" ref="BBU24" si="844">$C$24*BBS24</f>
        <v>100000</v>
      </c>
      <c r="BBW24" s="906">
        <f t="shared" ref="BBW24" si="845">$C$24*BBU24</f>
        <v>100000</v>
      </c>
      <c r="BBY24" s="906">
        <f t="shared" ref="BBY24" si="846">$C$24*BBW24</f>
        <v>100000</v>
      </c>
      <c r="BCA24" s="906">
        <f t="shared" ref="BCA24" si="847">$C$24*BBY24</f>
        <v>100000</v>
      </c>
      <c r="BCC24" s="906">
        <f t="shared" ref="BCC24" si="848">$C$24*BCA24</f>
        <v>100000</v>
      </c>
      <c r="BCE24" s="906">
        <f t="shared" ref="BCE24" si="849">$C$24*BCC24</f>
        <v>100000</v>
      </c>
      <c r="BCG24" s="906">
        <f t="shared" ref="BCG24" si="850">$C$24*BCE24</f>
        <v>100000</v>
      </c>
      <c r="BCI24" s="906">
        <f t="shared" ref="BCI24" si="851">$C$24*BCG24</f>
        <v>100000</v>
      </c>
      <c r="BCK24" s="906">
        <f t="shared" ref="BCK24" si="852">$C$24*BCI24</f>
        <v>100000</v>
      </c>
      <c r="BCM24" s="906">
        <f t="shared" ref="BCM24" si="853">$C$24*BCK24</f>
        <v>100000</v>
      </c>
      <c r="BCO24" s="906">
        <f t="shared" ref="BCO24" si="854">$C$24*BCM24</f>
        <v>100000</v>
      </c>
      <c r="BCQ24" s="906">
        <f t="shared" ref="BCQ24" si="855">$C$24*BCO24</f>
        <v>100000</v>
      </c>
      <c r="BCS24" s="906">
        <f t="shared" ref="BCS24" si="856">$C$24*BCQ24</f>
        <v>100000</v>
      </c>
      <c r="BCU24" s="906">
        <f t="shared" ref="BCU24" si="857">$C$24*BCS24</f>
        <v>100000</v>
      </c>
      <c r="BCW24" s="906">
        <f t="shared" ref="BCW24" si="858">$C$24*BCU24</f>
        <v>100000</v>
      </c>
      <c r="BCY24" s="906">
        <f t="shared" ref="BCY24" si="859">$C$24*BCW24</f>
        <v>100000</v>
      </c>
      <c r="BDA24" s="906">
        <f t="shared" ref="BDA24" si="860">$C$24*BCY24</f>
        <v>100000</v>
      </c>
      <c r="BDC24" s="906">
        <f t="shared" ref="BDC24" si="861">$C$24*BDA24</f>
        <v>100000</v>
      </c>
      <c r="BDE24" s="906">
        <f t="shared" ref="BDE24" si="862">$C$24*BDC24</f>
        <v>100000</v>
      </c>
      <c r="BDG24" s="906">
        <f t="shared" ref="BDG24" si="863">$C$24*BDE24</f>
        <v>100000</v>
      </c>
      <c r="BDI24" s="906">
        <f t="shared" ref="BDI24" si="864">$C$24*BDG24</f>
        <v>100000</v>
      </c>
      <c r="BDK24" s="906">
        <f t="shared" ref="BDK24" si="865">$C$24*BDI24</f>
        <v>100000</v>
      </c>
      <c r="BDM24" s="906">
        <f t="shared" ref="BDM24" si="866">$C$24*BDK24</f>
        <v>100000</v>
      </c>
      <c r="BDO24" s="906">
        <f t="shared" ref="BDO24" si="867">$C$24*BDM24</f>
        <v>100000</v>
      </c>
      <c r="BDQ24" s="906">
        <f t="shared" ref="BDQ24" si="868">$C$24*BDO24</f>
        <v>100000</v>
      </c>
      <c r="BDS24" s="906">
        <f t="shared" ref="BDS24" si="869">$C$24*BDQ24</f>
        <v>100000</v>
      </c>
      <c r="BDU24" s="906">
        <f t="shared" ref="BDU24" si="870">$C$24*BDS24</f>
        <v>100000</v>
      </c>
      <c r="BDW24" s="906">
        <f t="shared" ref="BDW24" si="871">$C$24*BDU24</f>
        <v>100000</v>
      </c>
      <c r="BDY24" s="906">
        <f t="shared" ref="BDY24" si="872">$C$24*BDW24</f>
        <v>100000</v>
      </c>
      <c r="BEA24" s="906">
        <f t="shared" ref="BEA24" si="873">$C$24*BDY24</f>
        <v>100000</v>
      </c>
      <c r="BEC24" s="906">
        <f t="shared" ref="BEC24" si="874">$C$24*BEA24</f>
        <v>100000</v>
      </c>
      <c r="BEE24" s="906">
        <f t="shared" ref="BEE24" si="875">$C$24*BEC24</f>
        <v>100000</v>
      </c>
      <c r="BEG24" s="906">
        <f t="shared" ref="BEG24" si="876">$C$24*BEE24</f>
        <v>100000</v>
      </c>
      <c r="BEI24" s="906">
        <f t="shared" ref="BEI24" si="877">$C$24*BEG24</f>
        <v>100000</v>
      </c>
      <c r="BEK24" s="906">
        <f t="shared" ref="BEK24" si="878">$C$24*BEI24</f>
        <v>100000</v>
      </c>
      <c r="BEM24" s="906">
        <f t="shared" ref="BEM24" si="879">$C$24*BEK24</f>
        <v>100000</v>
      </c>
      <c r="BEO24" s="906">
        <f t="shared" ref="BEO24" si="880">$C$24*BEM24</f>
        <v>100000</v>
      </c>
      <c r="BEQ24" s="906">
        <f t="shared" ref="BEQ24" si="881">$C$24*BEO24</f>
        <v>100000</v>
      </c>
      <c r="BES24" s="906">
        <f t="shared" ref="BES24" si="882">$C$24*BEQ24</f>
        <v>100000</v>
      </c>
      <c r="BEU24" s="906">
        <f t="shared" ref="BEU24" si="883">$C$24*BES24</f>
        <v>100000</v>
      </c>
      <c r="BEW24" s="906">
        <f t="shared" ref="BEW24" si="884">$C$24*BEU24</f>
        <v>100000</v>
      </c>
      <c r="BEY24" s="906">
        <f t="shared" ref="BEY24" si="885">$C$24*BEW24</f>
        <v>100000</v>
      </c>
      <c r="BFA24" s="906">
        <f t="shared" ref="BFA24" si="886">$C$24*BEY24</f>
        <v>100000</v>
      </c>
      <c r="BFC24" s="906">
        <f t="shared" ref="BFC24" si="887">$C$24*BFA24</f>
        <v>100000</v>
      </c>
      <c r="BFE24" s="906">
        <f t="shared" ref="BFE24" si="888">$C$24*BFC24</f>
        <v>100000</v>
      </c>
      <c r="BFG24" s="906">
        <f t="shared" ref="BFG24" si="889">$C$24*BFE24</f>
        <v>100000</v>
      </c>
      <c r="BFI24" s="906">
        <f t="shared" ref="BFI24" si="890">$C$24*BFG24</f>
        <v>100000</v>
      </c>
      <c r="BFK24" s="906">
        <f t="shared" ref="BFK24" si="891">$C$24*BFI24</f>
        <v>100000</v>
      </c>
      <c r="BFM24" s="906">
        <f t="shared" ref="BFM24" si="892">$C$24*BFK24</f>
        <v>100000</v>
      </c>
      <c r="BFO24" s="906">
        <f t="shared" ref="BFO24" si="893">$C$24*BFM24</f>
        <v>100000</v>
      </c>
      <c r="BFQ24" s="906">
        <f t="shared" ref="BFQ24" si="894">$C$24*BFO24</f>
        <v>100000</v>
      </c>
      <c r="BFS24" s="906">
        <f t="shared" ref="BFS24" si="895">$C$24*BFQ24</f>
        <v>100000</v>
      </c>
      <c r="BFU24" s="906">
        <f t="shared" ref="BFU24" si="896">$C$24*BFS24</f>
        <v>100000</v>
      </c>
      <c r="BFW24" s="906">
        <f t="shared" ref="BFW24" si="897">$C$24*BFU24</f>
        <v>100000</v>
      </c>
      <c r="BFY24" s="906">
        <f t="shared" ref="BFY24" si="898">$C$24*BFW24</f>
        <v>100000</v>
      </c>
      <c r="BGA24" s="906">
        <f t="shared" ref="BGA24" si="899">$C$24*BFY24</f>
        <v>100000</v>
      </c>
      <c r="BGC24" s="906">
        <f t="shared" ref="BGC24" si="900">$C$24*BGA24</f>
        <v>100000</v>
      </c>
      <c r="BGE24" s="906">
        <f t="shared" ref="BGE24" si="901">$C$24*BGC24</f>
        <v>100000</v>
      </c>
      <c r="BGG24" s="906">
        <f t="shared" ref="BGG24" si="902">$C$24*BGE24</f>
        <v>100000</v>
      </c>
      <c r="BGI24" s="906">
        <f t="shared" ref="BGI24" si="903">$C$24*BGG24</f>
        <v>100000</v>
      </c>
      <c r="BGK24" s="906">
        <f t="shared" ref="BGK24" si="904">$C$24*BGI24</f>
        <v>100000</v>
      </c>
      <c r="BGM24" s="906">
        <f t="shared" ref="BGM24" si="905">$C$24*BGK24</f>
        <v>100000</v>
      </c>
      <c r="BGO24" s="906">
        <f t="shared" ref="BGO24" si="906">$C$24*BGM24</f>
        <v>100000</v>
      </c>
      <c r="BGQ24" s="906">
        <f t="shared" ref="BGQ24" si="907">$C$24*BGO24</f>
        <v>100000</v>
      </c>
      <c r="BGS24" s="906">
        <f t="shared" ref="BGS24" si="908">$C$24*BGQ24</f>
        <v>100000</v>
      </c>
      <c r="BGU24" s="906">
        <f t="shared" ref="BGU24" si="909">$C$24*BGS24</f>
        <v>100000</v>
      </c>
      <c r="BGW24" s="906">
        <f t="shared" ref="BGW24" si="910">$C$24*BGU24</f>
        <v>100000</v>
      </c>
      <c r="BGY24" s="906">
        <f t="shared" ref="BGY24" si="911">$C$24*BGW24</f>
        <v>100000</v>
      </c>
      <c r="BHA24" s="906">
        <f t="shared" ref="BHA24" si="912">$C$24*BGY24</f>
        <v>100000</v>
      </c>
      <c r="BHC24" s="906">
        <f t="shared" ref="BHC24" si="913">$C$24*BHA24</f>
        <v>100000</v>
      </c>
      <c r="BHE24" s="906">
        <f t="shared" ref="BHE24" si="914">$C$24*BHC24</f>
        <v>100000</v>
      </c>
      <c r="BHG24" s="906">
        <f t="shared" ref="BHG24" si="915">$C$24*BHE24</f>
        <v>100000</v>
      </c>
      <c r="BHI24" s="906">
        <f t="shared" ref="BHI24" si="916">$C$24*BHG24</f>
        <v>100000</v>
      </c>
      <c r="BHK24" s="906">
        <f t="shared" ref="BHK24" si="917">$C$24*BHI24</f>
        <v>100000</v>
      </c>
      <c r="BHM24" s="906">
        <f t="shared" ref="BHM24" si="918">$C$24*BHK24</f>
        <v>100000</v>
      </c>
      <c r="BHO24" s="906">
        <f t="shared" ref="BHO24" si="919">$C$24*BHM24</f>
        <v>100000</v>
      </c>
      <c r="BHQ24" s="906">
        <f t="shared" ref="BHQ24" si="920">$C$24*BHO24</f>
        <v>100000</v>
      </c>
      <c r="BHS24" s="906">
        <f t="shared" ref="BHS24" si="921">$C$24*BHQ24</f>
        <v>100000</v>
      </c>
      <c r="BHU24" s="906">
        <f t="shared" ref="BHU24" si="922">$C$24*BHS24</f>
        <v>100000</v>
      </c>
      <c r="BHW24" s="906">
        <f t="shared" ref="BHW24" si="923">$C$24*BHU24</f>
        <v>100000</v>
      </c>
      <c r="BHY24" s="906">
        <f t="shared" ref="BHY24" si="924">$C$24*BHW24</f>
        <v>100000</v>
      </c>
      <c r="BIA24" s="906">
        <f t="shared" ref="BIA24" si="925">$C$24*BHY24</f>
        <v>100000</v>
      </c>
      <c r="BIC24" s="906">
        <f t="shared" ref="BIC24" si="926">$C$24*BIA24</f>
        <v>100000</v>
      </c>
      <c r="BIE24" s="906">
        <f t="shared" ref="BIE24" si="927">$C$24*BIC24</f>
        <v>100000</v>
      </c>
      <c r="BIG24" s="906">
        <f t="shared" ref="BIG24" si="928">$C$24*BIE24</f>
        <v>100000</v>
      </c>
      <c r="BII24" s="906">
        <f t="shared" ref="BII24" si="929">$C$24*BIG24</f>
        <v>100000</v>
      </c>
      <c r="BIK24" s="906">
        <f t="shared" ref="BIK24" si="930">$C$24*BII24</f>
        <v>100000</v>
      </c>
      <c r="BIM24" s="906">
        <f t="shared" ref="BIM24" si="931">$C$24*BIK24</f>
        <v>100000</v>
      </c>
      <c r="BIO24" s="906">
        <f t="shared" ref="BIO24" si="932">$C$24*BIM24</f>
        <v>100000</v>
      </c>
      <c r="BIQ24" s="906">
        <f t="shared" ref="BIQ24" si="933">$C$24*BIO24</f>
        <v>100000</v>
      </c>
      <c r="BIS24" s="906">
        <f t="shared" ref="BIS24" si="934">$C$24*BIQ24</f>
        <v>100000</v>
      </c>
      <c r="BIU24" s="906">
        <f t="shared" ref="BIU24" si="935">$C$24*BIS24</f>
        <v>100000</v>
      </c>
      <c r="BIW24" s="906">
        <f t="shared" ref="BIW24" si="936">$C$24*BIU24</f>
        <v>100000</v>
      </c>
      <c r="BIY24" s="906">
        <f t="shared" ref="BIY24" si="937">$C$24*BIW24</f>
        <v>100000</v>
      </c>
      <c r="BJA24" s="906">
        <f t="shared" ref="BJA24" si="938">$C$24*BIY24</f>
        <v>100000</v>
      </c>
      <c r="BJC24" s="906">
        <f t="shared" ref="BJC24" si="939">$C$24*BJA24</f>
        <v>100000</v>
      </c>
      <c r="BJE24" s="906">
        <f t="shared" ref="BJE24" si="940">$C$24*BJC24</f>
        <v>100000</v>
      </c>
      <c r="BJG24" s="906">
        <f t="shared" ref="BJG24" si="941">$C$24*BJE24</f>
        <v>100000</v>
      </c>
      <c r="BJI24" s="906">
        <f t="shared" ref="BJI24" si="942">$C$24*BJG24</f>
        <v>100000</v>
      </c>
      <c r="BJK24" s="906">
        <f t="shared" ref="BJK24" si="943">$C$24*BJI24</f>
        <v>100000</v>
      </c>
      <c r="BJM24" s="906">
        <f t="shared" ref="BJM24" si="944">$C$24*BJK24</f>
        <v>100000</v>
      </c>
      <c r="BJO24" s="906">
        <f t="shared" ref="BJO24" si="945">$C$24*BJM24</f>
        <v>100000</v>
      </c>
      <c r="BJQ24" s="906">
        <f t="shared" ref="BJQ24" si="946">$C$24*BJO24</f>
        <v>100000</v>
      </c>
      <c r="BJS24" s="906">
        <f t="shared" ref="BJS24" si="947">$C$24*BJQ24</f>
        <v>100000</v>
      </c>
      <c r="BJU24" s="906">
        <f t="shared" ref="BJU24" si="948">$C$24*BJS24</f>
        <v>100000</v>
      </c>
      <c r="BJW24" s="906">
        <f t="shared" ref="BJW24" si="949">$C$24*BJU24</f>
        <v>100000</v>
      </c>
      <c r="BJY24" s="906">
        <f t="shared" ref="BJY24" si="950">$C$24*BJW24</f>
        <v>100000</v>
      </c>
      <c r="BKA24" s="906">
        <f t="shared" ref="BKA24" si="951">$C$24*BJY24</f>
        <v>100000</v>
      </c>
      <c r="BKC24" s="906">
        <f t="shared" ref="BKC24" si="952">$C$24*BKA24</f>
        <v>100000</v>
      </c>
      <c r="BKE24" s="906">
        <f t="shared" ref="BKE24" si="953">$C$24*BKC24</f>
        <v>100000</v>
      </c>
      <c r="BKG24" s="906">
        <f t="shared" ref="BKG24" si="954">$C$24*BKE24</f>
        <v>100000</v>
      </c>
      <c r="BKI24" s="906">
        <f t="shared" ref="BKI24" si="955">$C$24*BKG24</f>
        <v>100000</v>
      </c>
      <c r="BKK24" s="906">
        <f t="shared" ref="BKK24" si="956">$C$24*BKI24</f>
        <v>100000</v>
      </c>
      <c r="BKM24" s="906">
        <f t="shared" ref="BKM24" si="957">$C$24*BKK24</f>
        <v>100000</v>
      </c>
      <c r="BKO24" s="906">
        <f t="shared" ref="BKO24" si="958">$C$24*BKM24</f>
        <v>100000</v>
      </c>
      <c r="BKQ24" s="906">
        <f t="shared" ref="BKQ24" si="959">$C$24*BKO24</f>
        <v>100000</v>
      </c>
      <c r="BKS24" s="906">
        <f t="shared" ref="BKS24" si="960">$C$24*BKQ24</f>
        <v>100000</v>
      </c>
      <c r="BKU24" s="906">
        <f t="shared" ref="BKU24" si="961">$C$24*BKS24</f>
        <v>100000</v>
      </c>
      <c r="BKW24" s="906">
        <f t="shared" ref="BKW24" si="962">$C$24*BKU24</f>
        <v>100000</v>
      </c>
      <c r="BKY24" s="906">
        <f t="shared" ref="BKY24" si="963">$C$24*BKW24</f>
        <v>100000</v>
      </c>
      <c r="BLA24" s="906">
        <f t="shared" ref="BLA24" si="964">$C$24*BKY24</f>
        <v>100000</v>
      </c>
      <c r="BLC24" s="906">
        <f t="shared" ref="BLC24" si="965">$C$24*BLA24</f>
        <v>100000</v>
      </c>
      <c r="BLE24" s="906">
        <f t="shared" ref="BLE24" si="966">$C$24*BLC24</f>
        <v>100000</v>
      </c>
      <c r="BLG24" s="906">
        <f t="shared" ref="BLG24" si="967">$C$24*BLE24</f>
        <v>100000</v>
      </c>
      <c r="BLI24" s="906">
        <f t="shared" ref="BLI24" si="968">$C$24*BLG24</f>
        <v>100000</v>
      </c>
      <c r="BLK24" s="906">
        <f t="shared" ref="BLK24" si="969">$C$24*BLI24</f>
        <v>100000</v>
      </c>
      <c r="BLM24" s="906">
        <f t="shared" ref="BLM24" si="970">$C$24*BLK24</f>
        <v>100000</v>
      </c>
      <c r="BLO24" s="906">
        <f t="shared" ref="BLO24" si="971">$C$24*BLM24</f>
        <v>100000</v>
      </c>
      <c r="BLQ24" s="906">
        <f t="shared" ref="BLQ24" si="972">$C$24*BLO24</f>
        <v>100000</v>
      </c>
      <c r="BLS24" s="906">
        <f t="shared" ref="BLS24" si="973">$C$24*BLQ24</f>
        <v>100000</v>
      </c>
      <c r="BLU24" s="906">
        <f t="shared" ref="BLU24" si="974">$C$24*BLS24</f>
        <v>100000</v>
      </c>
      <c r="BLW24" s="906">
        <f t="shared" ref="BLW24" si="975">$C$24*BLU24</f>
        <v>100000</v>
      </c>
      <c r="BLY24" s="906">
        <f t="shared" ref="BLY24" si="976">$C$24*BLW24</f>
        <v>100000</v>
      </c>
      <c r="BMA24" s="906">
        <f t="shared" ref="BMA24" si="977">$C$24*BLY24</f>
        <v>100000</v>
      </c>
      <c r="BMC24" s="906">
        <f t="shared" ref="BMC24" si="978">$C$24*BMA24</f>
        <v>100000</v>
      </c>
      <c r="BME24" s="906">
        <f t="shared" ref="BME24" si="979">$C$24*BMC24</f>
        <v>100000</v>
      </c>
      <c r="BMG24" s="906">
        <f t="shared" ref="BMG24" si="980">$C$24*BME24</f>
        <v>100000</v>
      </c>
      <c r="BMI24" s="906">
        <f t="shared" ref="BMI24" si="981">$C$24*BMG24</f>
        <v>100000</v>
      </c>
      <c r="BMK24" s="906">
        <f t="shared" ref="BMK24" si="982">$C$24*BMI24</f>
        <v>100000</v>
      </c>
      <c r="BMM24" s="906">
        <f t="shared" ref="BMM24" si="983">$C$24*BMK24</f>
        <v>100000</v>
      </c>
      <c r="BMO24" s="906">
        <f t="shared" ref="BMO24" si="984">$C$24*BMM24</f>
        <v>100000</v>
      </c>
      <c r="BMQ24" s="906">
        <f t="shared" ref="BMQ24" si="985">$C$24*BMO24</f>
        <v>100000</v>
      </c>
      <c r="BMS24" s="906">
        <f t="shared" ref="BMS24" si="986">$C$24*BMQ24</f>
        <v>100000</v>
      </c>
      <c r="BMU24" s="906">
        <f t="shared" ref="BMU24" si="987">$C$24*BMS24</f>
        <v>100000</v>
      </c>
      <c r="BMW24" s="906">
        <f t="shared" ref="BMW24" si="988">$C$24*BMU24</f>
        <v>100000</v>
      </c>
      <c r="BMY24" s="906">
        <f t="shared" ref="BMY24" si="989">$C$24*BMW24</f>
        <v>100000</v>
      </c>
      <c r="BNA24" s="906">
        <f t="shared" ref="BNA24" si="990">$C$24*BMY24</f>
        <v>100000</v>
      </c>
      <c r="BNC24" s="906">
        <f t="shared" ref="BNC24" si="991">$C$24*BNA24</f>
        <v>100000</v>
      </c>
      <c r="BNE24" s="906">
        <f t="shared" ref="BNE24" si="992">$C$24*BNC24</f>
        <v>100000</v>
      </c>
      <c r="BNG24" s="906">
        <f t="shared" ref="BNG24" si="993">$C$24*BNE24</f>
        <v>100000</v>
      </c>
      <c r="BNI24" s="906">
        <f t="shared" ref="BNI24" si="994">$C$24*BNG24</f>
        <v>100000</v>
      </c>
      <c r="BNK24" s="906">
        <f t="shared" ref="BNK24" si="995">$C$24*BNI24</f>
        <v>100000</v>
      </c>
      <c r="BNM24" s="906">
        <f t="shared" ref="BNM24" si="996">$C$24*BNK24</f>
        <v>100000</v>
      </c>
      <c r="BNO24" s="906">
        <f t="shared" ref="BNO24" si="997">$C$24*BNM24</f>
        <v>100000</v>
      </c>
      <c r="BNQ24" s="906">
        <f t="shared" ref="BNQ24" si="998">$C$24*BNO24</f>
        <v>100000</v>
      </c>
      <c r="BNS24" s="906">
        <f t="shared" ref="BNS24" si="999">$C$24*BNQ24</f>
        <v>100000</v>
      </c>
      <c r="BNU24" s="906">
        <f t="shared" ref="BNU24" si="1000">$C$24*BNS24</f>
        <v>100000</v>
      </c>
      <c r="BNW24" s="906">
        <f t="shared" ref="BNW24" si="1001">$C$24*BNU24</f>
        <v>100000</v>
      </c>
      <c r="BNY24" s="906">
        <f t="shared" ref="BNY24" si="1002">$C$24*BNW24</f>
        <v>100000</v>
      </c>
      <c r="BOA24" s="906">
        <f t="shared" ref="BOA24" si="1003">$C$24*BNY24</f>
        <v>100000</v>
      </c>
      <c r="BOC24" s="906">
        <f t="shared" ref="BOC24" si="1004">$C$24*BOA24</f>
        <v>100000</v>
      </c>
      <c r="BOE24" s="906">
        <f t="shared" ref="BOE24" si="1005">$C$24*BOC24</f>
        <v>100000</v>
      </c>
      <c r="BOG24" s="906">
        <f t="shared" ref="BOG24" si="1006">$C$24*BOE24</f>
        <v>100000</v>
      </c>
      <c r="BOI24" s="906">
        <f t="shared" ref="BOI24" si="1007">$C$24*BOG24</f>
        <v>100000</v>
      </c>
      <c r="BOK24" s="906">
        <f t="shared" ref="BOK24" si="1008">$C$24*BOI24</f>
        <v>100000</v>
      </c>
      <c r="BOM24" s="906">
        <f t="shared" ref="BOM24" si="1009">$C$24*BOK24</f>
        <v>100000</v>
      </c>
      <c r="BOO24" s="906">
        <f t="shared" ref="BOO24" si="1010">$C$24*BOM24</f>
        <v>100000</v>
      </c>
      <c r="BOQ24" s="906">
        <f t="shared" ref="BOQ24" si="1011">$C$24*BOO24</f>
        <v>100000</v>
      </c>
      <c r="BOS24" s="906">
        <f t="shared" ref="BOS24" si="1012">$C$24*BOQ24</f>
        <v>100000</v>
      </c>
      <c r="BOU24" s="906">
        <f t="shared" ref="BOU24" si="1013">$C$24*BOS24</f>
        <v>100000</v>
      </c>
      <c r="BOW24" s="906">
        <f t="shared" ref="BOW24" si="1014">$C$24*BOU24</f>
        <v>100000</v>
      </c>
      <c r="BOY24" s="906">
        <f t="shared" ref="BOY24" si="1015">$C$24*BOW24</f>
        <v>100000</v>
      </c>
      <c r="BPA24" s="906">
        <f t="shared" ref="BPA24" si="1016">$C$24*BOY24</f>
        <v>100000</v>
      </c>
      <c r="BPC24" s="906">
        <f t="shared" ref="BPC24" si="1017">$C$24*BPA24</f>
        <v>100000</v>
      </c>
      <c r="BPE24" s="906">
        <f t="shared" ref="BPE24" si="1018">$C$24*BPC24</f>
        <v>100000</v>
      </c>
      <c r="BPG24" s="906">
        <f t="shared" ref="BPG24" si="1019">$C$24*BPE24</f>
        <v>100000</v>
      </c>
      <c r="BPI24" s="906">
        <f t="shared" ref="BPI24" si="1020">$C$24*BPG24</f>
        <v>100000</v>
      </c>
      <c r="BPK24" s="906">
        <f t="shared" ref="BPK24" si="1021">$C$24*BPI24</f>
        <v>100000</v>
      </c>
      <c r="BPM24" s="906">
        <f t="shared" ref="BPM24" si="1022">$C$24*BPK24</f>
        <v>100000</v>
      </c>
      <c r="BPO24" s="906">
        <f t="shared" ref="BPO24" si="1023">$C$24*BPM24</f>
        <v>100000</v>
      </c>
      <c r="BPQ24" s="906">
        <f t="shared" ref="BPQ24" si="1024">$C$24*BPO24</f>
        <v>100000</v>
      </c>
      <c r="BPS24" s="906">
        <f t="shared" ref="BPS24" si="1025">$C$24*BPQ24</f>
        <v>100000</v>
      </c>
      <c r="BPU24" s="906">
        <f t="shared" ref="BPU24" si="1026">$C$24*BPS24</f>
        <v>100000</v>
      </c>
      <c r="BPW24" s="906">
        <f t="shared" ref="BPW24" si="1027">$C$24*BPU24</f>
        <v>100000</v>
      </c>
      <c r="BPY24" s="906">
        <f t="shared" ref="BPY24" si="1028">$C$24*BPW24</f>
        <v>100000</v>
      </c>
      <c r="BQA24" s="906">
        <f t="shared" ref="BQA24" si="1029">$C$24*BPY24</f>
        <v>100000</v>
      </c>
      <c r="BQC24" s="906">
        <f t="shared" ref="BQC24" si="1030">$C$24*BQA24</f>
        <v>100000</v>
      </c>
      <c r="BQE24" s="906">
        <f t="shared" ref="BQE24" si="1031">$C$24*BQC24</f>
        <v>100000</v>
      </c>
      <c r="BQG24" s="906">
        <f t="shared" ref="BQG24" si="1032">$C$24*BQE24</f>
        <v>100000</v>
      </c>
      <c r="BQI24" s="906">
        <f t="shared" ref="BQI24" si="1033">$C$24*BQG24</f>
        <v>100000</v>
      </c>
      <c r="BQK24" s="906">
        <f t="shared" ref="BQK24" si="1034">$C$24*BQI24</f>
        <v>100000</v>
      </c>
      <c r="BQM24" s="906">
        <f t="shared" ref="BQM24" si="1035">$C$24*BQK24</f>
        <v>100000</v>
      </c>
      <c r="BQO24" s="906">
        <f t="shared" ref="BQO24" si="1036">$C$24*BQM24</f>
        <v>100000</v>
      </c>
      <c r="BQQ24" s="906">
        <f t="shared" ref="BQQ24" si="1037">$C$24*BQO24</f>
        <v>100000</v>
      </c>
      <c r="BQS24" s="906">
        <f t="shared" ref="BQS24" si="1038">$C$24*BQQ24</f>
        <v>100000</v>
      </c>
      <c r="BQU24" s="906">
        <f t="shared" ref="BQU24" si="1039">$C$24*BQS24</f>
        <v>100000</v>
      </c>
      <c r="BQW24" s="906">
        <f t="shared" ref="BQW24" si="1040">$C$24*BQU24</f>
        <v>100000</v>
      </c>
      <c r="BQY24" s="906">
        <f t="shared" ref="BQY24" si="1041">$C$24*BQW24</f>
        <v>100000</v>
      </c>
      <c r="BRA24" s="906">
        <f t="shared" ref="BRA24" si="1042">$C$24*BQY24</f>
        <v>100000</v>
      </c>
      <c r="BRC24" s="906">
        <f t="shared" ref="BRC24" si="1043">$C$24*BRA24</f>
        <v>100000</v>
      </c>
      <c r="BRE24" s="906">
        <f t="shared" ref="BRE24" si="1044">$C$24*BRC24</f>
        <v>100000</v>
      </c>
      <c r="BRG24" s="906">
        <f t="shared" ref="BRG24" si="1045">$C$24*BRE24</f>
        <v>100000</v>
      </c>
      <c r="BRI24" s="906">
        <f t="shared" ref="BRI24" si="1046">$C$24*BRG24</f>
        <v>100000</v>
      </c>
      <c r="BRK24" s="906">
        <f t="shared" ref="BRK24" si="1047">$C$24*BRI24</f>
        <v>100000</v>
      </c>
      <c r="BRM24" s="906">
        <f t="shared" ref="BRM24" si="1048">$C$24*BRK24</f>
        <v>100000</v>
      </c>
      <c r="BRO24" s="906">
        <f t="shared" ref="BRO24" si="1049">$C$24*BRM24</f>
        <v>100000</v>
      </c>
      <c r="BRQ24" s="906">
        <f t="shared" ref="BRQ24" si="1050">$C$24*BRO24</f>
        <v>100000</v>
      </c>
      <c r="BRS24" s="906">
        <f t="shared" ref="BRS24" si="1051">$C$24*BRQ24</f>
        <v>100000</v>
      </c>
      <c r="BRU24" s="906">
        <f t="shared" ref="BRU24" si="1052">$C$24*BRS24</f>
        <v>100000</v>
      </c>
      <c r="BRW24" s="906">
        <f t="shared" ref="BRW24" si="1053">$C$24*BRU24</f>
        <v>100000</v>
      </c>
      <c r="BRY24" s="906">
        <f t="shared" ref="BRY24" si="1054">$C$24*BRW24</f>
        <v>100000</v>
      </c>
      <c r="BSA24" s="906">
        <f t="shared" ref="BSA24" si="1055">$C$24*BRY24</f>
        <v>100000</v>
      </c>
      <c r="BSC24" s="906">
        <f t="shared" ref="BSC24" si="1056">$C$24*BSA24</f>
        <v>100000</v>
      </c>
      <c r="BSE24" s="906">
        <f t="shared" ref="BSE24" si="1057">$C$24*BSC24</f>
        <v>100000</v>
      </c>
      <c r="BSG24" s="906">
        <f t="shared" ref="BSG24" si="1058">$C$24*BSE24</f>
        <v>100000</v>
      </c>
      <c r="BSI24" s="906">
        <f t="shared" ref="BSI24" si="1059">$C$24*BSG24</f>
        <v>100000</v>
      </c>
      <c r="BSK24" s="906">
        <f t="shared" ref="BSK24" si="1060">$C$24*BSI24</f>
        <v>100000</v>
      </c>
      <c r="BSM24" s="906">
        <f t="shared" ref="BSM24" si="1061">$C$24*BSK24</f>
        <v>100000</v>
      </c>
      <c r="BSO24" s="906">
        <f t="shared" ref="BSO24" si="1062">$C$24*BSM24</f>
        <v>100000</v>
      </c>
      <c r="BSQ24" s="906">
        <f t="shared" ref="BSQ24" si="1063">$C$24*BSO24</f>
        <v>100000</v>
      </c>
      <c r="BSS24" s="906">
        <f t="shared" ref="BSS24" si="1064">$C$24*BSQ24</f>
        <v>100000</v>
      </c>
      <c r="BSU24" s="906">
        <f t="shared" ref="BSU24" si="1065">$C$24*BSS24</f>
        <v>100000</v>
      </c>
      <c r="BSW24" s="906">
        <f t="shared" ref="BSW24" si="1066">$C$24*BSU24</f>
        <v>100000</v>
      </c>
      <c r="BSY24" s="906">
        <f t="shared" ref="BSY24" si="1067">$C$24*BSW24</f>
        <v>100000</v>
      </c>
      <c r="BTA24" s="906">
        <f t="shared" ref="BTA24" si="1068">$C$24*BSY24</f>
        <v>100000</v>
      </c>
      <c r="BTC24" s="906">
        <f t="shared" ref="BTC24" si="1069">$C$24*BTA24</f>
        <v>100000</v>
      </c>
      <c r="BTE24" s="906">
        <f t="shared" ref="BTE24" si="1070">$C$24*BTC24</f>
        <v>100000</v>
      </c>
      <c r="BTG24" s="906">
        <f t="shared" ref="BTG24" si="1071">$C$24*BTE24</f>
        <v>100000</v>
      </c>
      <c r="BTI24" s="906">
        <f t="shared" ref="BTI24" si="1072">$C$24*BTG24</f>
        <v>100000</v>
      </c>
      <c r="BTK24" s="906">
        <f t="shared" ref="BTK24" si="1073">$C$24*BTI24</f>
        <v>100000</v>
      </c>
      <c r="BTM24" s="906">
        <f t="shared" ref="BTM24" si="1074">$C$24*BTK24</f>
        <v>100000</v>
      </c>
      <c r="BTO24" s="906">
        <f t="shared" ref="BTO24" si="1075">$C$24*BTM24</f>
        <v>100000</v>
      </c>
      <c r="BTQ24" s="906">
        <f t="shared" ref="BTQ24" si="1076">$C$24*BTO24</f>
        <v>100000</v>
      </c>
      <c r="BTS24" s="906">
        <f t="shared" ref="BTS24" si="1077">$C$24*BTQ24</f>
        <v>100000</v>
      </c>
      <c r="BTU24" s="906">
        <f t="shared" ref="BTU24" si="1078">$C$24*BTS24</f>
        <v>100000</v>
      </c>
      <c r="BTW24" s="906">
        <f t="shared" ref="BTW24" si="1079">$C$24*BTU24</f>
        <v>100000</v>
      </c>
      <c r="BTY24" s="906">
        <f t="shared" ref="BTY24" si="1080">$C$24*BTW24</f>
        <v>100000</v>
      </c>
      <c r="BUA24" s="906">
        <f t="shared" ref="BUA24" si="1081">$C$24*BTY24</f>
        <v>100000</v>
      </c>
      <c r="BUC24" s="906">
        <f t="shared" ref="BUC24" si="1082">$C$24*BUA24</f>
        <v>100000</v>
      </c>
      <c r="BUE24" s="906">
        <f t="shared" ref="BUE24" si="1083">$C$24*BUC24</f>
        <v>100000</v>
      </c>
      <c r="BUG24" s="906">
        <f t="shared" ref="BUG24" si="1084">$C$24*BUE24</f>
        <v>100000</v>
      </c>
      <c r="BUI24" s="906">
        <f t="shared" ref="BUI24" si="1085">$C$24*BUG24</f>
        <v>100000</v>
      </c>
      <c r="BUK24" s="906">
        <f t="shared" ref="BUK24" si="1086">$C$24*BUI24</f>
        <v>100000</v>
      </c>
      <c r="BUM24" s="906">
        <f t="shared" ref="BUM24" si="1087">$C$24*BUK24</f>
        <v>100000</v>
      </c>
      <c r="BUO24" s="906">
        <f t="shared" ref="BUO24" si="1088">$C$24*BUM24</f>
        <v>100000</v>
      </c>
      <c r="BUQ24" s="906">
        <f t="shared" ref="BUQ24" si="1089">$C$24*BUO24</f>
        <v>100000</v>
      </c>
      <c r="BUS24" s="906">
        <f t="shared" ref="BUS24" si="1090">$C$24*BUQ24</f>
        <v>100000</v>
      </c>
      <c r="BUU24" s="906">
        <f t="shared" ref="BUU24" si="1091">$C$24*BUS24</f>
        <v>100000</v>
      </c>
      <c r="BUW24" s="906">
        <f t="shared" ref="BUW24" si="1092">$C$24*BUU24</f>
        <v>100000</v>
      </c>
      <c r="BUY24" s="906">
        <f t="shared" ref="BUY24" si="1093">$C$24*BUW24</f>
        <v>100000</v>
      </c>
      <c r="BVA24" s="906">
        <f t="shared" ref="BVA24" si="1094">$C$24*BUY24</f>
        <v>100000</v>
      </c>
      <c r="BVC24" s="906">
        <f t="shared" ref="BVC24" si="1095">$C$24*BVA24</f>
        <v>100000</v>
      </c>
      <c r="BVE24" s="906">
        <f t="shared" ref="BVE24" si="1096">$C$24*BVC24</f>
        <v>100000</v>
      </c>
      <c r="BVG24" s="906">
        <f t="shared" ref="BVG24" si="1097">$C$24*BVE24</f>
        <v>100000</v>
      </c>
      <c r="BVI24" s="906">
        <f t="shared" ref="BVI24" si="1098">$C$24*BVG24</f>
        <v>100000</v>
      </c>
      <c r="BVK24" s="906">
        <f t="shared" ref="BVK24" si="1099">$C$24*BVI24</f>
        <v>100000</v>
      </c>
      <c r="BVM24" s="906">
        <f t="shared" ref="BVM24" si="1100">$C$24*BVK24</f>
        <v>100000</v>
      </c>
      <c r="BVO24" s="906">
        <f t="shared" ref="BVO24" si="1101">$C$24*BVM24</f>
        <v>100000</v>
      </c>
      <c r="BVQ24" s="906">
        <f t="shared" ref="BVQ24" si="1102">$C$24*BVO24</f>
        <v>100000</v>
      </c>
      <c r="BVS24" s="906">
        <f t="shared" ref="BVS24" si="1103">$C$24*BVQ24</f>
        <v>100000</v>
      </c>
      <c r="BVU24" s="906">
        <f t="shared" ref="BVU24" si="1104">$C$24*BVS24</f>
        <v>100000</v>
      </c>
      <c r="BVW24" s="906">
        <f t="shared" ref="BVW24" si="1105">$C$24*BVU24</f>
        <v>100000</v>
      </c>
      <c r="BVY24" s="906">
        <f t="shared" ref="BVY24" si="1106">$C$24*BVW24</f>
        <v>100000</v>
      </c>
      <c r="BWA24" s="906">
        <f t="shared" ref="BWA24" si="1107">$C$24*BVY24</f>
        <v>100000</v>
      </c>
      <c r="BWC24" s="906">
        <f t="shared" ref="BWC24" si="1108">$C$24*BWA24</f>
        <v>100000</v>
      </c>
      <c r="BWE24" s="906">
        <f t="shared" ref="BWE24" si="1109">$C$24*BWC24</f>
        <v>100000</v>
      </c>
      <c r="BWG24" s="906">
        <f t="shared" ref="BWG24" si="1110">$C$24*BWE24</f>
        <v>100000</v>
      </c>
      <c r="BWI24" s="906">
        <f t="shared" ref="BWI24" si="1111">$C$24*BWG24</f>
        <v>100000</v>
      </c>
      <c r="BWK24" s="906">
        <f t="shared" ref="BWK24" si="1112">$C$24*BWI24</f>
        <v>100000</v>
      </c>
      <c r="BWM24" s="906">
        <f t="shared" ref="BWM24" si="1113">$C$24*BWK24</f>
        <v>100000</v>
      </c>
      <c r="BWO24" s="906">
        <f t="shared" ref="BWO24" si="1114">$C$24*BWM24</f>
        <v>100000</v>
      </c>
      <c r="BWQ24" s="906">
        <f t="shared" ref="BWQ24" si="1115">$C$24*BWO24</f>
        <v>100000</v>
      </c>
      <c r="BWS24" s="906">
        <f t="shared" ref="BWS24" si="1116">$C$24*BWQ24</f>
        <v>100000</v>
      </c>
      <c r="BWU24" s="906">
        <f t="shared" ref="BWU24" si="1117">$C$24*BWS24</f>
        <v>100000</v>
      </c>
      <c r="BWW24" s="906">
        <f t="shared" ref="BWW24" si="1118">$C$24*BWU24</f>
        <v>100000</v>
      </c>
      <c r="BWY24" s="906">
        <f t="shared" ref="BWY24" si="1119">$C$24*BWW24</f>
        <v>100000</v>
      </c>
      <c r="BXA24" s="906">
        <f t="shared" ref="BXA24" si="1120">$C$24*BWY24</f>
        <v>100000</v>
      </c>
      <c r="BXC24" s="906">
        <f t="shared" ref="BXC24" si="1121">$C$24*BXA24</f>
        <v>100000</v>
      </c>
      <c r="BXE24" s="906">
        <f t="shared" ref="BXE24" si="1122">$C$24*BXC24</f>
        <v>100000</v>
      </c>
      <c r="BXG24" s="906">
        <f t="shared" ref="BXG24" si="1123">$C$24*BXE24</f>
        <v>100000</v>
      </c>
      <c r="BXI24" s="906">
        <f t="shared" ref="BXI24" si="1124">$C$24*BXG24</f>
        <v>100000</v>
      </c>
      <c r="BXK24" s="906">
        <f t="shared" ref="BXK24" si="1125">$C$24*BXI24</f>
        <v>100000</v>
      </c>
      <c r="BXM24" s="906">
        <f t="shared" ref="BXM24" si="1126">$C$24*BXK24</f>
        <v>100000</v>
      </c>
      <c r="BXO24" s="906">
        <f t="shared" ref="BXO24" si="1127">$C$24*BXM24</f>
        <v>100000</v>
      </c>
      <c r="BXQ24" s="906">
        <f t="shared" ref="BXQ24" si="1128">$C$24*BXO24</f>
        <v>100000</v>
      </c>
      <c r="BXS24" s="906">
        <f t="shared" ref="BXS24" si="1129">$C$24*BXQ24</f>
        <v>100000</v>
      </c>
      <c r="BXU24" s="906">
        <f t="shared" ref="BXU24" si="1130">$C$24*BXS24</f>
        <v>100000</v>
      </c>
      <c r="BXW24" s="906">
        <f t="shared" ref="BXW24" si="1131">$C$24*BXU24</f>
        <v>100000</v>
      </c>
      <c r="BXY24" s="906">
        <f t="shared" ref="BXY24" si="1132">$C$24*BXW24</f>
        <v>100000</v>
      </c>
      <c r="BYA24" s="906">
        <f t="shared" ref="BYA24" si="1133">$C$24*BXY24</f>
        <v>100000</v>
      </c>
      <c r="BYC24" s="906">
        <f t="shared" ref="BYC24" si="1134">$C$24*BYA24</f>
        <v>100000</v>
      </c>
      <c r="BYE24" s="906">
        <f t="shared" ref="BYE24" si="1135">$C$24*BYC24</f>
        <v>100000</v>
      </c>
      <c r="BYG24" s="906">
        <f t="shared" ref="BYG24" si="1136">$C$24*BYE24</f>
        <v>100000</v>
      </c>
      <c r="BYI24" s="906">
        <f t="shared" ref="BYI24" si="1137">$C$24*BYG24</f>
        <v>100000</v>
      </c>
      <c r="BYK24" s="906">
        <f t="shared" ref="BYK24" si="1138">$C$24*BYI24</f>
        <v>100000</v>
      </c>
      <c r="BYM24" s="906">
        <f t="shared" ref="BYM24" si="1139">$C$24*BYK24</f>
        <v>100000</v>
      </c>
      <c r="BYO24" s="906">
        <f t="shared" ref="BYO24" si="1140">$C$24*BYM24</f>
        <v>100000</v>
      </c>
      <c r="BYQ24" s="906">
        <f t="shared" ref="BYQ24" si="1141">$C$24*BYO24</f>
        <v>100000</v>
      </c>
      <c r="BYS24" s="906">
        <f t="shared" ref="BYS24" si="1142">$C$24*BYQ24</f>
        <v>100000</v>
      </c>
      <c r="BYU24" s="906">
        <f t="shared" ref="BYU24" si="1143">$C$24*BYS24</f>
        <v>100000</v>
      </c>
      <c r="BYW24" s="906">
        <f t="shared" ref="BYW24" si="1144">$C$24*BYU24</f>
        <v>100000</v>
      </c>
      <c r="BYY24" s="906">
        <f t="shared" ref="BYY24" si="1145">$C$24*BYW24</f>
        <v>100000</v>
      </c>
      <c r="BZA24" s="906">
        <f t="shared" ref="BZA24" si="1146">$C$24*BYY24</f>
        <v>100000</v>
      </c>
      <c r="BZC24" s="906">
        <f t="shared" ref="BZC24" si="1147">$C$24*BZA24</f>
        <v>100000</v>
      </c>
      <c r="BZE24" s="906">
        <f t="shared" ref="BZE24" si="1148">$C$24*BZC24</f>
        <v>100000</v>
      </c>
      <c r="BZG24" s="906">
        <f t="shared" ref="BZG24" si="1149">$C$24*BZE24</f>
        <v>100000</v>
      </c>
      <c r="BZI24" s="906">
        <f t="shared" ref="BZI24" si="1150">$C$24*BZG24</f>
        <v>100000</v>
      </c>
      <c r="BZK24" s="906">
        <f t="shared" ref="BZK24" si="1151">$C$24*BZI24</f>
        <v>100000</v>
      </c>
      <c r="BZM24" s="906">
        <f t="shared" ref="BZM24" si="1152">$C$24*BZK24</f>
        <v>100000</v>
      </c>
      <c r="BZO24" s="906">
        <f t="shared" ref="BZO24" si="1153">$C$24*BZM24</f>
        <v>100000</v>
      </c>
      <c r="BZQ24" s="906">
        <f t="shared" ref="BZQ24" si="1154">$C$24*BZO24</f>
        <v>100000</v>
      </c>
      <c r="BZS24" s="906">
        <f t="shared" ref="BZS24" si="1155">$C$24*BZQ24</f>
        <v>100000</v>
      </c>
      <c r="BZU24" s="906">
        <f t="shared" ref="BZU24" si="1156">$C$24*BZS24</f>
        <v>100000</v>
      </c>
      <c r="BZW24" s="906">
        <f t="shared" ref="BZW24" si="1157">$C$24*BZU24</f>
        <v>100000</v>
      </c>
      <c r="BZY24" s="906">
        <f t="shared" ref="BZY24" si="1158">$C$24*BZW24</f>
        <v>100000</v>
      </c>
      <c r="CAA24" s="906">
        <f t="shared" ref="CAA24" si="1159">$C$24*BZY24</f>
        <v>100000</v>
      </c>
      <c r="CAC24" s="906">
        <f t="shared" ref="CAC24" si="1160">$C$24*CAA24</f>
        <v>100000</v>
      </c>
      <c r="CAE24" s="906">
        <f t="shared" ref="CAE24" si="1161">$C$24*CAC24</f>
        <v>100000</v>
      </c>
      <c r="CAG24" s="906">
        <f t="shared" ref="CAG24" si="1162">$C$24*CAE24</f>
        <v>100000</v>
      </c>
      <c r="CAI24" s="906">
        <f t="shared" ref="CAI24" si="1163">$C$24*CAG24</f>
        <v>100000</v>
      </c>
      <c r="CAK24" s="906">
        <f t="shared" ref="CAK24" si="1164">$C$24*CAI24</f>
        <v>100000</v>
      </c>
      <c r="CAM24" s="906">
        <f t="shared" ref="CAM24" si="1165">$C$24*CAK24</f>
        <v>100000</v>
      </c>
      <c r="CAO24" s="906">
        <f t="shared" ref="CAO24" si="1166">$C$24*CAM24</f>
        <v>100000</v>
      </c>
      <c r="CAQ24" s="906">
        <f t="shared" ref="CAQ24" si="1167">$C$24*CAO24</f>
        <v>100000</v>
      </c>
      <c r="CAS24" s="906">
        <f t="shared" ref="CAS24" si="1168">$C$24*CAQ24</f>
        <v>100000</v>
      </c>
      <c r="CAU24" s="906">
        <f t="shared" ref="CAU24" si="1169">$C$24*CAS24</f>
        <v>100000</v>
      </c>
      <c r="CAW24" s="906">
        <f t="shared" ref="CAW24" si="1170">$C$24*CAU24</f>
        <v>100000</v>
      </c>
      <c r="CAY24" s="906">
        <f t="shared" ref="CAY24" si="1171">$C$24*CAW24</f>
        <v>100000</v>
      </c>
      <c r="CBA24" s="906">
        <f t="shared" ref="CBA24" si="1172">$C$24*CAY24</f>
        <v>100000</v>
      </c>
      <c r="CBC24" s="906">
        <f t="shared" ref="CBC24" si="1173">$C$24*CBA24</f>
        <v>100000</v>
      </c>
      <c r="CBE24" s="906">
        <f t="shared" ref="CBE24" si="1174">$C$24*CBC24</f>
        <v>100000</v>
      </c>
      <c r="CBG24" s="906">
        <f t="shared" ref="CBG24" si="1175">$C$24*CBE24</f>
        <v>100000</v>
      </c>
      <c r="CBI24" s="906">
        <f t="shared" ref="CBI24" si="1176">$C$24*CBG24</f>
        <v>100000</v>
      </c>
      <c r="CBK24" s="906">
        <f t="shared" ref="CBK24" si="1177">$C$24*CBI24</f>
        <v>100000</v>
      </c>
      <c r="CBM24" s="906">
        <f t="shared" ref="CBM24" si="1178">$C$24*CBK24</f>
        <v>100000</v>
      </c>
      <c r="CBO24" s="906">
        <f t="shared" ref="CBO24" si="1179">$C$24*CBM24</f>
        <v>100000</v>
      </c>
      <c r="CBQ24" s="906">
        <f t="shared" ref="CBQ24" si="1180">$C$24*CBO24</f>
        <v>100000</v>
      </c>
      <c r="CBS24" s="906">
        <f t="shared" ref="CBS24" si="1181">$C$24*CBQ24</f>
        <v>100000</v>
      </c>
      <c r="CBU24" s="906">
        <f t="shared" ref="CBU24" si="1182">$C$24*CBS24</f>
        <v>100000</v>
      </c>
      <c r="CBW24" s="906">
        <f t="shared" ref="CBW24" si="1183">$C$24*CBU24</f>
        <v>100000</v>
      </c>
      <c r="CBY24" s="906">
        <f t="shared" ref="CBY24" si="1184">$C$24*CBW24</f>
        <v>100000</v>
      </c>
      <c r="CCA24" s="906">
        <f t="shared" ref="CCA24" si="1185">$C$24*CBY24</f>
        <v>100000</v>
      </c>
      <c r="CCC24" s="906">
        <f t="shared" ref="CCC24" si="1186">$C$24*CCA24</f>
        <v>100000</v>
      </c>
      <c r="CCE24" s="906">
        <f t="shared" ref="CCE24" si="1187">$C$24*CCC24</f>
        <v>100000</v>
      </c>
      <c r="CCG24" s="906">
        <f t="shared" ref="CCG24" si="1188">$C$24*CCE24</f>
        <v>100000</v>
      </c>
      <c r="CCI24" s="906">
        <f t="shared" ref="CCI24" si="1189">$C$24*CCG24</f>
        <v>100000</v>
      </c>
      <c r="CCK24" s="906">
        <f t="shared" ref="CCK24" si="1190">$C$24*CCI24</f>
        <v>100000</v>
      </c>
      <c r="CCM24" s="906">
        <f t="shared" ref="CCM24" si="1191">$C$24*CCK24</f>
        <v>100000</v>
      </c>
      <c r="CCO24" s="906">
        <f t="shared" ref="CCO24" si="1192">$C$24*CCM24</f>
        <v>100000</v>
      </c>
      <c r="CCQ24" s="906">
        <f t="shared" ref="CCQ24" si="1193">$C$24*CCO24</f>
        <v>100000</v>
      </c>
      <c r="CCS24" s="906">
        <f t="shared" ref="CCS24" si="1194">$C$24*CCQ24</f>
        <v>100000</v>
      </c>
      <c r="CCU24" s="906">
        <f t="shared" ref="CCU24" si="1195">$C$24*CCS24</f>
        <v>100000</v>
      </c>
      <c r="CCW24" s="906">
        <f t="shared" ref="CCW24" si="1196">$C$24*CCU24</f>
        <v>100000</v>
      </c>
      <c r="CCY24" s="906">
        <f t="shared" ref="CCY24" si="1197">$C$24*CCW24</f>
        <v>100000</v>
      </c>
      <c r="CDA24" s="906">
        <f t="shared" ref="CDA24" si="1198">$C$24*CCY24</f>
        <v>100000</v>
      </c>
      <c r="CDC24" s="906">
        <f t="shared" ref="CDC24" si="1199">$C$24*CDA24</f>
        <v>100000</v>
      </c>
      <c r="CDE24" s="906">
        <f t="shared" ref="CDE24" si="1200">$C$24*CDC24</f>
        <v>100000</v>
      </c>
      <c r="CDG24" s="906">
        <f t="shared" ref="CDG24" si="1201">$C$24*CDE24</f>
        <v>100000</v>
      </c>
      <c r="CDI24" s="906">
        <f t="shared" ref="CDI24" si="1202">$C$24*CDG24</f>
        <v>100000</v>
      </c>
      <c r="CDK24" s="906">
        <f t="shared" ref="CDK24" si="1203">$C$24*CDI24</f>
        <v>100000</v>
      </c>
      <c r="CDM24" s="906">
        <f t="shared" ref="CDM24" si="1204">$C$24*CDK24</f>
        <v>100000</v>
      </c>
      <c r="CDO24" s="906">
        <f t="shared" ref="CDO24" si="1205">$C$24*CDM24</f>
        <v>100000</v>
      </c>
      <c r="CDQ24" s="906">
        <f t="shared" ref="CDQ24" si="1206">$C$24*CDO24</f>
        <v>100000</v>
      </c>
      <c r="CDS24" s="906">
        <f t="shared" ref="CDS24" si="1207">$C$24*CDQ24</f>
        <v>100000</v>
      </c>
      <c r="CDU24" s="906">
        <f t="shared" ref="CDU24" si="1208">$C$24*CDS24</f>
        <v>100000</v>
      </c>
      <c r="CDW24" s="906">
        <f t="shared" ref="CDW24" si="1209">$C$24*CDU24</f>
        <v>100000</v>
      </c>
      <c r="CDY24" s="906">
        <f t="shared" ref="CDY24" si="1210">$C$24*CDW24</f>
        <v>100000</v>
      </c>
      <c r="CEA24" s="906">
        <f t="shared" ref="CEA24" si="1211">$C$24*CDY24</f>
        <v>100000</v>
      </c>
      <c r="CEC24" s="906">
        <f t="shared" ref="CEC24" si="1212">$C$24*CEA24</f>
        <v>100000</v>
      </c>
      <c r="CEE24" s="906">
        <f t="shared" ref="CEE24" si="1213">$C$24*CEC24</f>
        <v>100000</v>
      </c>
      <c r="CEG24" s="906">
        <f t="shared" ref="CEG24" si="1214">$C$24*CEE24</f>
        <v>100000</v>
      </c>
      <c r="CEI24" s="906">
        <f t="shared" ref="CEI24" si="1215">$C$24*CEG24</f>
        <v>100000</v>
      </c>
      <c r="CEK24" s="906">
        <f t="shared" ref="CEK24" si="1216">$C$24*CEI24</f>
        <v>100000</v>
      </c>
      <c r="CEM24" s="906">
        <f t="shared" ref="CEM24" si="1217">$C$24*CEK24</f>
        <v>100000</v>
      </c>
      <c r="CEO24" s="906">
        <f t="shared" ref="CEO24" si="1218">$C$24*CEM24</f>
        <v>100000</v>
      </c>
      <c r="CEQ24" s="906">
        <f t="shared" ref="CEQ24" si="1219">$C$24*CEO24</f>
        <v>100000</v>
      </c>
      <c r="CES24" s="906">
        <f t="shared" ref="CES24" si="1220">$C$24*CEQ24</f>
        <v>100000</v>
      </c>
      <c r="CEU24" s="906">
        <f t="shared" ref="CEU24" si="1221">$C$24*CES24</f>
        <v>100000</v>
      </c>
      <c r="CEW24" s="906">
        <f t="shared" ref="CEW24" si="1222">$C$24*CEU24</f>
        <v>100000</v>
      </c>
      <c r="CEY24" s="906">
        <f t="shared" ref="CEY24" si="1223">$C$24*CEW24</f>
        <v>100000</v>
      </c>
      <c r="CFA24" s="906">
        <f t="shared" ref="CFA24" si="1224">$C$24*CEY24</f>
        <v>100000</v>
      </c>
      <c r="CFC24" s="906">
        <f t="shared" ref="CFC24" si="1225">$C$24*CFA24</f>
        <v>100000</v>
      </c>
      <c r="CFE24" s="906">
        <f t="shared" ref="CFE24" si="1226">$C$24*CFC24</f>
        <v>100000</v>
      </c>
      <c r="CFG24" s="906">
        <f t="shared" ref="CFG24" si="1227">$C$24*CFE24</f>
        <v>100000</v>
      </c>
      <c r="CFI24" s="906">
        <f t="shared" ref="CFI24" si="1228">$C$24*CFG24</f>
        <v>100000</v>
      </c>
      <c r="CFK24" s="906">
        <f t="shared" ref="CFK24" si="1229">$C$24*CFI24</f>
        <v>100000</v>
      </c>
      <c r="CFM24" s="906">
        <f t="shared" ref="CFM24" si="1230">$C$24*CFK24</f>
        <v>100000</v>
      </c>
      <c r="CFO24" s="906">
        <f t="shared" ref="CFO24" si="1231">$C$24*CFM24</f>
        <v>100000</v>
      </c>
      <c r="CFQ24" s="906">
        <f t="shared" ref="CFQ24" si="1232">$C$24*CFO24</f>
        <v>100000</v>
      </c>
      <c r="CFS24" s="906">
        <f t="shared" ref="CFS24" si="1233">$C$24*CFQ24</f>
        <v>100000</v>
      </c>
      <c r="CFU24" s="906">
        <f t="shared" ref="CFU24" si="1234">$C$24*CFS24</f>
        <v>100000</v>
      </c>
      <c r="CFW24" s="906">
        <f t="shared" ref="CFW24" si="1235">$C$24*CFU24</f>
        <v>100000</v>
      </c>
      <c r="CFY24" s="906">
        <f t="shared" ref="CFY24" si="1236">$C$24*CFW24</f>
        <v>100000</v>
      </c>
      <c r="CGA24" s="906">
        <f t="shared" ref="CGA24" si="1237">$C$24*CFY24</f>
        <v>100000</v>
      </c>
      <c r="CGC24" s="906">
        <f t="shared" ref="CGC24" si="1238">$C$24*CGA24</f>
        <v>100000</v>
      </c>
      <c r="CGE24" s="906">
        <f t="shared" ref="CGE24" si="1239">$C$24*CGC24</f>
        <v>100000</v>
      </c>
      <c r="CGG24" s="906">
        <f t="shared" ref="CGG24" si="1240">$C$24*CGE24</f>
        <v>100000</v>
      </c>
      <c r="CGI24" s="906">
        <f t="shared" ref="CGI24" si="1241">$C$24*CGG24</f>
        <v>100000</v>
      </c>
      <c r="CGK24" s="906">
        <f t="shared" ref="CGK24" si="1242">$C$24*CGI24</f>
        <v>100000</v>
      </c>
      <c r="CGM24" s="906">
        <f t="shared" ref="CGM24" si="1243">$C$24*CGK24</f>
        <v>100000</v>
      </c>
      <c r="CGO24" s="906">
        <f t="shared" ref="CGO24" si="1244">$C$24*CGM24</f>
        <v>100000</v>
      </c>
      <c r="CGQ24" s="906">
        <f t="shared" ref="CGQ24" si="1245">$C$24*CGO24</f>
        <v>100000</v>
      </c>
      <c r="CGS24" s="906">
        <f t="shared" ref="CGS24" si="1246">$C$24*CGQ24</f>
        <v>100000</v>
      </c>
      <c r="CGU24" s="906">
        <f t="shared" ref="CGU24" si="1247">$C$24*CGS24</f>
        <v>100000</v>
      </c>
      <c r="CGW24" s="906">
        <f t="shared" ref="CGW24" si="1248">$C$24*CGU24</f>
        <v>100000</v>
      </c>
      <c r="CGY24" s="906">
        <f t="shared" ref="CGY24" si="1249">$C$24*CGW24</f>
        <v>100000</v>
      </c>
      <c r="CHA24" s="906">
        <f t="shared" ref="CHA24" si="1250">$C$24*CGY24</f>
        <v>100000</v>
      </c>
      <c r="CHC24" s="906">
        <f t="shared" ref="CHC24" si="1251">$C$24*CHA24</f>
        <v>100000</v>
      </c>
      <c r="CHE24" s="906">
        <f t="shared" ref="CHE24" si="1252">$C$24*CHC24</f>
        <v>100000</v>
      </c>
      <c r="CHG24" s="906">
        <f t="shared" ref="CHG24" si="1253">$C$24*CHE24</f>
        <v>100000</v>
      </c>
      <c r="CHI24" s="906">
        <f t="shared" ref="CHI24" si="1254">$C$24*CHG24</f>
        <v>100000</v>
      </c>
      <c r="CHK24" s="906">
        <f t="shared" ref="CHK24" si="1255">$C$24*CHI24</f>
        <v>100000</v>
      </c>
      <c r="CHM24" s="906">
        <f t="shared" ref="CHM24" si="1256">$C$24*CHK24</f>
        <v>100000</v>
      </c>
      <c r="CHO24" s="906">
        <f t="shared" ref="CHO24" si="1257">$C$24*CHM24</f>
        <v>100000</v>
      </c>
      <c r="CHQ24" s="906">
        <f t="shared" ref="CHQ24" si="1258">$C$24*CHO24</f>
        <v>100000</v>
      </c>
      <c r="CHS24" s="906">
        <f t="shared" ref="CHS24" si="1259">$C$24*CHQ24</f>
        <v>100000</v>
      </c>
      <c r="CHU24" s="906">
        <f t="shared" ref="CHU24" si="1260">$C$24*CHS24</f>
        <v>100000</v>
      </c>
      <c r="CHW24" s="906">
        <f t="shared" ref="CHW24" si="1261">$C$24*CHU24</f>
        <v>100000</v>
      </c>
      <c r="CHY24" s="906">
        <f t="shared" ref="CHY24" si="1262">$C$24*CHW24</f>
        <v>100000</v>
      </c>
      <c r="CIA24" s="906">
        <f t="shared" ref="CIA24" si="1263">$C$24*CHY24</f>
        <v>100000</v>
      </c>
      <c r="CIC24" s="906">
        <f t="shared" ref="CIC24" si="1264">$C$24*CIA24</f>
        <v>100000</v>
      </c>
      <c r="CIE24" s="906">
        <f t="shared" ref="CIE24" si="1265">$C$24*CIC24</f>
        <v>100000</v>
      </c>
      <c r="CIG24" s="906">
        <f t="shared" ref="CIG24" si="1266">$C$24*CIE24</f>
        <v>100000</v>
      </c>
      <c r="CII24" s="906">
        <f t="shared" ref="CII24" si="1267">$C$24*CIG24</f>
        <v>100000</v>
      </c>
      <c r="CIK24" s="906">
        <f t="shared" ref="CIK24" si="1268">$C$24*CII24</f>
        <v>100000</v>
      </c>
      <c r="CIM24" s="906">
        <f t="shared" ref="CIM24" si="1269">$C$24*CIK24</f>
        <v>100000</v>
      </c>
      <c r="CIO24" s="906">
        <f t="shared" ref="CIO24" si="1270">$C$24*CIM24</f>
        <v>100000</v>
      </c>
      <c r="CIQ24" s="906">
        <f t="shared" ref="CIQ24" si="1271">$C$24*CIO24</f>
        <v>100000</v>
      </c>
      <c r="CIS24" s="906">
        <f t="shared" ref="CIS24" si="1272">$C$24*CIQ24</f>
        <v>100000</v>
      </c>
      <c r="CIU24" s="906">
        <f t="shared" ref="CIU24" si="1273">$C$24*CIS24</f>
        <v>100000</v>
      </c>
      <c r="CIW24" s="906">
        <f t="shared" ref="CIW24" si="1274">$C$24*CIU24</f>
        <v>100000</v>
      </c>
      <c r="CIY24" s="906">
        <f t="shared" ref="CIY24" si="1275">$C$24*CIW24</f>
        <v>100000</v>
      </c>
      <c r="CJA24" s="906">
        <f t="shared" ref="CJA24" si="1276">$C$24*CIY24</f>
        <v>100000</v>
      </c>
      <c r="CJC24" s="906">
        <f t="shared" ref="CJC24" si="1277">$C$24*CJA24</f>
        <v>100000</v>
      </c>
      <c r="CJE24" s="906">
        <f t="shared" ref="CJE24" si="1278">$C$24*CJC24</f>
        <v>100000</v>
      </c>
      <c r="CJG24" s="906">
        <f t="shared" ref="CJG24" si="1279">$C$24*CJE24</f>
        <v>100000</v>
      </c>
      <c r="CJI24" s="906">
        <f t="shared" ref="CJI24" si="1280">$C$24*CJG24</f>
        <v>100000</v>
      </c>
      <c r="CJK24" s="906">
        <f t="shared" ref="CJK24" si="1281">$C$24*CJI24</f>
        <v>100000</v>
      </c>
      <c r="CJM24" s="906">
        <f t="shared" ref="CJM24" si="1282">$C$24*CJK24</f>
        <v>100000</v>
      </c>
      <c r="CJO24" s="906">
        <f t="shared" ref="CJO24" si="1283">$C$24*CJM24</f>
        <v>100000</v>
      </c>
      <c r="CJQ24" s="906">
        <f t="shared" ref="CJQ24" si="1284">$C$24*CJO24</f>
        <v>100000</v>
      </c>
      <c r="CJS24" s="906">
        <f t="shared" ref="CJS24" si="1285">$C$24*CJQ24</f>
        <v>100000</v>
      </c>
      <c r="CJU24" s="906">
        <f t="shared" ref="CJU24" si="1286">$C$24*CJS24</f>
        <v>100000</v>
      </c>
      <c r="CJW24" s="906">
        <f t="shared" ref="CJW24" si="1287">$C$24*CJU24</f>
        <v>100000</v>
      </c>
      <c r="CJY24" s="906">
        <f t="shared" ref="CJY24" si="1288">$C$24*CJW24</f>
        <v>100000</v>
      </c>
      <c r="CKA24" s="906">
        <f t="shared" ref="CKA24" si="1289">$C$24*CJY24</f>
        <v>100000</v>
      </c>
      <c r="CKC24" s="906">
        <f t="shared" ref="CKC24" si="1290">$C$24*CKA24</f>
        <v>100000</v>
      </c>
      <c r="CKE24" s="906">
        <f t="shared" ref="CKE24" si="1291">$C$24*CKC24</f>
        <v>100000</v>
      </c>
      <c r="CKG24" s="906">
        <f t="shared" ref="CKG24" si="1292">$C$24*CKE24</f>
        <v>100000</v>
      </c>
      <c r="CKI24" s="906">
        <f t="shared" ref="CKI24" si="1293">$C$24*CKG24</f>
        <v>100000</v>
      </c>
      <c r="CKK24" s="906">
        <f t="shared" ref="CKK24" si="1294">$C$24*CKI24</f>
        <v>100000</v>
      </c>
      <c r="CKM24" s="906">
        <f t="shared" ref="CKM24" si="1295">$C$24*CKK24</f>
        <v>100000</v>
      </c>
      <c r="CKO24" s="906">
        <f t="shared" ref="CKO24" si="1296">$C$24*CKM24</f>
        <v>100000</v>
      </c>
      <c r="CKQ24" s="906">
        <f t="shared" ref="CKQ24" si="1297">$C$24*CKO24</f>
        <v>100000</v>
      </c>
      <c r="CKS24" s="906">
        <f t="shared" ref="CKS24" si="1298">$C$24*CKQ24</f>
        <v>100000</v>
      </c>
      <c r="CKU24" s="906">
        <f t="shared" ref="CKU24" si="1299">$C$24*CKS24</f>
        <v>100000</v>
      </c>
      <c r="CKW24" s="906">
        <f t="shared" ref="CKW24" si="1300">$C$24*CKU24</f>
        <v>100000</v>
      </c>
      <c r="CKY24" s="906">
        <f t="shared" ref="CKY24" si="1301">$C$24*CKW24</f>
        <v>100000</v>
      </c>
      <c r="CLA24" s="906">
        <f t="shared" ref="CLA24" si="1302">$C$24*CKY24</f>
        <v>100000</v>
      </c>
      <c r="CLC24" s="906">
        <f t="shared" ref="CLC24" si="1303">$C$24*CLA24</f>
        <v>100000</v>
      </c>
      <c r="CLE24" s="906">
        <f t="shared" ref="CLE24" si="1304">$C$24*CLC24</f>
        <v>100000</v>
      </c>
      <c r="CLG24" s="906">
        <f t="shared" ref="CLG24" si="1305">$C$24*CLE24</f>
        <v>100000</v>
      </c>
      <c r="CLI24" s="906">
        <f t="shared" ref="CLI24" si="1306">$C$24*CLG24</f>
        <v>100000</v>
      </c>
      <c r="CLK24" s="906">
        <f t="shared" ref="CLK24" si="1307">$C$24*CLI24</f>
        <v>100000</v>
      </c>
      <c r="CLM24" s="906">
        <f t="shared" ref="CLM24" si="1308">$C$24*CLK24</f>
        <v>100000</v>
      </c>
      <c r="CLO24" s="906">
        <f t="shared" ref="CLO24" si="1309">$C$24*CLM24</f>
        <v>100000</v>
      </c>
      <c r="CLQ24" s="906">
        <f t="shared" ref="CLQ24" si="1310">$C$24*CLO24</f>
        <v>100000</v>
      </c>
      <c r="CLS24" s="906">
        <f t="shared" ref="CLS24" si="1311">$C$24*CLQ24</f>
        <v>100000</v>
      </c>
      <c r="CLU24" s="906">
        <f t="shared" ref="CLU24" si="1312">$C$24*CLS24</f>
        <v>100000</v>
      </c>
      <c r="CLW24" s="906">
        <f t="shared" ref="CLW24" si="1313">$C$24*CLU24</f>
        <v>100000</v>
      </c>
      <c r="CLY24" s="906">
        <f t="shared" ref="CLY24" si="1314">$C$24*CLW24</f>
        <v>100000</v>
      </c>
      <c r="CMA24" s="906">
        <f t="shared" ref="CMA24" si="1315">$C$24*CLY24</f>
        <v>100000</v>
      </c>
      <c r="CMC24" s="906">
        <f t="shared" ref="CMC24" si="1316">$C$24*CMA24</f>
        <v>100000</v>
      </c>
      <c r="CME24" s="906">
        <f t="shared" ref="CME24" si="1317">$C$24*CMC24</f>
        <v>100000</v>
      </c>
      <c r="CMG24" s="906">
        <f t="shared" ref="CMG24" si="1318">$C$24*CME24</f>
        <v>100000</v>
      </c>
      <c r="CMI24" s="906">
        <f t="shared" ref="CMI24" si="1319">$C$24*CMG24</f>
        <v>100000</v>
      </c>
      <c r="CMK24" s="906">
        <f t="shared" ref="CMK24" si="1320">$C$24*CMI24</f>
        <v>100000</v>
      </c>
      <c r="CMM24" s="906">
        <f t="shared" ref="CMM24" si="1321">$C$24*CMK24</f>
        <v>100000</v>
      </c>
      <c r="CMO24" s="906">
        <f t="shared" ref="CMO24" si="1322">$C$24*CMM24</f>
        <v>100000</v>
      </c>
      <c r="CMQ24" s="906">
        <f t="shared" ref="CMQ24" si="1323">$C$24*CMO24</f>
        <v>100000</v>
      </c>
      <c r="CMS24" s="906">
        <f t="shared" ref="CMS24" si="1324">$C$24*CMQ24</f>
        <v>100000</v>
      </c>
      <c r="CMU24" s="906">
        <f t="shared" ref="CMU24" si="1325">$C$24*CMS24</f>
        <v>100000</v>
      </c>
      <c r="CMW24" s="906">
        <f t="shared" ref="CMW24" si="1326">$C$24*CMU24</f>
        <v>100000</v>
      </c>
      <c r="CMY24" s="906">
        <f t="shared" ref="CMY24" si="1327">$C$24*CMW24</f>
        <v>100000</v>
      </c>
      <c r="CNA24" s="906">
        <f t="shared" ref="CNA24" si="1328">$C$24*CMY24</f>
        <v>100000</v>
      </c>
      <c r="CNC24" s="906">
        <f t="shared" ref="CNC24" si="1329">$C$24*CNA24</f>
        <v>100000</v>
      </c>
      <c r="CNE24" s="906">
        <f t="shared" ref="CNE24" si="1330">$C$24*CNC24</f>
        <v>100000</v>
      </c>
      <c r="CNG24" s="906">
        <f t="shared" ref="CNG24" si="1331">$C$24*CNE24</f>
        <v>100000</v>
      </c>
      <c r="CNI24" s="906">
        <f t="shared" ref="CNI24" si="1332">$C$24*CNG24</f>
        <v>100000</v>
      </c>
      <c r="CNK24" s="906">
        <f t="shared" ref="CNK24" si="1333">$C$24*CNI24</f>
        <v>100000</v>
      </c>
      <c r="CNM24" s="906">
        <f t="shared" ref="CNM24" si="1334">$C$24*CNK24</f>
        <v>100000</v>
      </c>
      <c r="CNO24" s="906">
        <f t="shared" ref="CNO24" si="1335">$C$24*CNM24</f>
        <v>100000</v>
      </c>
      <c r="CNQ24" s="906">
        <f t="shared" ref="CNQ24" si="1336">$C$24*CNO24</f>
        <v>100000</v>
      </c>
      <c r="CNS24" s="906">
        <f t="shared" ref="CNS24" si="1337">$C$24*CNQ24</f>
        <v>100000</v>
      </c>
      <c r="CNU24" s="906">
        <f t="shared" ref="CNU24" si="1338">$C$24*CNS24</f>
        <v>100000</v>
      </c>
      <c r="CNW24" s="906">
        <f t="shared" ref="CNW24" si="1339">$C$24*CNU24</f>
        <v>100000</v>
      </c>
      <c r="CNY24" s="906">
        <f t="shared" ref="CNY24" si="1340">$C$24*CNW24</f>
        <v>100000</v>
      </c>
      <c r="COA24" s="906">
        <f t="shared" ref="COA24" si="1341">$C$24*CNY24</f>
        <v>100000</v>
      </c>
      <c r="COC24" s="906">
        <f t="shared" ref="COC24" si="1342">$C$24*COA24</f>
        <v>100000</v>
      </c>
      <c r="COE24" s="906">
        <f t="shared" ref="COE24" si="1343">$C$24*COC24</f>
        <v>100000</v>
      </c>
      <c r="COG24" s="906">
        <f t="shared" ref="COG24" si="1344">$C$24*COE24</f>
        <v>100000</v>
      </c>
      <c r="COI24" s="906">
        <f t="shared" ref="COI24" si="1345">$C$24*COG24</f>
        <v>100000</v>
      </c>
      <c r="COK24" s="906">
        <f t="shared" ref="COK24" si="1346">$C$24*COI24</f>
        <v>100000</v>
      </c>
      <c r="COM24" s="906">
        <f t="shared" ref="COM24" si="1347">$C$24*COK24</f>
        <v>100000</v>
      </c>
      <c r="COO24" s="906">
        <f t="shared" ref="COO24" si="1348">$C$24*COM24</f>
        <v>100000</v>
      </c>
      <c r="COQ24" s="906">
        <f t="shared" ref="COQ24" si="1349">$C$24*COO24</f>
        <v>100000</v>
      </c>
      <c r="COS24" s="906">
        <f t="shared" ref="COS24" si="1350">$C$24*COQ24</f>
        <v>100000</v>
      </c>
      <c r="COU24" s="906">
        <f t="shared" ref="COU24" si="1351">$C$24*COS24</f>
        <v>100000</v>
      </c>
      <c r="COW24" s="906">
        <f t="shared" ref="COW24" si="1352">$C$24*COU24</f>
        <v>100000</v>
      </c>
      <c r="COY24" s="906">
        <f t="shared" ref="COY24" si="1353">$C$24*COW24</f>
        <v>100000</v>
      </c>
      <c r="CPA24" s="906">
        <f t="shared" ref="CPA24" si="1354">$C$24*COY24</f>
        <v>100000</v>
      </c>
      <c r="CPC24" s="906">
        <f t="shared" ref="CPC24" si="1355">$C$24*CPA24</f>
        <v>100000</v>
      </c>
      <c r="CPE24" s="906">
        <f t="shared" ref="CPE24" si="1356">$C$24*CPC24</f>
        <v>100000</v>
      </c>
      <c r="CPG24" s="906">
        <f t="shared" ref="CPG24" si="1357">$C$24*CPE24</f>
        <v>100000</v>
      </c>
      <c r="CPI24" s="906">
        <f t="shared" ref="CPI24" si="1358">$C$24*CPG24</f>
        <v>100000</v>
      </c>
      <c r="CPK24" s="906">
        <f t="shared" ref="CPK24" si="1359">$C$24*CPI24</f>
        <v>100000</v>
      </c>
      <c r="CPM24" s="906">
        <f t="shared" ref="CPM24" si="1360">$C$24*CPK24</f>
        <v>100000</v>
      </c>
      <c r="CPO24" s="906">
        <f t="shared" ref="CPO24" si="1361">$C$24*CPM24</f>
        <v>100000</v>
      </c>
      <c r="CPQ24" s="906">
        <f t="shared" ref="CPQ24" si="1362">$C$24*CPO24</f>
        <v>100000</v>
      </c>
      <c r="CPS24" s="906">
        <f t="shared" ref="CPS24" si="1363">$C$24*CPQ24</f>
        <v>100000</v>
      </c>
      <c r="CPU24" s="906">
        <f t="shared" ref="CPU24" si="1364">$C$24*CPS24</f>
        <v>100000</v>
      </c>
      <c r="CPW24" s="906">
        <f t="shared" ref="CPW24" si="1365">$C$24*CPU24</f>
        <v>100000</v>
      </c>
      <c r="CPY24" s="906">
        <f t="shared" ref="CPY24" si="1366">$C$24*CPW24</f>
        <v>100000</v>
      </c>
      <c r="CQA24" s="906">
        <f t="shared" ref="CQA24" si="1367">$C$24*CPY24</f>
        <v>100000</v>
      </c>
      <c r="CQC24" s="906">
        <f t="shared" ref="CQC24" si="1368">$C$24*CQA24</f>
        <v>100000</v>
      </c>
      <c r="CQE24" s="906">
        <f t="shared" ref="CQE24" si="1369">$C$24*CQC24</f>
        <v>100000</v>
      </c>
      <c r="CQG24" s="906">
        <f t="shared" ref="CQG24" si="1370">$C$24*CQE24</f>
        <v>100000</v>
      </c>
      <c r="CQI24" s="906">
        <f t="shared" ref="CQI24" si="1371">$C$24*CQG24</f>
        <v>100000</v>
      </c>
      <c r="CQK24" s="906">
        <f t="shared" ref="CQK24" si="1372">$C$24*CQI24</f>
        <v>100000</v>
      </c>
      <c r="CQM24" s="906">
        <f t="shared" ref="CQM24" si="1373">$C$24*CQK24</f>
        <v>100000</v>
      </c>
      <c r="CQO24" s="906">
        <f t="shared" ref="CQO24" si="1374">$C$24*CQM24</f>
        <v>100000</v>
      </c>
      <c r="CQQ24" s="906">
        <f t="shared" ref="CQQ24" si="1375">$C$24*CQO24</f>
        <v>100000</v>
      </c>
      <c r="CQS24" s="906">
        <f t="shared" ref="CQS24" si="1376">$C$24*CQQ24</f>
        <v>100000</v>
      </c>
      <c r="CQU24" s="906">
        <f t="shared" ref="CQU24" si="1377">$C$24*CQS24</f>
        <v>100000</v>
      </c>
      <c r="CQW24" s="906">
        <f t="shared" ref="CQW24" si="1378">$C$24*CQU24</f>
        <v>100000</v>
      </c>
      <c r="CQY24" s="906">
        <f t="shared" ref="CQY24" si="1379">$C$24*CQW24</f>
        <v>100000</v>
      </c>
      <c r="CRA24" s="906">
        <f t="shared" ref="CRA24" si="1380">$C$24*CQY24</f>
        <v>100000</v>
      </c>
      <c r="CRC24" s="906">
        <f t="shared" ref="CRC24" si="1381">$C$24*CRA24</f>
        <v>100000</v>
      </c>
      <c r="CRE24" s="906">
        <f t="shared" ref="CRE24" si="1382">$C$24*CRC24</f>
        <v>100000</v>
      </c>
      <c r="CRG24" s="906">
        <f t="shared" ref="CRG24" si="1383">$C$24*CRE24</f>
        <v>100000</v>
      </c>
      <c r="CRI24" s="906">
        <f t="shared" ref="CRI24" si="1384">$C$24*CRG24</f>
        <v>100000</v>
      </c>
      <c r="CRK24" s="906">
        <f t="shared" ref="CRK24" si="1385">$C$24*CRI24</f>
        <v>100000</v>
      </c>
      <c r="CRM24" s="906">
        <f t="shared" ref="CRM24" si="1386">$C$24*CRK24</f>
        <v>100000</v>
      </c>
      <c r="CRO24" s="906">
        <f t="shared" ref="CRO24" si="1387">$C$24*CRM24</f>
        <v>100000</v>
      </c>
      <c r="CRQ24" s="906">
        <f t="shared" ref="CRQ24" si="1388">$C$24*CRO24</f>
        <v>100000</v>
      </c>
      <c r="CRS24" s="906">
        <f t="shared" ref="CRS24" si="1389">$C$24*CRQ24</f>
        <v>100000</v>
      </c>
      <c r="CRU24" s="906">
        <f t="shared" ref="CRU24" si="1390">$C$24*CRS24</f>
        <v>100000</v>
      </c>
      <c r="CRW24" s="906">
        <f t="shared" ref="CRW24" si="1391">$C$24*CRU24</f>
        <v>100000</v>
      </c>
      <c r="CRY24" s="906">
        <f t="shared" ref="CRY24" si="1392">$C$24*CRW24</f>
        <v>100000</v>
      </c>
      <c r="CSA24" s="906">
        <f t="shared" ref="CSA24" si="1393">$C$24*CRY24</f>
        <v>100000</v>
      </c>
      <c r="CSC24" s="906">
        <f t="shared" ref="CSC24" si="1394">$C$24*CSA24</f>
        <v>100000</v>
      </c>
      <c r="CSE24" s="906">
        <f t="shared" ref="CSE24" si="1395">$C$24*CSC24</f>
        <v>100000</v>
      </c>
      <c r="CSG24" s="906">
        <f t="shared" ref="CSG24" si="1396">$C$24*CSE24</f>
        <v>100000</v>
      </c>
      <c r="CSI24" s="906">
        <f t="shared" ref="CSI24" si="1397">$C$24*CSG24</f>
        <v>100000</v>
      </c>
      <c r="CSK24" s="906">
        <f t="shared" ref="CSK24" si="1398">$C$24*CSI24</f>
        <v>100000</v>
      </c>
      <c r="CSM24" s="906">
        <f t="shared" ref="CSM24" si="1399">$C$24*CSK24</f>
        <v>100000</v>
      </c>
      <c r="CSO24" s="906">
        <f t="shared" ref="CSO24" si="1400">$C$24*CSM24</f>
        <v>100000</v>
      </c>
      <c r="CSQ24" s="906">
        <f t="shared" ref="CSQ24" si="1401">$C$24*CSO24</f>
        <v>100000</v>
      </c>
      <c r="CSS24" s="906">
        <f t="shared" ref="CSS24" si="1402">$C$24*CSQ24</f>
        <v>100000</v>
      </c>
      <c r="CSU24" s="906">
        <f t="shared" ref="CSU24" si="1403">$C$24*CSS24</f>
        <v>100000</v>
      </c>
      <c r="CSW24" s="906">
        <f t="shared" ref="CSW24" si="1404">$C$24*CSU24</f>
        <v>100000</v>
      </c>
      <c r="CSY24" s="906">
        <f t="shared" ref="CSY24" si="1405">$C$24*CSW24</f>
        <v>100000</v>
      </c>
      <c r="CTA24" s="906">
        <f t="shared" ref="CTA24" si="1406">$C$24*CSY24</f>
        <v>100000</v>
      </c>
      <c r="CTC24" s="906">
        <f t="shared" ref="CTC24" si="1407">$C$24*CTA24</f>
        <v>100000</v>
      </c>
      <c r="CTE24" s="906">
        <f t="shared" ref="CTE24" si="1408">$C$24*CTC24</f>
        <v>100000</v>
      </c>
      <c r="CTG24" s="906">
        <f t="shared" ref="CTG24" si="1409">$C$24*CTE24</f>
        <v>100000</v>
      </c>
      <c r="CTI24" s="906">
        <f t="shared" ref="CTI24" si="1410">$C$24*CTG24</f>
        <v>100000</v>
      </c>
      <c r="CTK24" s="906">
        <f t="shared" ref="CTK24" si="1411">$C$24*CTI24</f>
        <v>100000</v>
      </c>
      <c r="CTM24" s="906">
        <f t="shared" ref="CTM24" si="1412">$C$24*CTK24</f>
        <v>100000</v>
      </c>
      <c r="CTO24" s="906">
        <f t="shared" ref="CTO24" si="1413">$C$24*CTM24</f>
        <v>100000</v>
      </c>
      <c r="CTQ24" s="906">
        <f t="shared" ref="CTQ24" si="1414">$C$24*CTO24</f>
        <v>100000</v>
      </c>
      <c r="CTS24" s="906">
        <f t="shared" ref="CTS24" si="1415">$C$24*CTQ24</f>
        <v>100000</v>
      </c>
      <c r="CTU24" s="906">
        <f t="shared" ref="CTU24" si="1416">$C$24*CTS24</f>
        <v>100000</v>
      </c>
      <c r="CTW24" s="906">
        <f t="shared" ref="CTW24" si="1417">$C$24*CTU24</f>
        <v>100000</v>
      </c>
      <c r="CTY24" s="906">
        <f t="shared" ref="CTY24" si="1418">$C$24*CTW24</f>
        <v>100000</v>
      </c>
      <c r="CUA24" s="906">
        <f t="shared" ref="CUA24" si="1419">$C$24*CTY24</f>
        <v>100000</v>
      </c>
      <c r="CUC24" s="906">
        <f t="shared" ref="CUC24" si="1420">$C$24*CUA24</f>
        <v>100000</v>
      </c>
      <c r="CUE24" s="906">
        <f t="shared" ref="CUE24" si="1421">$C$24*CUC24</f>
        <v>100000</v>
      </c>
      <c r="CUG24" s="906">
        <f t="shared" ref="CUG24" si="1422">$C$24*CUE24</f>
        <v>100000</v>
      </c>
      <c r="CUI24" s="906">
        <f t="shared" ref="CUI24" si="1423">$C$24*CUG24</f>
        <v>100000</v>
      </c>
      <c r="CUK24" s="906">
        <f t="shared" ref="CUK24" si="1424">$C$24*CUI24</f>
        <v>100000</v>
      </c>
      <c r="CUM24" s="906">
        <f t="shared" ref="CUM24" si="1425">$C$24*CUK24</f>
        <v>100000</v>
      </c>
      <c r="CUO24" s="906">
        <f t="shared" ref="CUO24" si="1426">$C$24*CUM24</f>
        <v>100000</v>
      </c>
      <c r="CUQ24" s="906">
        <f t="shared" ref="CUQ24" si="1427">$C$24*CUO24</f>
        <v>100000</v>
      </c>
      <c r="CUS24" s="906">
        <f t="shared" ref="CUS24" si="1428">$C$24*CUQ24</f>
        <v>100000</v>
      </c>
      <c r="CUU24" s="906">
        <f t="shared" ref="CUU24" si="1429">$C$24*CUS24</f>
        <v>100000</v>
      </c>
      <c r="CUW24" s="906">
        <f t="shared" ref="CUW24" si="1430">$C$24*CUU24</f>
        <v>100000</v>
      </c>
      <c r="CUY24" s="906">
        <f t="shared" ref="CUY24" si="1431">$C$24*CUW24</f>
        <v>100000</v>
      </c>
      <c r="CVA24" s="906">
        <f t="shared" ref="CVA24" si="1432">$C$24*CUY24</f>
        <v>100000</v>
      </c>
      <c r="CVC24" s="906">
        <f t="shared" ref="CVC24" si="1433">$C$24*CVA24</f>
        <v>100000</v>
      </c>
      <c r="CVE24" s="906">
        <f t="shared" ref="CVE24" si="1434">$C$24*CVC24</f>
        <v>100000</v>
      </c>
      <c r="CVG24" s="906">
        <f t="shared" ref="CVG24" si="1435">$C$24*CVE24</f>
        <v>100000</v>
      </c>
      <c r="CVI24" s="906">
        <f t="shared" ref="CVI24" si="1436">$C$24*CVG24</f>
        <v>100000</v>
      </c>
      <c r="CVK24" s="906">
        <f t="shared" ref="CVK24" si="1437">$C$24*CVI24</f>
        <v>100000</v>
      </c>
      <c r="CVM24" s="906">
        <f t="shared" ref="CVM24" si="1438">$C$24*CVK24</f>
        <v>100000</v>
      </c>
      <c r="CVO24" s="906">
        <f t="shared" ref="CVO24" si="1439">$C$24*CVM24</f>
        <v>100000</v>
      </c>
      <c r="CVQ24" s="906">
        <f t="shared" ref="CVQ24" si="1440">$C$24*CVO24</f>
        <v>100000</v>
      </c>
      <c r="CVS24" s="906">
        <f t="shared" ref="CVS24" si="1441">$C$24*CVQ24</f>
        <v>100000</v>
      </c>
      <c r="CVU24" s="906">
        <f t="shared" ref="CVU24" si="1442">$C$24*CVS24</f>
        <v>100000</v>
      </c>
      <c r="CVW24" s="906">
        <f t="shared" ref="CVW24" si="1443">$C$24*CVU24</f>
        <v>100000</v>
      </c>
      <c r="CVY24" s="906">
        <f t="shared" ref="CVY24" si="1444">$C$24*CVW24</f>
        <v>100000</v>
      </c>
      <c r="CWA24" s="906">
        <f t="shared" ref="CWA24" si="1445">$C$24*CVY24</f>
        <v>100000</v>
      </c>
      <c r="CWC24" s="906">
        <f t="shared" ref="CWC24" si="1446">$C$24*CWA24</f>
        <v>100000</v>
      </c>
      <c r="CWE24" s="906">
        <f t="shared" ref="CWE24" si="1447">$C$24*CWC24</f>
        <v>100000</v>
      </c>
      <c r="CWG24" s="906">
        <f t="shared" ref="CWG24" si="1448">$C$24*CWE24</f>
        <v>100000</v>
      </c>
      <c r="CWI24" s="906">
        <f t="shared" ref="CWI24" si="1449">$C$24*CWG24</f>
        <v>100000</v>
      </c>
      <c r="CWK24" s="906">
        <f t="shared" ref="CWK24" si="1450">$C$24*CWI24</f>
        <v>100000</v>
      </c>
      <c r="CWM24" s="906">
        <f t="shared" ref="CWM24" si="1451">$C$24*CWK24</f>
        <v>100000</v>
      </c>
      <c r="CWO24" s="906">
        <f t="shared" ref="CWO24" si="1452">$C$24*CWM24</f>
        <v>100000</v>
      </c>
      <c r="CWQ24" s="906">
        <f t="shared" ref="CWQ24" si="1453">$C$24*CWO24</f>
        <v>100000</v>
      </c>
      <c r="CWS24" s="906">
        <f t="shared" ref="CWS24" si="1454">$C$24*CWQ24</f>
        <v>100000</v>
      </c>
      <c r="CWU24" s="906">
        <f t="shared" ref="CWU24" si="1455">$C$24*CWS24</f>
        <v>100000</v>
      </c>
      <c r="CWW24" s="906">
        <f t="shared" ref="CWW24" si="1456">$C$24*CWU24</f>
        <v>100000</v>
      </c>
      <c r="CWY24" s="906">
        <f t="shared" ref="CWY24" si="1457">$C$24*CWW24</f>
        <v>100000</v>
      </c>
      <c r="CXA24" s="906">
        <f t="shared" ref="CXA24" si="1458">$C$24*CWY24</f>
        <v>100000</v>
      </c>
      <c r="CXC24" s="906">
        <f t="shared" ref="CXC24" si="1459">$C$24*CXA24</f>
        <v>100000</v>
      </c>
      <c r="CXE24" s="906">
        <f t="shared" ref="CXE24" si="1460">$C$24*CXC24</f>
        <v>100000</v>
      </c>
      <c r="CXG24" s="906">
        <f t="shared" ref="CXG24" si="1461">$C$24*CXE24</f>
        <v>100000</v>
      </c>
      <c r="CXI24" s="906">
        <f t="shared" ref="CXI24" si="1462">$C$24*CXG24</f>
        <v>100000</v>
      </c>
      <c r="CXK24" s="906">
        <f t="shared" ref="CXK24" si="1463">$C$24*CXI24</f>
        <v>100000</v>
      </c>
      <c r="CXM24" s="906">
        <f t="shared" ref="CXM24" si="1464">$C$24*CXK24</f>
        <v>100000</v>
      </c>
      <c r="CXO24" s="906">
        <f t="shared" ref="CXO24" si="1465">$C$24*CXM24</f>
        <v>100000</v>
      </c>
      <c r="CXQ24" s="906">
        <f t="shared" ref="CXQ24" si="1466">$C$24*CXO24</f>
        <v>100000</v>
      </c>
      <c r="CXS24" s="906">
        <f t="shared" ref="CXS24" si="1467">$C$24*CXQ24</f>
        <v>100000</v>
      </c>
      <c r="CXU24" s="906">
        <f t="shared" ref="CXU24" si="1468">$C$24*CXS24</f>
        <v>100000</v>
      </c>
      <c r="CXW24" s="906">
        <f t="shared" ref="CXW24" si="1469">$C$24*CXU24</f>
        <v>100000</v>
      </c>
      <c r="CXY24" s="906">
        <f t="shared" ref="CXY24" si="1470">$C$24*CXW24</f>
        <v>100000</v>
      </c>
      <c r="CYA24" s="906">
        <f t="shared" ref="CYA24" si="1471">$C$24*CXY24</f>
        <v>100000</v>
      </c>
      <c r="CYC24" s="906">
        <f t="shared" ref="CYC24" si="1472">$C$24*CYA24</f>
        <v>100000</v>
      </c>
      <c r="CYE24" s="906">
        <f t="shared" ref="CYE24" si="1473">$C$24*CYC24</f>
        <v>100000</v>
      </c>
      <c r="CYG24" s="906">
        <f t="shared" ref="CYG24" si="1474">$C$24*CYE24</f>
        <v>100000</v>
      </c>
      <c r="CYI24" s="906">
        <f t="shared" ref="CYI24" si="1475">$C$24*CYG24</f>
        <v>100000</v>
      </c>
      <c r="CYK24" s="906">
        <f t="shared" ref="CYK24" si="1476">$C$24*CYI24</f>
        <v>100000</v>
      </c>
      <c r="CYM24" s="906">
        <f t="shared" ref="CYM24" si="1477">$C$24*CYK24</f>
        <v>100000</v>
      </c>
      <c r="CYO24" s="906">
        <f t="shared" ref="CYO24" si="1478">$C$24*CYM24</f>
        <v>100000</v>
      </c>
      <c r="CYQ24" s="906">
        <f t="shared" ref="CYQ24" si="1479">$C$24*CYO24</f>
        <v>100000</v>
      </c>
      <c r="CYS24" s="906">
        <f t="shared" ref="CYS24" si="1480">$C$24*CYQ24</f>
        <v>100000</v>
      </c>
      <c r="CYU24" s="906">
        <f t="shared" ref="CYU24" si="1481">$C$24*CYS24</f>
        <v>100000</v>
      </c>
      <c r="CYW24" s="906">
        <f t="shared" ref="CYW24" si="1482">$C$24*CYU24</f>
        <v>100000</v>
      </c>
      <c r="CYY24" s="906">
        <f t="shared" ref="CYY24" si="1483">$C$24*CYW24</f>
        <v>100000</v>
      </c>
      <c r="CZA24" s="906">
        <f t="shared" ref="CZA24" si="1484">$C$24*CYY24</f>
        <v>100000</v>
      </c>
      <c r="CZC24" s="906">
        <f t="shared" ref="CZC24" si="1485">$C$24*CZA24</f>
        <v>100000</v>
      </c>
      <c r="CZE24" s="906">
        <f t="shared" ref="CZE24" si="1486">$C$24*CZC24</f>
        <v>100000</v>
      </c>
      <c r="CZG24" s="906">
        <f t="shared" ref="CZG24" si="1487">$C$24*CZE24</f>
        <v>100000</v>
      </c>
      <c r="CZI24" s="906">
        <f t="shared" ref="CZI24" si="1488">$C$24*CZG24</f>
        <v>100000</v>
      </c>
      <c r="CZK24" s="906">
        <f t="shared" ref="CZK24" si="1489">$C$24*CZI24</f>
        <v>100000</v>
      </c>
      <c r="CZM24" s="906">
        <f t="shared" ref="CZM24" si="1490">$C$24*CZK24</f>
        <v>100000</v>
      </c>
      <c r="CZO24" s="906">
        <f t="shared" ref="CZO24" si="1491">$C$24*CZM24</f>
        <v>100000</v>
      </c>
      <c r="CZQ24" s="906">
        <f t="shared" ref="CZQ24" si="1492">$C$24*CZO24</f>
        <v>100000</v>
      </c>
      <c r="CZS24" s="906">
        <f t="shared" ref="CZS24" si="1493">$C$24*CZQ24</f>
        <v>100000</v>
      </c>
      <c r="CZU24" s="906">
        <f t="shared" ref="CZU24" si="1494">$C$24*CZS24</f>
        <v>100000</v>
      </c>
      <c r="CZW24" s="906">
        <f t="shared" ref="CZW24" si="1495">$C$24*CZU24</f>
        <v>100000</v>
      </c>
      <c r="CZY24" s="906">
        <f t="shared" ref="CZY24" si="1496">$C$24*CZW24</f>
        <v>100000</v>
      </c>
      <c r="DAA24" s="906">
        <f t="shared" ref="DAA24" si="1497">$C$24*CZY24</f>
        <v>100000</v>
      </c>
      <c r="DAC24" s="906">
        <f t="shared" ref="DAC24" si="1498">$C$24*DAA24</f>
        <v>100000</v>
      </c>
      <c r="DAE24" s="906">
        <f t="shared" ref="DAE24" si="1499">$C$24*DAC24</f>
        <v>100000</v>
      </c>
      <c r="DAG24" s="906">
        <f t="shared" ref="DAG24" si="1500">$C$24*DAE24</f>
        <v>100000</v>
      </c>
      <c r="DAI24" s="906">
        <f t="shared" ref="DAI24" si="1501">$C$24*DAG24</f>
        <v>100000</v>
      </c>
      <c r="DAK24" s="906">
        <f t="shared" ref="DAK24" si="1502">$C$24*DAI24</f>
        <v>100000</v>
      </c>
      <c r="DAM24" s="906">
        <f t="shared" ref="DAM24" si="1503">$C$24*DAK24</f>
        <v>100000</v>
      </c>
      <c r="DAO24" s="906">
        <f t="shared" ref="DAO24" si="1504">$C$24*DAM24</f>
        <v>100000</v>
      </c>
      <c r="DAQ24" s="906">
        <f t="shared" ref="DAQ24" si="1505">$C$24*DAO24</f>
        <v>100000</v>
      </c>
      <c r="DAS24" s="906">
        <f t="shared" ref="DAS24" si="1506">$C$24*DAQ24</f>
        <v>100000</v>
      </c>
      <c r="DAU24" s="906">
        <f t="shared" ref="DAU24" si="1507">$C$24*DAS24</f>
        <v>100000</v>
      </c>
      <c r="DAW24" s="906">
        <f t="shared" ref="DAW24" si="1508">$C$24*DAU24</f>
        <v>100000</v>
      </c>
      <c r="DAY24" s="906">
        <f t="shared" ref="DAY24" si="1509">$C$24*DAW24</f>
        <v>100000</v>
      </c>
      <c r="DBA24" s="906">
        <f t="shared" ref="DBA24" si="1510">$C$24*DAY24</f>
        <v>100000</v>
      </c>
      <c r="DBC24" s="906">
        <f t="shared" ref="DBC24" si="1511">$C$24*DBA24</f>
        <v>100000</v>
      </c>
      <c r="DBE24" s="906">
        <f t="shared" ref="DBE24" si="1512">$C$24*DBC24</f>
        <v>100000</v>
      </c>
      <c r="DBG24" s="906">
        <f t="shared" ref="DBG24" si="1513">$C$24*DBE24</f>
        <v>100000</v>
      </c>
      <c r="DBI24" s="906">
        <f t="shared" ref="DBI24" si="1514">$C$24*DBG24</f>
        <v>100000</v>
      </c>
      <c r="DBK24" s="906">
        <f t="shared" ref="DBK24" si="1515">$C$24*DBI24</f>
        <v>100000</v>
      </c>
      <c r="DBM24" s="906">
        <f t="shared" ref="DBM24" si="1516">$C$24*DBK24</f>
        <v>100000</v>
      </c>
      <c r="DBO24" s="906">
        <f t="shared" ref="DBO24" si="1517">$C$24*DBM24</f>
        <v>100000</v>
      </c>
      <c r="DBQ24" s="906">
        <f t="shared" ref="DBQ24" si="1518">$C$24*DBO24</f>
        <v>100000</v>
      </c>
      <c r="DBS24" s="906">
        <f t="shared" ref="DBS24" si="1519">$C$24*DBQ24</f>
        <v>100000</v>
      </c>
      <c r="DBU24" s="906">
        <f t="shared" ref="DBU24" si="1520">$C$24*DBS24</f>
        <v>100000</v>
      </c>
      <c r="DBW24" s="906">
        <f t="shared" ref="DBW24" si="1521">$C$24*DBU24</f>
        <v>100000</v>
      </c>
      <c r="DBY24" s="906">
        <f t="shared" ref="DBY24" si="1522">$C$24*DBW24</f>
        <v>100000</v>
      </c>
      <c r="DCA24" s="906">
        <f t="shared" ref="DCA24" si="1523">$C$24*DBY24</f>
        <v>100000</v>
      </c>
      <c r="DCC24" s="906">
        <f t="shared" ref="DCC24" si="1524">$C$24*DCA24</f>
        <v>100000</v>
      </c>
      <c r="DCE24" s="906">
        <f t="shared" ref="DCE24" si="1525">$C$24*DCC24</f>
        <v>100000</v>
      </c>
      <c r="DCG24" s="906">
        <f t="shared" ref="DCG24" si="1526">$C$24*DCE24</f>
        <v>100000</v>
      </c>
      <c r="DCI24" s="906">
        <f t="shared" ref="DCI24" si="1527">$C$24*DCG24</f>
        <v>100000</v>
      </c>
      <c r="DCK24" s="906">
        <f t="shared" ref="DCK24" si="1528">$C$24*DCI24</f>
        <v>100000</v>
      </c>
      <c r="DCM24" s="906">
        <f t="shared" ref="DCM24" si="1529">$C$24*DCK24</f>
        <v>100000</v>
      </c>
      <c r="DCO24" s="906">
        <f t="shared" ref="DCO24" si="1530">$C$24*DCM24</f>
        <v>100000</v>
      </c>
      <c r="DCQ24" s="906">
        <f t="shared" ref="DCQ24" si="1531">$C$24*DCO24</f>
        <v>100000</v>
      </c>
      <c r="DCS24" s="906">
        <f t="shared" ref="DCS24" si="1532">$C$24*DCQ24</f>
        <v>100000</v>
      </c>
      <c r="DCU24" s="906">
        <f t="shared" ref="DCU24" si="1533">$C$24*DCS24</f>
        <v>100000</v>
      </c>
      <c r="DCW24" s="906">
        <f t="shared" ref="DCW24" si="1534">$C$24*DCU24</f>
        <v>100000</v>
      </c>
      <c r="DCY24" s="906">
        <f t="shared" ref="DCY24" si="1535">$C$24*DCW24</f>
        <v>100000</v>
      </c>
      <c r="DDA24" s="906">
        <f t="shared" ref="DDA24" si="1536">$C$24*DCY24</f>
        <v>100000</v>
      </c>
      <c r="DDC24" s="906">
        <f t="shared" ref="DDC24" si="1537">$C$24*DDA24</f>
        <v>100000</v>
      </c>
      <c r="DDE24" s="906">
        <f t="shared" ref="DDE24" si="1538">$C$24*DDC24</f>
        <v>100000</v>
      </c>
      <c r="DDG24" s="906">
        <f t="shared" ref="DDG24" si="1539">$C$24*DDE24</f>
        <v>100000</v>
      </c>
      <c r="DDI24" s="906">
        <f t="shared" ref="DDI24" si="1540">$C$24*DDG24</f>
        <v>100000</v>
      </c>
      <c r="DDK24" s="906">
        <f t="shared" ref="DDK24" si="1541">$C$24*DDI24</f>
        <v>100000</v>
      </c>
      <c r="DDM24" s="906">
        <f t="shared" ref="DDM24" si="1542">$C$24*DDK24</f>
        <v>100000</v>
      </c>
      <c r="DDO24" s="906">
        <f t="shared" ref="DDO24" si="1543">$C$24*DDM24</f>
        <v>100000</v>
      </c>
      <c r="DDQ24" s="906">
        <f t="shared" ref="DDQ24" si="1544">$C$24*DDO24</f>
        <v>100000</v>
      </c>
      <c r="DDS24" s="906">
        <f t="shared" ref="DDS24" si="1545">$C$24*DDQ24</f>
        <v>100000</v>
      </c>
      <c r="DDU24" s="906">
        <f t="shared" ref="DDU24" si="1546">$C$24*DDS24</f>
        <v>100000</v>
      </c>
      <c r="DDW24" s="906">
        <f t="shared" ref="DDW24" si="1547">$C$24*DDU24</f>
        <v>100000</v>
      </c>
      <c r="DDY24" s="906">
        <f t="shared" ref="DDY24" si="1548">$C$24*DDW24</f>
        <v>100000</v>
      </c>
      <c r="DEA24" s="906">
        <f t="shared" ref="DEA24" si="1549">$C$24*DDY24</f>
        <v>100000</v>
      </c>
      <c r="DEC24" s="906">
        <f t="shared" ref="DEC24" si="1550">$C$24*DEA24</f>
        <v>100000</v>
      </c>
      <c r="DEE24" s="906">
        <f t="shared" ref="DEE24" si="1551">$C$24*DEC24</f>
        <v>100000</v>
      </c>
      <c r="DEG24" s="906">
        <f t="shared" ref="DEG24" si="1552">$C$24*DEE24</f>
        <v>100000</v>
      </c>
      <c r="DEI24" s="906">
        <f t="shared" ref="DEI24" si="1553">$C$24*DEG24</f>
        <v>100000</v>
      </c>
      <c r="DEK24" s="906">
        <f t="shared" ref="DEK24" si="1554">$C$24*DEI24</f>
        <v>100000</v>
      </c>
      <c r="DEM24" s="906">
        <f t="shared" ref="DEM24" si="1555">$C$24*DEK24</f>
        <v>100000</v>
      </c>
      <c r="DEO24" s="906">
        <f t="shared" ref="DEO24" si="1556">$C$24*DEM24</f>
        <v>100000</v>
      </c>
      <c r="DEQ24" s="906">
        <f t="shared" ref="DEQ24" si="1557">$C$24*DEO24</f>
        <v>100000</v>
      </c>
      <c r="DES24" s="906">
        <f t="shared" ref="DES24" si="1558">$C$24*DEQ24</f>
        <v>100000</v>
      </c>
      <c r="DEU24" s="906">
        <f t="shared" ref="DEU24" si="1559">$C$24*DES24</f>
        <v>100000</v>
      </c>
      <c r="DEW24" s="906">
        <f t="shared" ref="DEW24" si="1560">$C$24*DEU24</f>
        <v>100000</v>
      </c>
      <c r="DEY24" s="906">
        <f t="shared" ref="DEY24" si="1561">$C$24*DEW24</f>
        <v>100000</v>
      </c>
      <c r="DFA24" s="906">
        <f t="shared" ref="DFA24" si="1562">$C$24*DEY24</f>
        <v>100000</v>
      </c>
      <c r="DFC24" s="906">
        <f t="shared" ref="DFC24" si="1563">$C$24*DFA24</f>
        <v>100000</v>
      </c>
      <c r="DFE24" s="906">
        <f t="shared" ref="DFE24" si="1564">$C$24*DFC24</f>
        <v>100000</v>
      </c>
      <c r="DFG24" s="906">
        <f t="shared" ref="DFG24" si="1565">$C$24*DFE24</f>
        <v>100000</v>
      </c>
      <c r="DFI24" s="906">
        <f t="shared" ref="DFI24" si="1566">$C$24*DFG24</f>
        <v>100000</v>
      </c>
      <c r="DFK24" s="906">
        <f t="shared" ref="DFK24" si="1567">$C$24*DFI24</f>
        <v>100000</v>
      </c>
      <c r="DFM24" s="906">
        <f t="shared" ref="DFM24" si="1568">$C$24*DFK24</f>
        <v>100000</v>
      </c>
      <c r="DFO24" s="906">
        <f t="shared" ref="DFO24" si="1569">$C$24*DFM24</f>
        <v>100000</v>
      </c>
      <c r="DFQ24" s="906">
        <f t="shared" ref="DFQ24" si="1570">$C$24*DFO24</f>
        <v>100000</v>
      </c>
      <c r="DFS24" s="906">
        <f t="shared" ref="DFS24" si="1571">$C$24*DFQ24</f>
        <v>100000</v>
      </c>
      <c r="DFU24" s="906">
        <f t="shared" ref="DFU24" si="1572">$C$24*DFS24</f>
        <v>100000</v>
      </c>
      <c r="DFW24" s="906">
        <f t="shared" ref="DFW24" si="1573">$C$24*DFU24</f>
        <v>100000</v>
      </c>
      <c r="DFY24" s="906">
        <f t="shared" ref="DFY24" si="1574">$C$24*DFW24</f>
        <v>100000</v>
      </c>
      <c r="DGA24" s="906">
        <f t="shared" ref="DGA24" si="1575">$C$24*DFY24</f>
        <v>100000</v>
      </c>
      <c r="DGC24" s="906">
        <f t="shared" ref="DGC24" si="1576">$C$24*DGA24</f>
        <v>100000</v>
      </c>
      <c r="DGE24" s="906">
        <f t="shared" ref="DGE24" si="1577">$C$24*DGC24</f>
        <v>100000</v>
      </c>
      <c r="DGG24" s="906">
        <f t="shared" ref="DGG24" si="1578">$C$24*DGE24</f>
        <v>100000</v>
      </c>
      <c r="DGI24" s="906">
        <f t="shared" ref="DGI24" si="1579">$C$24*DGG24</f>
        <v>100000</v>
      </c>
      <c r="DGK24" s="906">
        <f t="shared" ref="DGK24" si="1580">$C$24*DGI24</f>
        <v>100000</v>
      </c>
      <c r="DGM24" s="906">
        <f t="shared" ref="DGM24" si="1581">$C$24*DGK24</f>
        <v>100000</v>
      </c>
      <c r="DGO24" s="906">
        <f t="shared" ref="DGO24" si="1582">$C$24*DGM24</f>
        <v>100000</v>
      </c>
      <c r="DGQ24" s="906">
        <f t="shared" ref="DGQ24" si="1583">$C$24*DGO24</f>
        <v>100000</v>
      </c>
      <c r="DGS24" s="906">
        <f t="shared" ref="DGS24" si="1584">$C$24*DGQ24</f>
        <v>100000</v>
      </c>
      <c r="DGU24" s="906">
        <f t="shared" ref="DGU24" si="1585">$C$24*DGS24</f>
        <v>100000</v>
      </c>
      <c r="DGW24" s="906">
        <f t="shared" ref="DGW24" si="1586">$C$24*DGU24</f>
        <v>100000</v>
      </c>
      <c r="DGY24" s="906">
        <f t="shared" ref="DGY24" si="1587">$C$24*DGW24</f>
        <v>100000</v>
      </c>
      <c r="DHA24" s="906">
        <f t="shared" ref="DHA24" si="1588">$C$24*DGY24</f>
        <v>100000</v>
      </c>
      <c r="DHC24" s="906">
        <f t="shared" ref="DHC24" si="1589">$C$24*DHA24</f>
        <v>100000</v>
      </c>
      <c r="DHE24" s="906">
        <f t="shared" ref="DHE24" si="1590">$C$24*DHC24</f>
        <v>100000</v>
      </c>
      <c r="DHG24" s="906">
        <f t="shared" ref="DHG24" si="1591">$C$24*DHE24</f>
        <v>100000</v>
      </c>
      <c r="DHI24" s="906">
        <f t="shared" ref="DHI24" si="1592">$C$24*DHG24</f>
        <v>100000</v>
      </c>
      <c r="DHK24" s="906">
        <f t="shared" ref="DHK24" si="1593">$C$24*DHI24</f>
        <v>100000</v>
      </c>
      <c r="DHM24" s="906">
        <f t="shared" ref="DHM24" si="1594">$C$24*DHK24</f>
        <v>100000</v>
      </c>
      <c r="DHO24" s="906">
        <f t="shared" ref="DHO24" si="1595">$C$24*DHM24</f>
        <v>100000</v>
      </c>
      <c r="DHQ24" s="906">
        <f t="shared" ref="DHQ24" si="1596">$C$24*DHO24</f>
        <v>100000</v>
      </c>
      <c r="DHS24" s="906">
        <f t="shared" ref="DHS24" si="1597">$C$24*DHQ24</f>
        <v>100000</v>
      </c>
      <c r="DHU24" s="906">
        <f t="shared" ref="DHU24" si="1598">$C$24*DHS24</f>
        <v>100000</v>
      </c>
      <c r="DHW24" s="906">
        <f t="shared" ref="DHW24" si="1599">$C$24*DHU24</f>
        <v>100000</v>
      </c>
      <c r="DHY24" s="906">
        <f t="shared" ref="DHY24" si="1600">$C$24*DHW24</f>
        <v>100000</v>
      </c>
      <c r="DIA24" s="906">
        <f t="shared" ref="DIA24" si="1601">$C$24*DHY24</f>
        <v>100000</v>
      </c>
      <c r="DIC24" s="906">
        <f t="shared" ref="DIC24" si="1602">$C$24*DIA24</f>
        <v>100000</v>
      </c>
      <c r="DIE24" s="906">
        <f t="shared" ref="DIE24" si="1603">$C$24*DIC24</f>
        <v>100000</v>
      </c>
      <c r="DIG24" s="906">
        <f t="shared" ref="DIG24" si="1604">$C$24*DIE24</f>
        <v>100000</v>
      </c>
      <c r="DII24" s="906">
        <f t="shared" ref="DII24" si="1605">$C$24*DIG24</f>
        <v>100000</v>
      </c>
      <c r="DIK24" s="906">
        <f t="shared" ref="DIK24" si="1606">$C$24*DII24</f>
        <v>100000</v>
      </c>
      <c r="DIM24" s="906">
        <f t="shared" ref="DIM24" si="1607">$C$24*DIK24</f>
        <v>100000</v>
      </c>
      <c r="DIO24" s="906">
        <f t="shared" ref="DIO24" si="1608">$C$24*DIM24</f>
        <v>100000</v>
      </c>
      <c r="DIQ24" s="906">
        <f t="shared" ref="DIQ24" si="1609">$C$24*DIO24</f>
        <v>100000</v>
      </c>
      <c r="DIS24" s="906">
        <f t="shared" ref="DIS24" si="1610">$C$24*DIQ24</f>
        <v>100000</v>
      </c>
      <c r="DIU24" s="906">
        <f t="shared" ref="DIU24" si="1611">$C$24*DIS24</f>
        <v>100000</v>
      </c>
      <c r="DIW24" s="906">
        <f t="shared" ref="DIW24" si="1612">$C$24*DIU24</f>
        <v>100000</v>
      </c>
      <c r="DIY24" s="906">
        <f t="shared" ref="DIY24" si="1613">$C$24*DIW24</f>
        <v>100000</v>
      </c>
      <c r="DJA24" s="906">
        <f t="shared" ref="DJA24" si="1614">$C$24*DIY24</f>
        <v>100000</v>
      </c>
      <c r="DJC24" s="906">
        <f t="shared" ref="DJC24" si="1615">$C$24*DJA24</f>
        <v>100000</v>
      </c>
      <c r="DJE24" s="906">
        <f t="shared" ref="DJE24" si="1616">$C$24*DJC24</f>
        <v>100000</v>
      </c>
      <c r="DJG24" s="906">
        <f t="shared" ref="DJG24" si="1617">$C$24*DJE24</f>
        <v>100000</v>
      </c>
      <c r="DJI24" s="906">
        <f t="shared" ref="DJI24" si="1618">$C$24*DJG24</f>
        <v>100000</v>
      </c>
      <c r="DJK24" s="906">
        <f t="shared" ref="DJK24" si="1619">$C$24*DJI24</f>
        <v>100000</v>
      </c>
      <c r="DJM24" s="906">
        <f t="shared" ref="DJM24" si="1620">$C$24*DJK24</f>
        <v>100000</v>
      </c>
      <c r="DJO24" s="906">
        <f t="shared" ref="DJO24" si="1621">$C$24*DJM24</f>
        <v>100000</v>
      </c>
      <c r="DJQ24" s="906">
        <f t="shared" ref="DJQ24" si="1622">$C$24*DJO24</f>
        <v>100000</v>
      </c>
      <c r="DJS24" s="906">
        <f t="shared" ref="DJS24" si="1623">$C$24*DJQ24</f>
        <v>100000</v>
      </c>
      <c r="DJU24" s="906">
        <f t="shared" ref="DJU24" si="1624">$C$24*DJS24</f>
        <v>100000</v>
      </c>
      <c r="DJW24" s="906">
        <f t="shared" ref="DJW24" si="1625">$C$24*DJU24</f>
        <v>100000</v>
      </c>
      <c r="DJY24" s="906">
        <f t="shared" ref="DJY24" si="1626">$C$24*DJW24</f>
        <v>100000</v>
      </c>
      <c r="DKA24" s="906">
        <f t="shared" ref="DKA24" si="1627">$C$24*DJY24</f>
        <v>100000</v>
      </c>
      <c r="DKC24" s="906">
        <f t="shared" ref="DKC24" si="1628">$C$24*DKA24</f>
        <v>100000</v>
      </c>
      <c r="DKE24" s="906">
        <f t="shared" ref="DKE24" si="1629">$C$24*DKC24</f>
        <v>100000</v>
      </c>
      <c r="DKG24" s="906">
        <f t="shared" ref="DKG24" si="1630">$C$24*DKE24</f>
        <v>100000</v>
      </c>
      <c r="DKI24" s="906">
        <f t="shared" ref="DKI24" si="1631">$C$24*DKG24</f>
        <v>100000</v>
      </c>
      <c r="DKK24" s="906">
        <f t="shared" ref="DKK24" si="1632">$C$24*DKI24</f>
        <v>100000</v>
      </c>
      <c r="DKM24" s="906">
        <f t="shared" ref="DKM24" si="1633">$C$24*DKK24</f>
        <v>100000</v>
      </c>
      <c r="DKO24" s="906">
        <f t="shared" ref="DKO24" si="1634">$C$24*DKM24</f>
        <v>100000</v>
      </c>
      <c r="DKQ24" s="906">
        <f t="shared" ref="DKQ24" si="1635">$C$24*DKO24</f>
        <v>100000</v>
      </c>
      <c r="DKS24" s="906">
        <f t="shared" ref="DKS24" si="1636">$C$24*DKQ24</f>
        <v>100000</v>
      </c>
      <c r="DKU24" s="906">
        <f t="shared" ref="DKU24" si="1637">$C$24*DKS24</f>
        <v>100000</v>
      </c>
      <c r="DKW24" s="906">
        <f t="shared" ref="DKW24" si="1638">$C$24*DKU24</f>
        <v>100000</v>
      </c>
      <c r="DKY24" s="906">
        <f t="shared" ref="DKY24" si="1639">$C$24*DKW24</f>
        <v>100000</v>
      </c>
      <c r="DLA24" s="906">
        <f t="shared" ref="DLA24" si="1640">$C$24*DKY24</f>
        <v>100000</v>
      </c>
      <c r="DLC24" s="906">
        <f t="shared" ref="DLC24" si="1641">$C$24*DLA24</f>
        <v>100000</v>
      </c>
      <c r="DLE24" s="906">
        <f t="shared" ref="DLE24" si="1642">$C$24*DLC24</f>
        <v>100000</v>
      </c>
      <c r="DLG24" s="906">
        <f t="shared" ref="DLG24" si="1643">$C$24*DLE24</f>
        <v>100000</v>
      </c>
      <c r="DLI24" s="906">
        <f t="shared" ref="DLI24" si="1644">$C$24*DLG24</f>
        <v>100000</v>
      </c>
      <c r="DLK24" s="906">
        <f t="shared" ref="DLK24" si="1645">$C$24*DLI24</f>
        <v>100000</v>
      </c>
      <c r="DLM24" s="906">
        <f t="shared" ref="DLM24" si="1646">$C$24*DLK24</f>
        <v>100000</v>
      </c>
      <c r="DLO24" s="906">
        <f t="shared" ref="DLO24" si="1647">$C$24*DLM24</f>
        <v>100000</v>
      </c>
      <c r="DLQ24" s="906">
        <f t="shared" ref="DLQ24" si="1648">$C$24*DLO24</f>
        <v>100000</v>
      </c>
      <c r="DLS24" s="906">
        <f t="shared" ref="DLS24" si="1649">$C$24*DLQ24</f>
        <v>100000</v>
      </c>
      <c r="DLU24" s="906">
        <f t="shared" ref="DLU24" si="1650">$C$24*DLS24</f>
        <v>100000</v>
      </c>
      <c r="DLW24" s="906">
        <f t="shared" ref="DLW24" si="1651">$C$24*DLU24</f>
        <v>100000</v>
      </c>
      <c r="DLY24" s="906">
        <f t="shared" ref="DLY24" si="1652">$C$24*DLW24</f>
        <v>100000</v>
      </c>
      <c r="DMA24" s="906">
        <f t="shared" ref="DMA24" si="1653">$C$24*DLY24</f>
        <v>100000</v>
      </c>
      <c r="DMC24" s="906">
        <f t="shared" ref="DMC24" si="1654">$C$24*DMA24</f>
        <v>100000</v>
      </c>
      <c r="DME24" s="906">
        <f t="shared" ref="DME24" si="1655">$C$24*DMC24</f>
        <v>100000</v>
      </c>
      <c r="DMG24" s="906">
        <f t="shared" ref="DMG24" si="1656">$C$24*DME24</f>
        <v>100000</v>
      </c>
      <c r="DMI24" s="906">
        <f t="shared" ref="DMI24" si="1657">$C$24*DMG24</f>
        <v>100000</v>
      </c>
      <c r="DMK24" s="906">
        <f t="shared" ref="DMK24" si="1658">$C$24*DMI24</f>
        <v>100000</v>
      </c>
      <c r="DMM24" s="906">
        <f t="shared" ref="DMM24" si="1659">$C$24*DMK24</f>
        <v>100000</v>
      </c>
      <c r="DMO24" s="906">
        <f t="shared" ref="DMO24" si="1660">$C$24*DMM24</f>
        <v>100000</v>
      </c>
      <c r="DMQ24" s="906">
        <f t="shared" ref="DMQ24" si="1661">$C$24*DMO24</f>
        <v>100000</v>
      </c>
      <c r="DMS24" s="906">
        <f t="shared" ref="DMS24" si="1662">$C$24*DMQ24</f>
        <v>100000</v>
      </c>
      <c r="DMU24" s="906">
        <f t="shared" ref="DMU24" si="1663">$C$24*DMS24</f>
        <v>100000</v>
      </c>
      <c r="DMW24" s="906">
        <f t="shared" ref="DMW24" si="1664">$C$24*DMU24</f>
        <v>100000</v>
      </c>
      <c r="DMY24" s="906">
        <f t="shared" ref="DMY24" si="1665">$C$24*DMW24</f>
        <v>100000</v>
      </c>
      <c r="DNA24" s="906">
        <f t="shared" ref="DNA24" si="1666">$C$24*DMY24</f>
        <v>100000</v>
      </c>
      <c r="DNC24" s="906">
        <f t="shared" ref="DNC24" si="1667">$C$24*DNA24</f>
        <v>100000</v>
      </c>
      <c r="DNE24" s="906">
        <f t="shared" ref="DNE24" si="1668">$C$24*DNC24</f>
        <v>100000</v>
      </c>
      <c r="DNG24" s="906">
        <f t="shared" ref="DNG24" si="1669">$C$24*DNE24</f>
        <v>100000</v>
      </c>
      <c r="DNI24" s="906">
        <f t="shared" ref="DNI24" si="1670">$C$24*DNG24</f>
        <v>100000</v>
      </c>
      <c r="DNK24" s="906">
        <f t="shared" ref="DNK24" si="1671">$C$24*DNI24</f>
        <v>100000</v>
      </c>
      <c r="DNM24" s="906">
        <f t="shared" ref="DNM24" si="1672">$C$24*DNK24</f>
        <v>100000</v>
      </c>
      <c r="DNO24" s="906">
        <f t="shared" ref="DNO24" si="1673">$C$24*DNM24</f>
        <v>100000</v>
      </c>
      <c r="DNQ24" s="906">
        <f t="shared" ref="DNQ24" si="1674">$C$24*DNO24</f>
        <v>100000</v>
      </c>
      <c r="DNS24" s="906">
        <f t="shared" ref="DNS24" si="1675">$C$24*DNQ24</f>
        <v>100000</v>
      </c>
      <c r="DNU24" s="906">
        <f t="shared" ref="DNU24" si="1676">$C$24*DNS24</f>
        <v>100000</v>
      </c>
      <c r="DNW24" s="906">
        <f t="shared" ref="DNW24" si="1677">$C$24*DNU24</f>
        <v>100000</v>
      </c>
      <c r="DNY24" s="906">
        <f t="shared" ref="DNY24" si="1678">$C$24*DNW24</f>
        <v>100000</v>
      </c>
      <c r="DOA24" s="906">
        <f t="shared" ref="DOA24" si="1679">$C$24*DNY24</f>
        <v>100000</v>
      </c>
      <c r="DOC24" s="906">
        <f t="shared" ref="DOC24" si="1680">$C$24*DOA24</f>
        <v>100000</v>
      </c>
      <c r="DOE24" s="906">
        <f t="shared" ref="DOE24" si="1681">$C$24*DOC24</f>
        <v>100000</v>
      </c>
      <c r="DOG24" s="906">
        <f t="shared" ref="DOG24" si="1682">$C$24*DOE24</f>
        <v>100000</v>
      </c>
      <c r="DOI24" s="906">
        <f t="shared" ref="DOI24" si="1683">$C$24*DOG24</f>
        <v>100000</v>
      </c>
      <c r="DOK24" s="906">
        <f t="shared" ref="DOK24" si="1684">$C$24*DOI24</f>
        <v>100000</v>
      </c>
      <c r="DOM24" s="906">
        <f t="shared" ref="DOM24" si="1685">$C$24*DOK24</f>
        <v>100000</v>
      </c>
      <c r="DOO24" s="906">
        <f t="shared" ref="DOO24" si="1686">$C$24*DOM24</f>
        <v>100000</v>
      </c>
      <c r="DOQ24" s="906">
        <f t="shared" ref="DOQ24" si="1687">$C$24*DOO24</f>
        <v>100000</v>
      </c>
      <c r="DOS24" s="906">
        <f t="shared" ref="DOS24" si="1688">$C$24*DOQ24</f>
        <v>100000</v>
      </c>
      <c r="DOU24" s="906">
        <f t="shared" ref="DOU24" si="1689">$C$24*DOS24</f>
        <v>100000</v>
      </c>
      <c r="DOW24" s="906">
        <f t="shared" ref="DOW24" si="1690">$C$24*DOU24</f>
        <v>100000</v>
      </c>
      <c r="DOY24" s="906">
        <f t="shared" ref="DOY24" si="1691">$C$24*DOW24</f>
        <v>100000</v>
      </c>
      <c r="DPA24" s="906">
        <f t="shared" ref="DPA24" si="1692">$C$24*DOY24</f>
        <v>100000</v>
      </c>
      <c r="DPC24" s="906">
        <f t="shared" ref="DPC24" si="1693">$C$24*DPA24</f>
        <v>100000</v>
      </c>
      <c r="DPE24" s="906">
        <f t="shared" ref="DPE24" si="1694">$C$24*DPC24</f>
        <v>100000</v>
      </c>
      <c r="DPG24" s="906">
        <f t="shared" ref="DPG24" si="1695">$C$24*DPE24</f>
        <v>100000</v>
      </c>
      <c r="DPI24" s="906">
        <f t="shared" ref="DPI24" si="1696">$C$24*DPG24</f>
        <v>100000</v>
      </c>
      <c r="DPK24" s="906">
        <f t="shared" ref="DPK24" si="1697">$C$24*DPI24</f>
        <v>100000</v>
      </c>
      <c r="DPM24" s="906">
        <f t="shared" ref="DPM24" si="1698">$C$24*DPK24</f>
        <v>100000</v>
      </c>
      <c r="DPO24" s="906">
        <f t="shared" ref="DPO24" si="1699">$C$24*DPM24</f>
        <v>100000</v>
      </c>
      <c r="DPQ24" s="906">
        <f t="shared" ref="DPQ24" si="1700">$C$24*DPO24</f>
        <v>100000</v>
      </c>
      <c r="DPS24" s="906">
        <f t="shared" ref="DPS24" si="1701">$C$24*DPQ24</f>
        <v>100000</v>
      </c>
      <c r="DPU24" s="906">
        <f t="shared" ref="DPU24" si="1702">$C$24*DPS24</f>
        <v>100000</v>
      </c>
      <c r="DPW24" s="906">
        <f t="shared" ref="DPW24" si="1703">$C$24*DPU24</f>
        <v>100000</v>
      </c>
      <c r="DPY24" s="906">
        <f t="shared" ref="DPY24" si="1704">$C$24*DPW24</f>
        <v>100000</v>
      </c>
      <c r="DQA24" s="906">
        <f t="shared" ref="DQA24" si="1705">$C$24*DPY24</f>
        <v>100000</v>
      </c>
      <c r="DQC24" s="906">
        <f t="shared" ref="DQC24" si="1706">$C$24*DQA24</f>
        <v>100000</v>
      </c>
      <c r="DQE24" s="906">
        <f t="shared" ref="DQE24" si="1707">$C$24*DQC24</f>
        <v>100000</v>
      </c>
      <c r="DQG24" s="906">
        <f t="shared" ref="DQG24" si="1708">$C$24*DQE24</f>
        <v>100000</v>
      </c>
      <c r="DQI24" s="906">
        <f t="shared" ref="DQI24" si="1709">$C$24*DQG24</f>
        <v>100000</v>
      </c>
      <c r="DQK24" s="906">
        <f t="shared" ref="DQK24" si="1710">$C$24*DQI24</f>
        <v>100000</v>
      </c>
      <c r="DQM24" s="906">
        <f t="shared" ref="DQM24" si="1711">$C$24*DQK24</f>
        <v>100000</v>
      </c>
      <c r="DQO24" s="906">
        <f t="shared" ref="DQO24" si="1712">$C$24*DQM24</f>
        <v>100000</v>
      </c>
      <c r="DQQ24" s="906">
        <f t="shared" ref="DQQ24" si="1713">$C$24*DQO24</f>
        <v>100000</v>
      </c>
      <c r="DQS24" s="906">
        <f t="shared" ref="DQS24" si="1714">$C$24*DQQ24</f>
        <v>100000</v>
      </c>
      <c r="DQU24" s="906">
        <f t="shared" ref="DQU24" si="1715">$C$24*DQS24</f>
        <v>100000</v>
      </c>
      <c r="DQW24" s="906">
        <f t="shared" ref="DQW24" si="1716">$C$24*DQU24</f>
        <v>100000</v>
      </c>
      <c r="DQY24" s="906">
        <f t="shared" ref="DQY24" si="1717">$C$24*DQW24</f>
        <v>100000</v>
      </c>
      <c r="DRA24" s="906">
        <f t="shared" ref="DRA24" si="1718">$C$24*DQY24</f>
        <v>100000</v>
      </c>
      <c r="DRC24" s="906">
        <f t="shared" ref="DRC24" si="1719">$C$24*DRA24</f>
        <v>100000</v>
      </c>
      <c r="DRE24" s="906">
        <f t="shared" ref="DRE24" si="1720">$C$24*DRC24</f>
        <v>100000</v>
      </c>
      <c r="DRG24" s="906">
        <f t="shared" ref="DRG24" si="1721">$C$24*DRE24</f>
        <v>100000</v>
      </c>
      <c r="DRI24" s="906">
        <f t="shared" ref="DRI24" si="1722">$C$24*DRG24</f>
        <v>100000</v>
      </c>
      <c r="DRK24" s="906">
        <f t="shared" ref="DRK24" si="1723">$C$24*DRI24</f>
        <v>100000</v>
      </c>
      <c r="DRM24" s="906">
        <f t="shared" ref="DRM24" si="1724">$C$24*DRK24</f>
        <v>100000</v>
      </c>
      <c r="DRO24" s="906">
        <f t="shared" ref="DRO24" si="1725">$C$24*DRM24</f>
        <v>100000</v>
      </c>
      <c r="DRQ24" s="906">
        <f t="shared" ref="DRQ24" si="1726">$C$24*DRO24</f>
        <v>100000</v>
      </c>
      <c r="DRS24" s="906">
        <f t="shared" ref="DRS24" si="1727">$C$24*DRQ24</f>
        <v>100000</v>
      </c>
      <c r="DRU24" s="906">
        <f t="shared" ref="DRU24" si="1728">$C$24*DRS24</f>
        <v>100000</v>
      </c>
      <c r="DRW24" s="906">
        <f t="shared" ref="DRW24" si="1729">$C$24*DRU24</f>
        <v>100000</v>
      </c>
      <c r="DRY24" s="906">
        <f t="shared" ref="DRY24" si="1730">$C$24*DRW24</f>
        <v>100000</v>
      </c>
      <c r="DSA24" s="906">
        <f t="shared" ref="DSA24" si="1731">$C$24*DRY24</f>
        <v>100000</v>
      </c>
      <c r="DSC24" s="906">
        <f t="shared" ref="DSC24" si="1732">$C$24*DSA24</f>
        <v>100000</v>
      </c>
      <c r="DSE24" s="906">
        <f t="shared" ref="DSE24" si="1733">$C$24*DSC24</f>
        <v>100000</v>
      </c>
      <c r="DSG24" s="906">
        <f t="shared" ref="DSG24" si="1734">$C$24*DSE24</f>
        <v>100000</v>
      </c>
      <c r="DSI24" s="906">
        <f t="shared" ref="DSI24" si="1735">$C$24*DSG24</f>
        <v>100000</v>
      </c>
      <c r="DSK24" s="906">
        <f t="shared" ref="DSK24" si="1736">$C$24*DSI24</f>
        <v>100000</v>
      </c>
      <c r="DSM24" s="906">
        <f t="shared" ref="DSM24" si="1737">$C$24*DSK24</f>
        <v>100000</v>
      </c>
      <c r="DSO24" s="906">
        <f t="shared" ref="DSO24" si="1738">$C$24*DSM24</f>
        <v>100000</v>
      </c>
      <c r="DSQ24" s="906">
        <f t="shared" ref="DSQ24" si="1739">$C$24*DSO24</f>
        <v>100000</v>
      </c>
      <c r="DSS24" s="906">
        <f t="shared" ref="DSS24" si="1740">$C$24*DSQ24</f>
        <v>100000</v>
      </c>
      <c r="DSU24" s="906">
        <f t="shared" ref="DSU24" si="1741">$C$24*DSS24</f>
        <v>100000</v>
      </c>
      <c r="DSW24" s="906">
        <f t="shared" ref="DSW24" si="1742">$C$24*DSU24</f>
        <v>100000</v>
      </c>
      <c r="DSY24" s="906">
        <f t="shared" ref="DSY24" si="1743">$C$24*DSW24</f>
        <v>100000</v>
      </c>
      <c r="DTA24" s="906">
        <f t="shared" ref="DTA24" si="1744">$C$24*DSY24</f>
        <v>100000</v>
      </c>
      <c r="DTC24" s="906">
        <f t="shared" ref="DTC24" si="1745">$C$24*DTA24</f>
        <v>100000</v>
      </c>
      <c r="DTE24" s="906">
        <f t="shared" ref="DTE24" si="1746">$C$24*DTC24</f>
        <v>100000</v>
      </c>
      <c r="DTG24" s="906">
        <f t="shared" ref="DTG24" si="1747">$C$24*DTE24</f>
        <v>100000</v>
      </c>
      <c r="DTI24" s="906">
        <f t="shared" ref="DTI24" si="1748">$C$24*DTG24</f>
        <v>100000</v>
      </c>
      <c r="DTK24" s="906">
        <f t="shared" ref="DTK24" si="1749">$C$24*DTI24</f>
        <v>100000</v>
      </c>
      <c r="DTM24" s="906">
        <f t="shared" ref="DTM24" si="1750">$C$24*DTK24</f>
        <v>100000</v>
      </c>
      <c r="DTO24" s="906">
        <f t="shared" ref="DTO24" si="1751">$C$24*DTM24</f>
        <v>100000</v>
      </c>
      <c r="DTQ24" s="906">
        <f t="shared" ref="DTQ24" si="1752">$C$24*DTO24</f>
        <v>100000</v>
      </c>
      <c r="DTS24" s="906">
        <f t="shared" ref="DTS24" si="1753">$C$24*DTQ24</f>
        <v>100000</v>
      </c>
      <c r="DTU24" s="906">
        <f t="shared" ref="DTU24" si="1754">$C$24*DTS24</f>
        <v>100000</v>
      </c>
      <c r="DTW24" s="906">
        <f t="shared" ref="DTW24" si="1755">$C$24*DTU24</f>
        <v>100000</v>
      </c>
      <c r="DTY24" s="906">
        <f t="shared" ref="DTY24" si="1756">$C$24*DTW24</f>
        <v>100000</v>
      </c>
      <c r="DUA24" s="906">
        <f t="shared" ref="DUA24" si="1757">$C$24*DTY24</f>
        <v>100000</v>
      </c>
      <c r="DUC24" s="906">
        <f t="shared" ref="DUC24" si="1758">$C$24*DUA24</f>
        <v>100000</v>
      </c>
      <c r="DUE24" s="906">
        <f t="shared" ref="DUE24" si="1759">$C$24*DUC24</f>
        <v>100000</v>
      </c>
      <c r="DUG24" s="906">
        <f t="shared" ref="DUG24" si="1760">$C$24*DUE24</f>
        <v>100000</v>
      </c>
      <c r="DUI24" s="906">
        <f t="shared" ref="DUI24" si="1761">$C$24*DUG24</f>
        <v>100000</v>
      </c>
      <c r="DUK24" s="906">
        <f t="shared" ref="DUK24" si="1762">$C$24*DUI24</f>
        <v>100000</v>
      </c>
      <c r="DUM24" s="906">
        <f t="shared" ref="DUM24" si="1763">$C$24*DUK24</f>
        <v>100000</v>
      </c>
      <c r="DUO24" s="906">
        <f t="shared" ref="DUO24" si="1764">$C$24*DUM24</f>
        <v>100000</v>
      </c>
      <c r="DUQ24" s="906">
        <f t="shared" ref="DUQ24" si="1765">$C$24*DUO24</f>
        <v>100000</v>
      </c>
      <c r="DUS24" s="906">
        <f t="shared" ref="DUS24" si="1766">$C$24*DUQ24</f>
        <v>100000</v>
      </c>
      <c r="DUU24" s="906">
        <f t="shared" ref="DUU24" si="1767">$C$24*DUS24</f>
        <v>100000</v>
      </c>
      <c r="DUW24" s="906">
        <f t="shared" ref="DUW24" si="1768">$C$24*DUU24</f>
        <v>100000</v>
      </c>
      <c r="DUY24" s="906">
        <f t="shared" ref="DUY24" si="1769">$C$24*DUW24</f>
        <v>100000</v>
      </c>
      <c r="DVA24" s="906">
        <f t="shared" ref="DVA24" si="1770">$C$24*DUY24</f>
        <v>100000</v>
      </c>
      <c r="DVC24" s="906">
        <f t="shared" ref="DVC24" si="1771">$C$24*DVA24</f>
        <v>100000</v>
      </c>
      <c r="DVE24" s="906">
        <f t="shared" ref="DVE24" si="1772">$C$24*DVC24</f>
        <v>100000</v>
      </c>
      <c r="DVG24" s="906">
        <f t="shared" ref="DVG24" si="1773">$C$24*DVE24</f>
        <v>100000</v>
      </c>
      <c r="DVI24" s="906">
        <f t="shared" ref="DVI24" si="1774">$C$24*DVG24</f>
        <v>100000</v>
      </c>
      <c r="DVK24" s="906">
        <f t="shared" ref="DVK24" si="1775">$C$24*DVI24</f>
        <v>100000</v>
      </c>
      <c r="DVM24" s="906">
        <f t="shared" ref="DVM24" si="1776">$C$24*DVK24</f>
        <v>100000</v>
      </c>
      <c r="DVO24" s="906">
        <f t="shared" ref="DVO24" si="1777">$C$24*DVM24</f>
        <v>100000</v>
      </c>
      <c r="DVQ24" s="906">
        <f t="shared" ref="DVQ24" si="1778">$C$24*DVO24</f>
        <v>100000</v>
      </c>
      <c r="DVS24" s="906">
        <f t="shared" ref="DVS24" si="1779">$C$24*DVQ24</f>
        <v>100000</v>
      </c>
      <c r="DVU24" s="906">
        <f t="shared" ref="DVU24" si="1780">$C$24*DVS24</f>
        <v>100000</v>
      </c>
      <c r="DVW24" s="906">
        <f t="shared" ref="DVW24" si="1781">$C$24*DVU24</f>
        <v>100000</v>
      </c>
      <c r="DVY24" s="906">
        <f t="shared" ref="DVY24" si="1782">$C$24*DVW24</f>
        <v>100000</v>
      </c>
      <c r="DWA24" s="906">
        <f t="shared" ref="DWA24" si="1783">$C$24*DVY24</f>
        <v>100000</v>
      </c>
      <c r="DWC24" s="906">
        <f t="shared" ref="DWC24" si="1784">$C$24*DWA24</f>
        <v>100000</v>
      </c>
      <c r="DWE24" s="906">
        <f t="shared" ref="DWE24" si="1785">$C$24*DWC24</f>
        <v>100000</v>
      </c>
      <c r="DWG24" s="906">
        <f t="shared" ref="DWG24" si="1786">$C$24*DWE24</f>
        <v>100000</v>
      </c>
      <c r="DWI24" s="906">
        <f t="shared" ref="DWI24" si="1787">$C$24*DWG24</f>
        <v>100000</v>
      </c>
      <c r="DWK24" s="906">
        <f t="shared" ref="DWK24" si="1788">$C$24*DWI24</f>
        <v>100000</v>
      </c>
      <c r="DWM24" s="906">
        <f t="shared" ref="DWM24" si="1789">$C$24*DWK24</f>
        <v>100000</v>
      </c>
      <c r="DWO24" s="906">
        <f t="shared" ref="DWO24" si="1790">$C$24*DWM24</f>
        <v>100000</v>
      </c>
      <c r="DWQ24" s="906">
        <f t="shared" ref="DWQ24" si="1791">$C$24*DWO24</f>
        <v>100000</v>
      </c>
      <c r="DWS24" s="906">
        <f t="shared" ref="DWS24" si="1792">$C$24*DWQ24</f>
        <v>100000</v>
      </c>
      <c r="DWU24" s="906">
        <f t="shared" ref="DWU24" si="1793">$C$24*DWS24</f>
        <v>100000</v>
      </c>
      <c r="DWW24" s="906">
        <f t="shared" ref="DWW24" si="1794">$C$24*DWU24</f>
        <v>100000</v>
      </c>
      <c r="DWY24" s="906">
        <f t="shared" ref="DWY24" si="1795">$C$24*DWW24</f>
        <v>100000</v>
      </c>
      <c r="DXA24" s="906">
        <f t="shared" ref="DXA24" si="1796">$C$24*DWY24</f>
        <v>100000</v>
      </c>
      <c r="DXC24" s="906">
        <f t="shared" ref="DXC24" si="1797">$C$24*DXA24</f>
        <v>100000</v>
      </c>
      <c r="DXE24" s="906">
        <f t="shared" ref="DXE24" si="1798">$C$24*DXC24</f>
        <v>100000</v>
      </c>
      <c r="DXG24" s="906">
        <f t="shared" ref="DXG24" si="1799">$C$24*DXE24</f>
        <v>100000</v>
      </c>
      <c r="DXI24" s="906">
        <f t="shared" ref="DXI24" si="1800">$C$24*DXG24</f>
        <v>100000</v>
      </c>
      <c r="DXK24" s="906">
        <f t="shared" ref="DXK24" si="1801">$C$24*DXI24</f>
        <v>100000</v>
      </c>
      <c r="DXM24" s="906">
        <f t="shared" ref="DXM24" si="1802">$C$24*DXK24</f>
        <v>100000</v>
      </c>
      <c r="DXO24" s="906">
        <f t="shared" ref="DXO24" si="1803">$C$24*DXM24</f>
        <v>100000</v>
      </c>
      <c r="DXQ24" s="906">
        <f t="shared" ref="DXQ24" si="1804">$C$24*DXO24</f>
        <v>100000</v>
      </c>
      <c r="DXS24" s="906">
        <f t="shared" ref="DXS24" si="1805">$C$24*DXQ24</f>
        <v>100000</v>
      </c>
      <c r="DXU24" s="906">
        <f t="shared" ref="DXU24" si="1806">$C$24*DXS24</f>
        <v>100000</v>
      </c>
      <c r="DXW24" s="906">
        <f t="shared" ref="DXW24" si="1807">$C$24*DXU24</f>
        <v>100000</v>
      </c>
      <c r="DXY24" s="906">
        <f t="shared" ref="DXY24" si="1808">$C$24*DXW24</f>
        <v>100000</v>
      </c>
      <c r="DYA24" s="906">
        <f t="shared" ref="DYA24" si="1809">$C$24*DXY24</f>
        <v>100000</v>
      </c>
      <c r="DYC24" s="906">
        <f t="shared" ref="DYC24" si="1810">$C$24*DYA24</f>
        <v>100000</v>
      </c>
      <c r="DYE24" s="906">
        <f t="shared" ref="DYE24" si="1811">$C$24*DYC24</f>
        <v>100000</v>
      </c>
      <c r="DYG24" s="906">
        <f t="shared" ref="DYG24" si="1812">$C$24*DYE24</f>
        <v>100000</v>
      </c>
      <c r="DYI24" s="906">
        <f t="shared" ref="DYI24" si="1813">$C$24*DYG24</f>
        <v>100000</v>
      </c>
      <c r="DYK24" s="906">
        <f t="shared" ref="DYK24" si="1814">$C$24*DYI24</f>
        <v>100000</v>
      </c>
      <c r="DYM24" s="906">
        <f t="shared" ref="DYM24" si="1815">$C$24*DYK24</f>
        <v>100000</v>
      </c>
      <c r="DYO24" s="906">
        <f t="shared" ref="DYO24" si="1816">$C$24*DYM24</f>
        <v>100000</v>
      </c>
      <c r="DYQ24" s="906">
        <f t="shared" ref="DYQ24" si="1817">$C$24*DYO24</f>
        <v>100000</v>
      </c>
      <c r="DYS24" s="906">
        <f t="shared" ref="DYS24" si="1818">$C$24*DYQ24</f>
        <v>100000</v>
      </c>
      <c r="DYU24" s="906">
        <f t="shared" ref="DYU24" si="1819">$C$24*DYS24</f>
        <v>100000</v>
      </c>
      <c r="DYW24" s="906">
        <f t="shared" ref="DYW24" si="1820">$C$24*DYU24</f>
        <v>100000</v>
      </c>
      <c r="DYY24" s="906">
        <f t="shared" ref="DYY24" si="1821">$C$24*DYW24</f>
        <v>100000</v>
      </c>
      <c r="DZA24" s="906">
        <f t="shared" ref="DZA24" si="1822">$C$24*DYY24</f>
        <v>100000</v>
      </c>
      <c r="DZC24" s="906">
        <f t="shared" ref="DZC24" si="1823">$C$24*DZA24</f>
        <v>100000</v>
      </c>
      <c r="DZE24" s="906">
        <f t="shared" ref="DZE24" si="1824">$C$24*DZC24</f>
        <v>100000</v>
      </c>
      <c r="DZG24" s="906">
        <f t="shared" ref="DZG24" si="1825">$C$24*DZE24</f>
        <v>100000</v>
      </c>
      <c r="DZI24" s="906">
        <f t="shared" ref="DZI24" si="1826">$C$24*DZG24</f>
        <v>100000</v>
      </c>
      <c r="DZK24" s="906">
        <f t="shared" ref="DZK24" si="1827">$C$24*DZI24</f>
        <v>100000</v>
      </c>
      <c r="DZM24" s="906">
        <f t="shared" ref="DZM24" si="1828">$C$24*DZK24</f>
        <v>100000</v>
      </c>
      <c r="DZO24" s="906">
        <f t="shared" ref="DZO24" si="1829">$C$24*DZM24</f>
        <v>100000</v>
      </c>
      <c r="DZQ24" s="906">
        <f t="shared" ref="DZQ24" si="1830">$C$24*DZO24</f>
        <v>100000</v>
      </c>
      <c r="DZS24" s="906">
        <f t="shared" ref="DZS24" si="1831">$C$24*DZQ24</f>
        <v>100000</v>
      </c>
      <c r="DZU24" s="906">
        <f t="shared" ref="DZU24" si="1832">$C$24*DZS24</f>
        <v>100000</v>
      </c>
      <c r="DZW24" s="906">
        <f t="shared" ref="DZW24" si="1833">$C$24*DZU24</f>
        <v>100000</v>
      </c>
      <c r="DZY24" s="906">
        <f t="shared" ref="DZY24" si="1834">$C$24*DZW24</f>
        <v>100000</v>
      </c>
      <c r="EAA24" s="906">
        <f t="shared" ref="EAA24" si="1835">$C$24*DZY24</f>
        <v>100000</v>
      </c>
      <c r="EAC24" s="906">
        <f t="shared" ref="EAC24" si="1836">$C$24*EAA24</f>
        <v>100000</v>
      </c>
      <c r="EAE24" s="906">
        <f t="shared" ref="EAE24" si="1837">$C$24*EAC24</f>
        <v>100000</v>
      </c>
      <c r="EAG24" s="906">
        <f t="shared" ref="EAG24" si="1838">$C$24*EAE24</f>
        <v>100000</v>
      </c>
      <c r="EAI24" s="906">
        <f t="shared" ref="EAI24" si="1839">$C$24*EAG24</f>
        <v>100000</v>
      </c>
      <c r="EAK24" s="906">
        <f t="shared" ref="EAK24" si="1840">$C$24*EAI24</f>
        <v>100000</v>
      </c>
      <c r="EAM24" s="906">
        <f t="shared" ref="EAM24" si="1841">$C$24*EAK24</f>
        <v>100000</v>
      </c>
      <c r="EAO24" s="906">
        <f t="shared" ref="EAO24" si="1842">$C$24*EAM24</f>
        <v>100000</v>
      </c>
      <c r="EAQ24" s="906">
        <f t="shared" ref="EAQ24" si="1843">$C$24*EAO24</f>
        <v>100000</v>
      </c>
      <c r="EAS24" s="906">
        <f t="shared" ref="EAS24" si="1844">$C$24*EAQ24</f>
        <v>100000</v>
      </c>
      <c r="EAU24" s="906">
        <f t="shared" ref="EAU24" si="1845">$C$24*EAS24</f>
        <v>100000</v>
      </c>
      <c r="EAW24" s="906">
        <f t="shared" ref="EAW24" si="1846">$C$24*EAU24</f>
        <v>100000</v>
      </c>
      <c r="EAY24" s="906">
        <f t="shared" ref="EAY24" si="1847">$C$24*EAW24</f>
        <v>100000</v>
      </c>
      <c r="EBA24" s="906">
        <f t="shared" ref="EBA24" si="1848">$C$24*EAY24</f>
        <v>100000</v>
      </c>
      <c r="EBC24" s="906">
        <f t="shared" ref="EBC24" si="1849">$C$24*EBA24</f>
        <v>100000</v>
      </c>
      <c r="EBE24" s="906">
        <f t="shared" ref="EBE24" si="1850">$C$24*EBC24</f>
        <v>100000</v>
      </c>
      <c r="EBG24" s="906">
        <f t="shared" ref="EBG24" si="1851">$C$24*EBE24</f>
        <v>100000</v>
      </c>
      <c r="EBI24" s="906">
        <f t="shared" ref="EBI24" si="1852">$C$24*EBG24</f>
        <v>100000</v>
      </c>
      <c r="EBK24" s="906">
        <f t="shared" ref="EBK24" si="1853">$C$24*EBI24</f>
        <v>100000</v>
      </c>
      <c r="EBM24" s="906">
        <f t="shared" ref="EBM24" si="1854">$C$24*EBK24</f>
        <v>100000</v>
      </c>
      <c r="EBO24" s="906">
        <f t="shared" ref="EBO24" si="1855">$C$24*EBM24</f>
        <v>100000</v>
      </c>
      <c r="EBQ24" s="906">
        <f t="shared" ref="EBQ24" si="1856">$C$24*EBO24</f>
        <v>100000</v>
      </c>
      <c r="EBS24" s="906">
        <f t="shared" ref="EBS24" si="1857">$C$24*EBQ24</f>
        <v>100000</v>
      </c>
      <c r="EBU24" s="906">
        <f t="shared" ref="EBU24" si="1858">$C$24*EBS24</f>
        <v>100000</v>
      </c>
      <c r="EBW24" s="906">
        <f t="shared" ref="EBW24" si="1859">$C$24*EBU24</f>
        <v>100000</v>
      </c>
      <c r="EBY24" s="906">
        <f t="shared" ref="EBY24" si="1860">$C$24*EBW24</f>
        <v>100000</v>
      </c>
      <c r="ECA24" s="906">
        <f t="shared" ref="ECA24" si="1861">$C$24*EBY24</f>
        <v>100000</v>
      </c>
      <c r="ECC24" s="906">
        <f t="shared" ref="ECC24" si="1862">$C$24*ECA24</f>
        <v>100000</v>
      </c>
      <c r="ECE24" s="906">
        <f t="shared" ref="ECE24" si="1863">$C$24*ECC24</f>
        <v>100000</v>
      </c>
      <c r="ECG24" s="906">
        <f t="shared" ref="ECG24" si="1864">$C$24*ECE24</f>
        <v>100000</v>
      </c>
      <c r="ECI24" s="906">
        <f t="shared" ref="ECI24" si="1865">$C$24*ECG24</f>
        <v>100000</v>
      </c>
      <c r="ECK24" s="906">
        <f t="shared" ref="ECK24" si="1866">$C$24*ECI24</f>
        <v>100000</v>
      </c>
      <c r="ECM24" s="906">
        <f t="shared" ref="ECM24" si="1867">$C$24*ECK24</f>
        <v>100000</v>
      </c>
      <c r="ECO24" s="906">
        <f t="shared" ref="ECO24" si="1868">$C$24*ECM24</f>
        <v>100000</v>
      </c>
      <c r="ECQ24" s="906">
        <f t="shared" ref="ECQ24" si="1869">$C$24*ECO24</f>
        <v>100000</v>
      </c>
      <c r="ECS24" s="906">
        <f t="shared" ref="ECS24" si="1870">$C$24*ECQ24</f>
        <v>100000</v>
      </c>
      <c r="ECU24" s="906">
        <f t="shared" ref="ECU24" si="1871">$C$24*ECS24</f>
        <v>100000</v>
      </c>
      <c r="ECW24" s="906">
        <f t="shared" ref="ECW24" si="1872">$C$24*ECU24</f>
        <v>100000</v>
      </c>
      <c r="ECY24" s="906">
        <f t="shared" ref="ECY24" si="1873">$C$24*ECW24</f>
        <v>100000</v>
      </c>
      <c r="EDA24" s="906">
        <f t="shared" ref="EDA24" si="1874">$C$24*ECY24</f>
        <v>100000</v>
      </c>
      <c r="EDC24" s="906">
        <f t="shared" ref="EDC24" si="1875">$C$24*EDA24</f>
        <v>100000</v>
      </c>
      <c r="EDE24" s="906">
        <f t="shared" ref="EDE24" si="1876">$C$24*EDC24</f>
        <v>100000</v>
      </c>
      <c r="EDG24" s="906">
        <f t="shared" ref="EDG24" si="1877">$C$24*EDE24</f>
        <v>100000</v>
      </c>
      <c r="EDI24" s="906">
        <f t="shared" ref="EDI24" si="1878">$C$24*EDG24</f>
        <v>100000</v>
      </c>
      <c r="EDK24" s="906">
        <f t="shared" ref="EDK24" si="1879">$C$24*EDI24</f>
        <v>100000</v>
      </c>
      <c r="EDM24" s="906">
        <f t="shared" ref="EDM24" si="1880">$C$24*EDK24</f>
        <v>100000</v>
      </c>
      <c r="EDO24" s="906">
        <f t="shared" ref="EDO24" si="1881">$C$24*EDM24</f>
        <v>100000</v>
      </c>
      <c r="EDQ24" s="906">
        <f t="shared" ref="EDQ24" si="1882">$C$24*EDO24</f>
        <v>100000</v>
      </c>
      <c r="EDS24" s="906">
        <f t="shared" ref="EDS24" si="1883">$C$24*EDQ24</f>
        <v>100000</v>
      </c>
      <c r="EDU24" s="906">
        <f t="shared" ref="EDU24" si="1884">$C$24*EDS24</f>
        <v>100000</v>
      </c>
      <c r="EDW24" s="906">
        <f t="shared" ref="EDW24" si="1885">$C$24*EDU24</f>
        <v>100000</v>
      </c>
      <c r="EDY24" s="906">
        <f t="shared" ref="EDY24" si="1886">$C$24*EDW24</f>
        <v>100000</v>
      </c>
      <c r="EEA24" s="906">
        <f t="shared" ref="EEA24" si="1887">$C$24*EDY24</f>
        <v>100000</v>
      </c>
      <c r="EEC24" s="906">
        <f t="shared" ref="EEC24" si="1888">$C$24*EEA24</f>
        <v>100000</v>
      </c>
      <c r="EEE24" s="906">
        <f t="shared" ref="EEE24" si="1889">$C$24*EEC24</f>
        <v>100000</v>
      </c>
      <c r="EEG24" s="906">
        <f t="shared" ref="EEG24" si="1890">$C$24*EEE24</f>
        <v>100000</v>
      </c>
      <c r="EEI24" s="906">
        <f t="shared" ref="EEI24" si="1891">$C$24*EEG24</f>
        <v>100000</v>
      </c>
      <c r="EEK24" s="906">
        <f t="shared" ref="EEK24" si="1892">$C$24*EEI24</f>
        <v>100000</v>
      </c>
      <c r="EEM24" s="906">
        <f t="shared" ref="EEM24" si="1893">$C$24*EEK24</f>
        <v>100000</v>
      </c>
      <c r="EEO24" s="906">
        <f t="shared" ref="EEO24" si="1894">$C$24*EEM24</f>
        <v>100000</v>
      </c>
      <c r="EEQ24" s="906">
        <f t="shared" ref="EEQ24" si="1895">$C$24*EEO24</f>
        <v>100000</v>
      </c>
      <c r="EES24" s="906">
        <f t="shared" ref="EES24" si="1896">$C$24*EEQ24</f>
        <v>100000</v>
      </c>
      <c r="EEU24" s="906">
        <f t="shared" ref="EEU24" si="1897">$C$24*EES24</f>
        <v>100000</v>
      </c>
      <c r="EEW24" s="906">
        <f t="shared" ref="EEW24" si="1898">$C$24*EEU24</f>
        <v>100000</v>
      </c>
      <c r="EEY24" s="906">
        <f t="shared" ref="EEY24" si="1899">$C$24*EEW24</f>
        <v>100000</v>
      </c>
      <c r="EFA24" s="906">
        <f t="shared" ref="EFA24" si="1900">$C$24*EEY24</f>
        <v>100000</v>
      </c>
      <c r="EFC24" s="906">
        <f t="shared" ref="EFC24" si="1901">$C$24*EFA24</f>
        <v>100000</v>
      </c>
      <c r="EFE24" s="906">
        <f t="shared" ref="EFE24" si="1902">$C$24*EFC24</f>
        <v>100000</v>
      </c>
      <c r="EFG24" s="906">
        <f t="shared" ref="EFG24" si="1903">$C$24*EFE24</f>
        <v>100000</v>
      </c>
      <c r="EFI24" s="906">
        <f t="shared" ref="EFI24" si="1904">$C$24*EFG24</f>
        <v>100000</v>
      </c>
      <c r="EFK24" s="906">
        <f t="shared" ref="EFK24" si="1905">$C$24*EFI24</f>
        <v>100000</v>
      </c>
      <c r="EFM24" s="906">
        <f t="shared" ref="EFM24" si="1906">$C$24*EFK24</f>
        <v>100000</v>
      </c>
      <c r="EFO24" s="906">
        <f t="shared" ref="EFO24" si="1907">$C$24*EFM24</f>
        <v>100000</v>
      </c>
      <c r="EFQ24" s="906">
        <f t="shared" ref="EFQ24" si="1908">$C$24*EFO24</f>
        <v>100000</v>
      </c>
      <c r="EFS24" s="906">
        <f t="shared" ref="EFS24" si="1909">$C$24*EFQ24</f>
        <v>100000</v>
      </c>
      <c r="EFU24" s="906">
        <f t="shared" ref="EFU24" si="1910">$C$24*EFS24</f>
        <v>100000</v>
      </c>
      <c r="EFW24" s="906">
        <f t="shared" ref="EFW24" si="1911">$C$24*EFU24</f>
        <v>100000</v>
      </c>
      <c r="EFY24" s="906">
        <f t="shared" ref="EFY24" si="1912">$C$24*EFW24</f>
        <v>100000</v>
      </c>
      <c r="EGA24" s="906">
        <f t="shared" ref="EGA24" si="1913">$C$24*EFY24</f>
        <v>100000</v>
      </c>
      <c r="EGC24" s="906">
        <f t="shared" ref="EGC24" si="1914">$C$24*EGA24</f>
        <v>100000</v>
      </c>
      <c r="EGE24" s="906">
        <f t="shared" ref="EGE24" si="1915">$C$24*EGC24</f>
        <v>100000</v>
      </c>
      <c r="EGG24" s="906">
        <f t="shared" ref="EGG24" si="1916">$C$24*EGE24</f>
        <v>100000</v>
      </c>
      <c r="EGI24" s="906">
        <f t="shared" ref="EGI24" si="1917">$C$24*EGG24</f>
        <v>100000</v>
      </c>
      <c r="EGK24" s="906">
        <f t="shared" ref="EGK24" si="1918">$C$24*EGI24</f>
        <v>100000</v>
      </c>
      <c r="EGM24" s="906">
        <f t="shared" ref="EGM24" si="1919">$C$24*EGK24</f>
        <v>100000</v>
      </c>
      <c r="EGO24" s="906">
        <f t="shared" ref="EGO24" si="1920">$C$24*EGM24</f>
        <v>100000</v>
      </c>
      <c r="EGQ24" s="906">
        <f t="shared" ref="EGQ24" si="1921">$C$24*EGO24</f>
        <v>100000</v>
      </c>
      <c r="EGS24" s="906">
        <f t="shared" ref="EGS24" si="1922">$C$24*EGQ24</f>
        <v>100000</v>
      </c>
      <c r="EGU24" s="906">
        <f t="shared" ref="EGU24" si="1923">$C$24*EGS24</f>
        <v>100000</v>
      </c>
      <c r="EGW24" s="906">
        <f t="shared" ref="EGW24" si="1924">$C$24*EGU24</f>
        <v>100000</v>
      </c>
      <c r="EGY24" s="906">
        <f t="shared" ref="EGY24" si="1925">$C$24*EGW24</f>
        <v>100000</v>
      </c>
      <c r="EHA24" s="906">
        <f t="shared" ref="EHA24" si="1926">$C$24*EGY24</f>
        <v>100000</v>
      </c>
      <c r="EHC24" s="906">
        <f t="shared" ref="EHC24" si="1927">$C$24*EHA24</f>
        <v>100000</v>
      </c>
      <c r="EHE24" s="906">
        <f t="shared" ref="EHE24" si="1928">$C$24*EHC24</f>
        <v>100000</v>
      </c>
      <c r="EHG24" s="906">
        <f t="shared" ref="EHG24" si="1929">$C$24*EHE24</f>
        <v>100000</v>
      </c>
      <c r="EHI24" s="906">
        <f t="shared" ref="EHI24" si="1930">$C$24*EHG24</f>
        <v>100000</v>
      </c>
      <c r="EHK24" s="906">
        <f t="shared" ref="EHK24" si="1931">$C$24*EHI24</f>
        <v>100000</v>
      </c>
      <c r="EHM24" s="906">
        <f t="shared" ref="EHM24" si="1932">$C$24*EHK24</f>
        <v>100000</v>
      </c>
      <c r="EHO24" s="906">
        <f t="shared" ref="EHO24" si="1933">$C$24*EHM24</f>
        <v>100000</v>
      </c>
      <c r="EHQ24" s="906">
        <f t="shared" ref="EHQ24" si="1934">$C$24*EHO24</f>
        <v>100000</v>
      </c>
      <c r="EHS24" s="906">
        <f t="shared" ref="EHS24" si="1935">$C$24*EHQ24</f>
        <v>100000</v>
      </c>
      <c r="EHU24" s="906">
        <f t="shared" ref="EHU24" si="1936">$C$24*EHS24</f>
        <v>100000</v>
      </c>
      <c r="EHW24" s="906">
        <f t="shared" ref="EHW24" si="1937">$C$24*EHU24</f>
        <v>100000</v>
      </c>
      <c r="EHY24" s="906">
        <f t="shared" ref="EHY24" si="1938">$C$24*EHW24</f>
        <v>100000</v>
      </c>
      <c r="EIA24" s="906">
        <f t="shared" ref="EIA24" si="1939">$C$24*EHY24</f>
        <v>100000</v>
      </c>
      <c r="EIC24" s="906">
        <f t="shared" ref="EIC24" si="1940">$C$24*EIA24</f>
        <v>100000</v>
      </c>
      <c r="EIE24" s="906">
        <f t="shared" ref="EIE24" si="1941">$C$24*EIC24</f>
        <v>100000</v>
      </c>
      <c r="EIG24" s="906">
        <f t="shared" ref="EIG24" si="1942">$C$24*EIE24</f>
        <v>100000</v>
      </c>
      <c r="EII24" s="906">
        <f t="shared" ref="EII24" si="1943">$C$24*EIG24</f>
        <v>100000</v>
      </c>
      <c r="EIK24" s="906">
        <f t="shared" ref="EIK24" si="1944">$C$24*EII24</f>
        <v>100000</v>
      </c>
      <c r="EIM24" s="906">
        <f t="shared" ref="EIM24" si="1945">$C$24*EIK24</f>
        <v>100000</v>
      </c>
      <c r="EIO24" s="906">
        <f t="shared" ref="EIO24" si="1946">$C$24*EIM24</f>
        <v>100000</v>
      </c>
      <c r="EIQ24" s="906">
        <f t="shared" ref="EIQ24" si="1947">$C$24*EIO24</f>
        <v>100000</v>
      </c>
      <c r="EIS24" s="906">
        <f t="shared" ref="EIS24" si="1948">$C$24*EIQ24</f>
        <v>100000</v>
      </c>
      <c r="EIU24" s="906">
        <f t="shared" ref="EIU24" si="1949">$C$24*EIS24</f>
        <v>100000</v>
      </c>
      <c r="EIW24" s="906">
        <f t="shared" ref="EIW24" si="1950">$C$24*EIU24</f>
        <v>100000</v>
      </c>
      <c r="EIY24" s="906">
        <f t="shared" ref="EIY24" si="1951">$C$24*EIW24</f>
        <v>100000</v>
      </c>
      <c r="EJA24" s="906">
        <f t="shared" ref="EJA24" si="1952">$C$24*EIY24</f>
        <v>100000</v>
      </c>
      <c r="EJC24" s="906">
        <f t="shared" ref="EJC24" si="1953">$C$24*EJA24</f>
        <v>100000</v>
      </c>
      <c r="EJE24" s="906">
        <f t="shared" ref="EJE24" si="1954">$C$24*EJC24</f>
        <v>100000</v>
      </c>
      <c r="EJG24" s="906">
        <f t="shared" ref="EJG24" si="1955">$C$24*EJE24</f>
        <v>100000</v>
      </c>
      <c r="EJI24" s="906">
        <f t="shared" ref="EJI24" si="1956">$C$24*EJG24</f>
        <v>100000</v>
      </c>
      <c r="EJK24" s="906">
        <f t="shared" ref="EJK24" si="1957">$C$24*EJI24</f>
        <v>100000</v>
      </c>
      <c r="EJM24" s="906">
        <f t="shared" ref="EJM24" si="1958">$C$24*EJK24</f>
        <v>100000</v>
      </c>
      <c r="EJO24" s="906">
        <f t="shared" ref="EJO24" si="1959">$C$24*EJM24</f>
        <v>100000</v>
      </c>
      <c r="EJQ24" s="906">
        <f t="shared" ref="EJQ24" si="1960">$C$24*EJO24</f>
        <v>100000</v>
      </c>
      <c r="EJS24" s="906">
        <f t="shared" ref="EJS24" si="1961">$C$24*EJQ24</f>
        <v>100000</v>
      </c>
      <c r="EJU24" s="906">
        <f t="shared" ref="EJU24" si="1962">$C$24*EJS24</f>
        <v>100000</v>
      </c>
      <c r="EJW24" s="906">
        <f t="shared" ref="EJW24" si="1963">$C$24*EJU24</f>
        <v>100000</v>
      </c>
      <c r="EJY24" s="906">
        <f t="shared" ref="EJY24" si="1964">$C$24*EJW24</f>
        <v>100000</v>
      </c>
      <c r="EKA24" s="906">
        <f t="shared" ref="EKA24" si="1965">$C$24*EJY24</f>
        <v>100000</v>
      </c>
      <c r="EKC24" s="906">
        <f t="shared" ref="EKC24" si="1966">$C$24*EKA24</f>
        <v>100000</v>
      </c>
      <c r="EKE24" s="906">
        <f t="shared" ref="EKE24" si="1967">$C$24*EKC24</f>
        <v>100000</v>
      </c>
      <c r="EKG24" s="906">
        <f t="shared" ref="EKG24" si="1968">$C$24*EKE24</f>
        <v>100000</v>
      </c>
      <c r="EKI24" s="906">
        <f t="shared" ref="EKI24" si="1969">$C$24*EKG24</f>
        <v>100000</v>
      </c>
      <c r="EKK24" s="906">
        <f t="shared" ref="EKK24" si="1970">$C$24*EKI24</f>
        <v>100000</v>
      </c>
      <c r="EKM24" s="906">
        <f t="shared" ref="EKM24" si="1971">$C$24*EKK24</f>
        <v>100000</v>
      </c>
      <c r="EKO24" s="906">
        <f t="shared" ref="EKO24" si="1972">$C$24*EKM24</f>
        <v>100000</v>
      </c>
      <c r="EKQ24" s="906">
        <f t="shared" ref="EKQ24" si="1973">$C$24*EKO24</f>
        <v>100000</v>
      </c>
      <c r="EKS24" s="906">
        <f t="shared" ref="EKS24" si="1974">$C$24*EKQ24</f>
        <v>100000</v>
      </c>
      <c r="EKU24" s="906">
        <f t="shared" ref="EKU24" si="1975">$C$24*EKS24</f>
        <v>100000</v>
      </c>
      <c r="EKW24" s="906">
        <f t="shared" ref="EKW24" si="1976">$C$24*EKU24</f>
        <v>100000</v>
      </c>
      <c r="EKY24" s="906">
        <f t="shared" ref="EKY24" si="1977">$C$24*EKW24</f>
        <v>100000</v>
      </c>
      <c r="ELA24" s="906">
        <f t="shared" ref="ELA24" si="1978">$C$24*EKY24</f>
        <v>100000</v>
      </c>
      <c r="ELC24" s="906">
        <f t="shared" ref="ELC24" si="1979">$C$24*ELA24</f>
        <v>100000</v>
      </c>
      <c r="ELE24" s="906">
        <f t="shared" ref="ELE24" si="1980">$C$24*ELC24</f>
        <v>100000</v>
      </c>
      <c r="ELG24" s="906">
        <f t="shared" ref="ELG24" si="1981">$C$24*ELE24</f>
        <v>100000</v>
      </c>
      <c r="ELI24" s="906">
        <f t="shared" ref="ELI24" si="1982">$C$24*ELG24</f>
        <v>100000</v>
      </c>
      <c r="ELK24" s="906">
        <f t="shared" ref="ELK24" si="1983">$C$24*ELI24</f>
        <v>100000</v>
      </c>
      <c r="ELM24" s="906">
        <f t="shared" ref="ELM24" si="1984">$C$24*ELK24</f>
        <v>100000</v>
      </c>
      <c r="ELO24" s="906">
        <f t="shared" ref="ELO24" si="1985">$C$24*ELM24</f>
        <v>100000</v>
      </c>
      <c r="ELQ24" s="906">
        <f t="shared" ref="ELQ24" si="1986">$C$24*ELO24</f>
        <v>100000</v>
      </c>
      <c r="ELS24" s="906">
        <f t="shared" ref="ELS24" si="1987">$C$24*ELQ24</f>
        <v>100000</v>
      </c>
      <c r="ELU24" s="906">
        <f t="shared" ref="ELU24" si="1988">$C$24*ELS24</f>
        <v>100000</v>
      </c>
      <c r="ELW24" s="906">
        <f t="shared" ref="ELW24" si="1989">$C$24*ELU24</f>
        <v>100000</v>
      </c>
      <c r="ELY24" s="906">
        <f t="shared" ref="ELY24" si="1990">$C$24*ELW24</f>
        <v>100000</v>
      </c>
      <c r="EMA24" s="906">
        <f t="shared" ref="EMA24" si="1991">$C$24*ELY24</f>
        <v>100000</v>
      </c>
      <c r="EMC24" s="906">
        <f t="shared" ref="EMC24" si="1992">$C$24*EMA24</f>
        <v>100000</v>
      </c>
      <c r="EME24" s="906">
        <f t="shared" ref="EME24" si="1993">$C$24*EMC24</f>
        <v>100000</v>
      </c>
      <c r="EMG24" s="906">
        <f t="shared" ref="EMG24" si="1994">$C$24*EME24</f>
        <v>100000</v>
      </c>
      <c r="EMI24" s="906">
        <f t="shared" ref="EMI24" si="1995">$C$24*EMG24</f>
        <v>100000</v>
      </c>
      <c r="EMK24" s="906">
        <f t="shared" ref="EMK24" si="1996">$C$24*EMI24</f>
        <v>100000</v>
      </c>
      <c r="EMM24" s="906">
        <f t="shared" ref="EMM24" si="1997">$C$24*EMK24</f>
        <v>100000</v>
      </c>
      <c r="EMO24" s="906">
        <f t="shared" ref="EMO24" si="1998">$C$24*EMM24</f>
        <v>100000</v>
      </c>
      <c r="EMQ24" s="906">
        <f t="shared" ref="EMQ24" si="1999">$C$24*EMO24</f>
        <v>100000</v>
      </c>
      <c r="EMS24" s="906">
        <f t="shared" ref="EMS24" si="2000">$C$24*EMQ24</f>
        <v>100000</v>
      </c>
      <c r="EMU24" s="906">
        <f t="shared" ref="EMU24" si="2001">$C$24*EMS24</f>
        <v>100000</v>
      </c>
      <c r="EMW24" s="906">
        <f t="shared" ref="EMW24" si="2002">$C$24*EMU24</f>
        <v>100000</v>
      </c>
      <c r="EMY24" s="906">
        <f t="shared" ref="EMY24" si="2003">$C$24*EMW24</f>
        <v>100000</v>
      </c>
      <c r="ENA24" s="906">
        <f t="shared" ref="ENA24" si="2004">$C$24*EMY24</f>
        <v>100000</v>
      </c>
      <c r="ENC24" s="906">
        <f t="shared" ref="ENC24" si="2005">$C$24*ENA24</f>
        <v>100000</v>
      </c>
      <c r="ENE24" s="906">
        <f t="shared" ref="ENE24" si="2006">$C$24*ENC24</f>
        <v>100000</v>
      </c>
      <c r="ENG24" s="906">
        <f t="shared" ref="ENG24" si="2007">$C$24*ENE24</f>
        <v>100000</v>
      </c>
      <c r="ENI24" s="906">
        <f t="shared" ref="ENI24" si="2008">$C$24*ENG24</f>
        <v>100000</v>
      </c>
      <c r="ENK24" s="906">
        <f t="shared" ref="ENK24" si="2009">$C$24*ENI24</f>
        <v>100000</v>
      </c>
      <c r="ENM24" s="906">
        <f t="shared" ref="ENM24" si="2010">$C$24*ENK24</f>
        <v>100000</v>
      </c>
      <c r="ENO24" s="906">
        <f t="shared" ref="ENO24" si="2011">$C$24*ENM24</f>
        <v>100000</v>
      </c>
      <c r="ENQ24" s="906">
        <f t="shared" ref="ENQ24" si="2012">$C$24*ENO24</f>
        <v>100000</v>
      </c>
      <c r="ENS24" s="906">
        <f t="shared" ref="ENS24" si="2013">$C$24*ENQ24</f>
        <v>100000</v>
      </c>
      <c r="ENU24" s="906">
        <f t="shared" ref="ENU24" si="2014">$C$24*ENS24</f>
        <v>100000</v>
      </c>
      <c r="ENW24" s="906">
        <f t="shared" ref="ENW24" si="2015">$C$24*ENU24</f>
        <v>100000</v>
      </c>
      <c r="ENY24" s="906">
        <f t="shared" ref="ENY24" si="2016">$C$24*ENW24</f>
        <v>100000</v>
      </c>
      <c r="EOA24" s="906">
        <f t="shared" ref="EOA24" si="2017">$C$24*ENY24</f>
        <v>100000</v>
      </c>
      <c r="EOC24" s="906">
        <f t="shared" ref="EOC24" si="2018">$C$24*EOA24</f>
        <v>100000</v>
      </c>
      <c r="EOE24" s="906">
        <f t="shared" ref="EOE24" si="2019">$C$24*EOC24</f>
        <v>100000</v>
      </c>
      <c r="EOG24" s="906">
        <f t="shared" ref="EOG24" si="2020">$C$24*EOE24</f>
        <v>100000</v>
      </c>
      <c r="EOI24" s="906">
        <f t="shared" ref="EOI24" si="2021">$C$24*EOG24</f>
        <v>100000</v>
      </c>
      <c r="EOK24" s="906">
        <f t="shared" ref="EOK24" si="2022">$C$24*EOI24</f>
        <v>100000</v>
      </c>
      <c r="EOM24" s="906">
        <f t="shared" ref="EOM24" si="2023">$C$24*EOK24</f>
        <v>100000</v>
      </c>
      <c r="EOO24" s="906">
        <f t="shared" ref="EOO24" si="2024">$C$24*EOM24</f>
        <v>100000</v>
      </c>
      <c r="EOQ24" s="906">
        <f t="shared" ref="EOQ24" si="2025">$C$24*EOO24</f>
        <v>100000</v>
      </c>
      <c r="EOS24" s="906">
        <f t="shared" ref="EOS24" si="2026">$C$24*EOQ24</f>
        <v>100000</v>
      </c>
      <c r="EOU24" s="906">
        <f t="shared" ref="EOU24" si="2027">$C$24*EOS24</f>
        <v>100000</v>
      </c>
      <c r="EOW24" s="906">
        <f t="shared" ref="EOW24" si="2028">$C$24*EOU24</f>
        <v>100000</v>
      </c>
      <c r="EOY24" s="906">
        <f t="shared" ref="EOY24" si="2029">$C$24*EOW24</f>
        <v>100000</v>
      </c>
      <c r="EPA24" s="906">
        <f t="shared" ref="EPA24" si="2030">$C$24*EOY24</f>
        <v>100000</v>
      </c>
      <c r="EPC24" s="906">
        <f t="shared" ref="EPC24" si="2031">$C$24*EPA24</f>
        <v>100000</v>
      </c>
      <c r="EPE24" s="906">
        <f t="shared" ref="EPE24" si="2032">$C$24*EPC24</f>
        <v>100000</v>
      </c>
      <c r="EPG24" s="906">
        <f t="shared" ref="EPG24" si="2033">$C$24*EPE24</f>
        <v>100000</v>
      </c>
      <c r="EPI24" s="906">
        <f t="shared" ref="EPI24" si="2034">$C$24*EPG24</f>
        <v>100000</v>
      </c>
      <c r="EPK24" s="906">
        <f t="shared" ref="EPK24" si="2035">$C$24*EPI24</f>
        <v>100000</v>
      </c>
      <c r="EPM24" s="906">
        <f t="shared" ref="EPM24" si="2036">$C$24*EPK24</f>
        <v>100000</v>
      </c>
      <c r="EPO24" s="906">
        <f t="shared" ref="EPO24" si="2037">$C$24*EPM24</f>
        <v>100000</v>
      </c>
      <c r="EPQ24" s="906">
        <f t="shared" ref="EPQ24" si="2038">$C$24*EPO24</f>
        <v>100000</v>
      </c>
      <c r="EPS24" s="906">
        <f t="shared" ref="EPS24" si="2039">$C$24*EPQ24</f>
        <v>100000</v>
      </c>
      <c r="EPU24" s="906">
        <f t="shared" ref="EPU24" si="2040">$C$24*EPS24</f>
        <v>100000</v>
      </c>
      <c r="EPW24" s="906">
        <f t="shared" ref="EPW24" si="2041">$C$24*EPU24</f>
        <v>100000</v>
      </c>
      <c r="EPY24" s="906">
        <f t="shared" ref="EPY24" si="2042">$C$24*EPW24</f>
        <v>100000</v>
      </c>
      <c r="EQA24" s="906">
        <f t="shared" ref="EQA24" si="2043">$C$24*EPY24</f>
        <v>100000</v>
      </c>
      <c r="EQC24" s="906">
        <f t="shared" ref="EQC24" si="2044">$C$24*EQA24</f>
        <v>100000</v>
      </c>
      <c r="EQE24" s="906">
        <f t="shared" ref="EQE24" si="2045">$C$24*EQC24</f>
        <v>100000</v>
      </c>
      <c r="EQG24" s="906">
        <f t="shared" ref="EQG24" si="2046">$C$24*EQE24</f>
        <v>100000</v>
      </c>
      <c r="EQI24" s="906">
        <f t="shared" ref="EQI24" si="2047">$C$24*EQG24</f>
        <v>100000</v>
      </c>
      <c r="EQK24" s="906">
        <f t="shared" ref="EQK24" si="2048">$C$24*EQI24</f>
        <v>100000</v>
      </c>
      <c r="EQM24" s="906">
        <f t="shared" ref="EQM24" si="2049">$C$24*EQK24</f>
        <v>100000</v>
      </c>
      <c r="EQO24" s="906">
        <f t="shared" ref="EQO24" si="2050">$C$24*EQM24</f>
        <v>100000</v>
      </c>
      <c r="EQQ24" s="906">
        <f t="shared" ref="EQQ24" si="2051">$C$24*EQO24</f>
        <v>100000</v>
      </c>
      <c r="EQS24" s="906">
        <f t="shared" ref="EQS24" si="2052">$C$24*EQQ24</f>
        <v>100000</v>
      </c>
      <c r="EQU24" s="906">
        <f t="shared" ref="EQU24" si="2053">$C$24*EQS24</f>
        <v>100000</v>
      </c>
      <c r="EQW24" s="906">
        <f t="shared" ref="EQW24" si="2054">$C$24*EQU24</f>
        <v>100000</v>
      </c>
      <c r="EQY24" s="906">
        <f t="shared" ref="EQY24" si="2055">$C$24*EQW24</f>
        <v>100000</v>
      </c>
      <c r="ERA24" s="906">
        <f t="shared" ref="ERA24" si="2056">$C$24*EQY24</f>
        <v>100000</v>
      </c>
      <c r="ERC24" s="906">
        <f t="shared" ref="ERC24" si="2057">$C$24*ERA24</f>
        <v>100000</v>
      </c>
      <c r="ERE24" s="906">
        <f t="shared" ref="ERE24" si="2058">$C$24*ERC24</f>
        <v>100000</v>
      </c>
      <c r="ERG24" s="906">
        <f t="shared" ref="ERG24" si="2059">$C$24*ERE24</f>
        <v>100000</v>
      </c>
      <c r="ERI24" s="906">
        <f t="shared" ref="ERI24" si="2060">$C$24*ERG24</f>
        <v>100000</v>
      </c>
      <c r="ERK24" s="906">
        <f t="shared" ref="ERK24" si="2061">$C$24*ERI24</f>
        <v>100000</v>
      </c>
      <c r="ERM24" s="906">
        <f t="shared" ref="ERM24" si="2062">$C$24*ERK24</f>
        <v>100000</v>
      </c>
      <c r="ERO24" s="906">
        <f t="shared" ref="ERO24" si="2063">$C$24*ERM24</f>
        <v>100000</v>
      </c>
      <c r="ERQ24" s="906">
        <f t="shared" ref="ERQ24" si="2064">$C$24*ERO24</f>
        <v>100000</v>
      </c>
      <c r="ERS24" s="906">
        <f t="shared" ref="ERS24" si="2065">$C$24*ERQ24</f>
        <v>100000</v>
      </c>
      <c r="ERU24" s="906">
        <f t="shared" ref="ERU24" si="2066">$C$24*ERS24</f>
        <v>100000</v>
      </c>
      <c r="ERW24" s="906">
        <f t="shared" ref="ERW24" si="2067">$C$24*ERU24</f>
        <v>100000</v>
      </c>
      <c r="ERY24" s="906">
        <f t="shared" ref="ERY24" si="2068">$C$24*ERW24</f>
        <v>100000</v>
      </c>
      <c r="ESA24" s="906">
        <f t="shared" ref="ESA24" si="2069">$C$24*ERY24</f>
        <v>100000</v>
      </c>
      <c r="ESC24" s="906">
        <f t="shared" ref="ESC24" si="2070">$C$24*ESA24</f>
        <v>100000</v>
      </c>
      <c r="ESE24" s="906">
        <f t="shared" ref="ESE24" si="2071">$C$24*ESC24</f>
        <v>100000</v>
      </c>
      <c r="ESG24" s="906">
        <f t="shared" ref="ESG24" si="2072">$C$24*ESE24</f>
        <v>100000</v>
      </c>
      <c r="ESI24" s="906">
        <f t="shared" ref="ESI24" si="2073">$C$24*ESG24</f>
        <v>100000</v>
      </c>
      <c r="ESK24" s="906">
        <f t="shared" ref="ESK24" si="2074">$C$24*ESI24</f>
        <v>100000</v>
      </c>
      <c r="ESM24" s="906">
        <f t="shared" ref="ESM24" si="2075">$C$24*ESK24</f>
        <v>100000</v>
      </c>
      <c r="ESO24" s="906">
        <f t="shared" ref="ESO24" si="2076">$C$24*ESM24</f>
        <v>100000</v>
      </c>
      <c r="ESQ24" s="906">
        <f t="shared" ref="ESQ24" si="2077">$C$24*ESO24</f>
        <v>100000</v>
      </c>
      <c r="ESS24" s="906">
        <f t="shared" ref="ESS24" si="2078">$C$24*ESQ24</f>
        <v>100000</v>
      </c>
      <c r="ESU24" s="906">
        <f t="shared" ref="ESU24" si="2079">$C$24*ESS24</f>
        <v>100000</v>
      </c>
      <c r="ESW24" s="906">
        <f t="shared" ref="ESW24" si="2080">$C$24*ESU24</f>
        <v>100000</v>
      </c>
      <c r="ESY24" s="906">
        <f t="shared" ref="ESY24" si="2081">$C$24*ESW24</f>
        <v>100000</v>
      </c>
      <c r="ETA24" s="906">
        <f t="shared" ref="ETA24" si="2082">$C$24*ESY24</f>
        <v>100000</v>
      </c>
      <c r="ETC24" s="906">
        <f t="shared" ref="ETC24" si="2083">$C$24*ETA24</f>
        <v>100000</v>
      </c>
      <c r="ETE24" s="906">
        <f t="shared" ref="ETE24" si="2084">$C$24*ETC24</f>
        <v>100000</v>
      </c>
      <c r="ETG24" s="906">
        <f t="shared" ref="ETG24" si="2085">$C$24*ETE24</f>
        <v>100000</v>
      </c>
      <c r="ETI24" s="906">
        <f t="shared" ref="ETI24" si="2086">$C$24*ETG24</f>
        <v>100000</v>
      </c>
      <c r="ETK24" s="906">
        <f t="shared" ref="ETK24" si="2087">$C$24*ETI24</f>
        <v>100000</v>
      </c>
      <c r="ETM24" s="906">
        <f t="shared" ref="ETM24" si="2088">$C$24*ETK24</f>
        <v>100000</v>
      </c>
      <c r="ETO24" s="906">
        <f t="shared" ref="ETO24" si="2089">$C$24*ETM24</f>
        <v>100000</v>
      </c>
      <c r="ETQ24" s="906">
        <f t="shared" ref="ETQ24" si="2090">$C$24*ETO24</f>
        <v>100000</v>
      </c>
      <c r="ETS24" s="906">
        <f t="shared" ref="ETS24" si="2091">$C$24*ETQ24</f>
        <v>100000</v>
      </c>
      <c r="ETU24" s="906">
        <f t="shared" ref="ETU24" si="2092">$C$24*ETS24</f>
        <v>100000</v>
      </c>
      <c r="ETW24" s="906">
        <f t="shared" ref="ETW24" si="2093">$C$24*ETU24</f>
        <v>100000</v>
      </c>
      <c r="ETY24" s="906">
        <f t="shared" ref="ETY24" si="2094">$C$24*ETW24</f>
        <v>100000</v>
      </c>
      <c r="EUA24" s="906">
        <f t="shared" ref="EUA24" si="2095">$C$24*ETY24</f>
        <v>100000</v>
      </c>
      <c r="EUC24" s="906">
        <f t="shared" ref="EUC24" si="2096">$C$24*EUA24</f>
        <v>100000</v>
      </c>
      <c r="EUE24" s="906">
        <f t="shared" ref="EUE24" si="2097">$C$24*EUC24</f>
        <v>100000</v>
      </c>
      <c r="EUG24" s="906">
        <f t="shared" ref="EUG24" si="2098">$C$24*EUE24</f>
        <v>100000</v>
      </c>
      <c r="EUI24" s="906">
        <f t="shared" ref="EUI24" si="2099">$C$24*EUG24</f>
        <v>100000</v>
      </c>
      <c r="EUK24" s="906">
        <f t="shared" ref="EUK24" si="2100">$C$24*EUI24</f>
        <v>100000</v>
      </c>
      <c r="EUM24" s="906">
        <f t="shared" ref="EUM24" si="2101">$C$24*EUK24</f>
        <v>100000</v>
      </c>
      <c r="EUO24" s="906">
        <f t="shared" ref="EUO24" si="2102">$C$24*EUM24</f>
        <v>100000</v>
      </c>
      <c r="EUQ24" s="906">
        <f t="shared" ref="EUQ24" si="2103">$C$24*EUO24</f>
        <v>100000</v>
      </c>
      <c r="EUS24" s="906">
        <f t="shared" ref="EUS24" si="2104">$C$24*EUQ24</f>
        <v>100000</v>
      </c>
      <c r="EUU24" s="906">
        <f t="shared" ref="EUU24" si="2105">$C$24*EUS24</f>
        <v>100000</v>
      </c>
      <c r="EUW24" s="906">
        <f t="shared" ref="EUW24" si="2106">$C$24*EUU24</f>
        <v>100000</v>
      </c>
      <c r="EUY24" s="906">
        <f t="shared" ref="EUY24" si="2107">$C$24*EUW24</f>
        <v>100000</v>
      </c>
      <c r="EVA24" s="906">
        <f t="shared" ref="EVA24" si="2108">$C$24*EUY24</f>
        <v>100000</v>
      </c>
      <c r="EVC24" s="906">
        <f t="shared" ref="EVC24" si="2109">$C$24*EVA24</f>
        <v>100000</v>
      </c>
      <c r="EVE24" s="906">
        <f t="shared" ref="EVE24" si="2110">$C$24*EVC24</f>
        <v>100000</v>
      </c>
      <c r="EVG24" s="906">
        <f t="shared" ref="EVG24" si="2111">$C$24*EVE24</f>
        <v>100000</v>
      </c>
      <c r="EVI24" s="906">
        <f t="shared" ref="EVI24" si="2112">$C$24*EVG24</f>
        <v>100000</v>
      </c>
      <c r="EVK24" s="906">
        <f t="shared" ref="EVK24" si="2113">$C$24*EVI24</f>
        <v>100000</v>
      </c>
      <c r="EVM24" s="906">
        <f t="shared" ref="EVM24" si="2114">$C$24*EVK24</f>
        <v>100000</v>
      </c>
      <c r="EVO24" s="906">
        <f t="shared" ref="EVO24" si="2115">$C$24*EVM24</f>
        <v>100000</v>
      </c>
      <c r="EVQ24" s="906">
        <f t="shared" ref="EVQ24" si="2116">$C$24*EVO24</f>
        <v>100000</v>
      </c>
      <c r="EVS24" s="906">
        <f t="shared" ref="EVS24" si="2117">$C$24*EVQ24</f>
        <v>100000</v>
      </c>
      <c r="EVU24" s="906">
        <f t="shared" ref="EVU24" si="2118">$C$24*EVS24</f>
        <v>100000</v>
      </c>
      <c r="EVW24" s="906">
        <f t="shared" ref="EVW24" si="2119">$C$24*EVU24</f>
        <v>100000</v>
      </c>
      <c r="EVY24" s="906">
        <f t="shared" ref="EVY24" si="2120">$C$24*EVW24</f>
        <v>100000</v>
      </c>
      <c r="EWA24" s="906">
        <f t="shared" ref="EWA24" si="2121">$C$24*EVY24</f>
        <v>100000</v>
      </c>
      <c r="EWC24" s="906">
        <f t="shared" ref="EWC24" si="2122">$C$24*EWA24</f>
        <v>100000</v>
      </c>
      <c r="EWE24" s="906">
        <f t="shared" ref="EWE24" si="2123">$C$24*EWC24</f>
        <v>100000</v>
      </c>
      <c r="EWG24" s="906">
        <f t="shared" ref="EWG24" si="2124">$C$24*EWE24</f>
        <v>100000</v>
      </c>
      <c r="EWI24" s="906">
        <f t="shared" ref="EWI24" si="2125">$C$24*EWG24</f>
        <v>100000</v>
      </c>
      <c r="EWK24" s="906">
        <f t="shared" ref="EWK24" si="2126">$C$24*EWI24</f>
        <v>100000</v>
      </c>
      <c r="EWM24" s="906">
        <f t="shared" ref="EWM24" si="2127">$C$24*EWK24</f>
        <v>100000</v>
      </c>
      <c r="EWO24" s="906">
        <f t="shared" ref="EWO24" si="2128">$C$24*EWM24</f>
        <v>100000</v>
      </c>
      <c r="EWQ24" s="906">
        <f t="shared" ref="EWQ24" si="2129">$C$24*EWO24</f>
        <v>100000</v>
      </c>
      <c r="EWS24" s="906">
        <f t="shared" ref="EWS24" si="2130">$C$24*EWQ24</f>
        <v>100000</v>
      </c>
      <c r="EWU24" s="906">
        <f t="shared" ref="EWU24" si="2131">$C$24*EWS24</f>
        <v>100000</v>
      </c>
      <c r="EWW24" s="906">
        <f t="shared" ref="EWW24" si="2132">$C$24*EWU24</f>
        <v>100000</v>
      </c>
      <c r="EWY24" s="906">
        <f t="shared" ref="EWY24" si="2133">$C$24*EWW24</f>
        <v>100000</v>
      </c>
      <c r="EXA24" s="906">
        <f t="shared" ref="EXA24" si="2134">$C$24*EWY24</f>
        <v>100000</v>
      </c>
      <c r="EXC24" s="906">
        <f t="shared" ref="EXC24" si="2135">$C$24*EXA24</f>
        <v>100000</v>
      </c>
      <c r="EXE24" s="906">
        <f t="shared" ref="EXE24" si="2136">$C$24*EXC24</f>
        <v>100000</v>
      </c>
      <c r="EXG24" s="906">
        <f t="shared" ref="EXG24" si="2137">$C$24*EXE24</f>
        <v>100000</v>
      </c>
      <c r="EXI24" s="906">
        <f t="shared" ref="EXI24" si="2138">$C$24*EXG24</f>
        <v>100000</v>
      </c>
      <c r="EXK24" s="906">
        <f t="shared" ref="EXK24" si="2139">$C$24*EXI24</f>
        <v>100000</v>
      </c>
      <c r="EXM24" s="906">
        <f t="shared" ref="EXM24" si="2140">$C$24*EXK24</f>
        <v>100000</v>
      </c>
      <c r="EXO24" s="906">
        <f t="shared" ref="EXO24" si="2141">$C$24*EXM24</f>
        <v>100000</v>
      </c>
      <c r="EXQ24" s="906">
        <f t="shared" ref="EXQ24" si="2142">$C$24*EXO24</f>
        <v>100000</v>
      </c>
      <c r="EXS24" s="906">
        <f t="shared" ref="EXS24" si="2143">$C$24*EXQ24</f>
        <v>100000</v>
      </c>
      <c r="EXU24" s="906">
        <f t="shared" ref="EXU24" si="2144">$C$24*EXS24</f>
        <v>100000</v>
      </c>
      <c r="EXW24" s="906">
        <f t="shared" ref="EXW24" si="2145">$C$24*EXU24</f>
        <v>100000</v>
      </c>
      <c r="EXY24" s="906">
        <f t="shared" ref="EXY24" si="2146">$C$24*EXW24</f>
        <v>100000</v>
      </c>
      <c r="EYA24" s="906">
        <f t="shared" ref="EYA24" si="2147">$C$24*EXY24</f>
        <v>100000</v>
      </c>
      <c r="EYC24" s="906">
        <f t="shared" ref="EYC24" si="2148">$C$24*EYA24</f>
        <v>100000</v>
      </c>
      <c r="EYE24" s="906">
        <f t="shared" ref="EYE24" si="2149">$C$24*EYC24</f>
        <v>100000</v>
      </c>
      <c r="EYG24" s="906">
        <f t="shared" ref="EYG24" si="2150">$C$24*EYE24</f>
        <v>100000</v>
      </c>
      <c r="EYI24" s="906">
        <f t="shared" ref="EYI24" si="2151">$C$24*EYG24</f>
        <v>100000</v>
      </c>
      <c r="EYK24" s="906">
        <f t="shared" ref="EYK24" si="2152">$C$24*EYI24</f>
        <v>100000</v>
      </c>
      <c r="EYM24" s="906">
        <f t="shared" ref="EYM24" si="2153">$C$24*EYK24</f>
        <v>100000</v>
      </c>
      <c r="EYO24" s="906">
        <f t="shared" ref="EYO24" si="2154">$C$24*EYM24</f>
        <v>100000</v>
      </c>
      <c r="EYQ24" s="906">
        <f t="shared" ref="EYQ24" si="2155">$C$24*EYO24</f>
        <v>100000</v>
      </c>
      <c r="EYS24" s="906">
        <f t="shared" ref="EYS24" si="2156">$C$24*EYQ24</f>
        <v>100000</v>
      </c>
      <c r="EYU24" s="906">
        <f t="shared" ref="EYU24" si="2157">$C$24*EYS24</f>
        <v>100000</v>
      </c>
      <c r="EYW24" s="906">
        <f t="shared" ref="EYW24" si="2158">$C$24*EYU24</f>
        <v>100000</v>
      </c>
      <c r="EYY24" s="906">
        <f t="shared" ref="EYY24" si="2159">$C$24*EYW24</f>
        <v>100000</v>
      </c>
      <c r="EZA24" s="906">
        <f t="shared" ref="EZA24" si="2160">$C$24*EYY24</f>
        <v>100000</v>
      </c>
      <c r="EZC24" s="906">
        <f t="shared" ref="EZC24" si="2161">$C$24*EZA24</f>
        <v>100000</v>
      </c>
      <c r="EZE24" s="906">
        <f t="shared" ref="EZE24" si="2162">$C$24*EZC24</f>
        <v>100000</v>
      </c>
      <c r="EZG24" s="906">
        <f t="shared" ref="EZG24" si="2163">$C$24*EZE24</f>
        <v>100000</v>
      </c>
      <c r="EZI24" s="906">
        <f t="shared" ref="EZI24" si="2164">$C$24*EZG24</f>
        <v>100000</v>
      </c>
      <c r="EZK24" s="906">
        <f t="shared" ref="EZK24" si="2165">$C$24*EZI24</f>
        <v>100000</v>
      </c>
      <c r="EZM24" s="906">
        <f t="shared" ref="EZM24" si="2166">$C$24*EZK24</f>
        <v>100000</v>
      </c>
      <c r="EZO24" s="906">
        <f t="shared" ref="EZO24" si="2167">$C$24*EZM24</f>
        <v>100000</v>
      </c>
      <c r="EZQ24" s="906">
        <f t="shared" ref="EZQ24" si="2168">$C$24*EZO24</f>
        <v>100000</v>
      </c>
      <c r="EZS24" s="906">
        <f t="shared" ref="EZS24" si="2169">$C$24*EZQ24</f>
        <v>100000</v>
      </c>
      <c r="EZU24" s="906">
        <f t="shared" ref="EZU24" si="2170">$C$24*EZS24</f>
        <v>100000</v>
      </c>
      <c r="EZW24" s="906">
        <f t="shared" ref="EZW24" si="2171">$C$24*EZU24</f>
        <v>100000</v>
      </c>
      <c r="EZY24" s="906">
        <f t="shared" ref="EZY24" si="2172">$C$24*EZW24</f>
        <v>100000</v>
      </c>
      <c r="FAA24" s="906">
        <f t="shared" ref="FAA24" si="2173">$C$24*EZY24</f>
        <v>100000</v>
      </c>
      <c r="FAC24" s="906">
        <f t="shared" ref="FAC24" si="2174">$C$24*FAA24</f>
        <v>100000</v>
      </c>
      <c r="FAE24" s="906">
        <f t="shared" ref="FAE24" si="2175">$C$24*FAC24</f>
        <v>100000</v>
      </c>
      <c r="FAG24" s="906">
        <f t="shared" ref="FAG24" si="2176">$C$24*FAE24</f>
        <v>100000</v>
      </c>
      <c r="FAI24" s="906">
        <f t="shared" ref="FAI24" si="2177">$C$24*FAG24</f>
        <v>100000</v>
      </c>
      <c r="FAK24" s="906">
        <f t="shared" ref="FAK24" si="2178">$C$24*FAI24</f>
        <v>100000</v>
      </c>
      <c r="FAM24" s="906">
        <f t="shared" ref="FAM24" si="2179">$C$24*FAK24</f>
        <v>100000</v>
      </c>
      <c r="FAO24" s="906">
        <f t="shared" ref="FAO24" si="2180">$C$24*FAM24</f>
        <v>100000</v>
      </c>
      <c r="FAQ24" s="906">
        <f t="shared" ref="FAQ24" si="2181">$C$24*FAO24</f>
        <v>100000</v>
      </c>
      <c r="FAS24" s="906">
        <f t="shared" ref="FAS24" si="2182">$C$24*FAQ24</f>
        <v>100000</v>
      </c>
      <c r="FAU24" s="906">
        <f t="shared" ref="FAU24" si="2183">$C$24*FAS24</f>
        <v>100000</v>
      </c>
      <c r="FAW24" s="906">
        <f t="shared" ref="FAW24" si="2184">$C$24*FAU24</f>
        <v>100000</v>
      </c>
      <c r="FAY24" s="906">
        <f t="shared" ref="FAY24" si="2185">$C$24*FAW24</f>
        <v>100000</v>
      </c>
      <c r="FBA24" s="906">
        <f t="shared" ref="FBA24" si="2186">$C$24*FAY24</f>
        <v>100000</v>
      </c>
      <c r="FBC24" s="906">
        <f t="shared" ref="FBC24" si="2187">$C$24*FBA24</f>
        <v>100000</v>
      </c>
      <c r="FBE24" s="906">
        <f t="shared" ref="FBE24" si="2188">$C$24*FBC24</f>
        <v>100000</v>
      </c>
      <c r="FBG24" s="906">
        <f t="shared" ref="FBG24" si="2189">$C$24*FBE24</f>
        <v>100000</v>
      </c>
      <c r="FBI24" s="906">
        <f t="shared" ref="FBI24" si="2190">$C$24*FBG24</f>
        <v>100000</v>
      </c>
      <c r="FBK24" s="906">
        <f t="shared" ref="FBK24" si="2191">$C$24*FBI24</f>
        <v>100000</v>
      </c>
      <c r="FBM24" s="906">
        <f t="shared" ref="FBM24" si="2192">$C$24*FBK24</f>
        <v>100000</v>
      </c>
      <c r="FBO24" s="906">
        <f t="shared" ref="FBO24" si="2193">$C$24*FBM24</f>
        <v>100000</v>
      </c>
      <c r="FBQ24" s="906">
        <f t="shared" ref="FBQ24" si="2194">$C$24*FBO24</f>
        <v>100000</v>
      </c>
      <c r="FBS24" s="906">
        <f t="shared" ref="FBS24" si="2195">$C$24*FBQ24</f>
        <v>100000</v>
      </c>
      <c r="FBU24" s="906">
        <f t="shared" ref="FBU24" si="2196">$C$24*FBS24</f>
        <v>100000</v>
      </c>
      <c r="FBW24" s="906">
        <f t="shared" ref="FBW24" si="2197">$C$24*FBU24</f>
        <v>100000</v>
      </c>
      <c r="FBY24" s="906">
        <f t="shared" ref="FBY24" si="2198">$C$24*FBW24</f>
        <v>100000</v>
      </c>
      <c r="FCA24" s="906">
        <f t="shared" ref="FCA24" si="2199">$C$24*FBY24</f>
        <v>100000</v>
      </c>
      <c r="FCC24" s="906">
        <f t="shared" ref="FCC24" si="2200">$C$24*FCA24</f>
        <v>100000</v>
      </c>
      <c r="FCE24" s="906">
        <f t="shared" ref="FCE24" si="2201">$C$24*FCC24</f>
        <v>100000</v>
      </c>
      <c r="FCG24" s="906">
        <f t="shared" ref="FCG24" si="2202">$C$24*FCE24</f>
        <v>100000</v>
      </c>
      <c r="FCI24" s="906">
        <f t="shared" ref="FCI24" si="2203">$C$24*FCG24</f>
        <v>100000</v>
      </c>
      <c r="FCK24" s="906">
        <f t="shared" ref="FCK24" si="2204">$C$24*FCI24</f>
        <v>100000</v>
      </c>
      <c r="FCM24" s="906">
        <f t="shared" ref="FCM24" si="2205">$C$24*FCK24</f>
        <v>100000</v>
      </c>
      <c r="FCO24" s="906">
        <f t="shared" ref="FCO24" si="2206">$C$24*FCM24</f>
        <v>100000</v>
      </c>
      <c r="FCQ24" s="906">
        <f t="shared" ref="FCQ24" si="2207">$C$24*FCO24</f>
        <v>100000</v>
      </c>
      <c r="FCS24" s="906">
        <f t="shared" ref="FCS24" si="2208">$C$24*FCQ24</f>
        <v>100000</v>
      </c>
      <c r="FCU24" s="906">
        <f t="shared" ref="FCU24" si="2209">$C$24*FCS24</f>
        <v>100000</v>
      </c>
      <c r="FCW24" s="906">
        <f t="shared" ref="FCW24" si="2210">$C$24*FCU24</f>
        <v>100000</v>
      </c>
      <c r="FCY24" s="906">
        <f t="shared" ref="FCY24" si="2211">$C$24*FCW24</f>
        <v>100000</v>
      </c>
      <c r="FDA24" s="906">
        <f t="shared" ref="FDA24" si="2212">$C$24*FCY24</f>
        <v>100000</v>
      </c>
      <c r="FDC24" s="906">
        <f t="shared" ref="FDC24" si="2213">$C$24*FDA24</f>
        <v>100000</v>
      </c>
      <c r="FDE24" s="906">
        <f t="shared" ref="FDE24" si="2214">$C$24*FDC24</f>
        <v>100000</v>
      </c>
      <c r="FDG24" s="906">
        <f t="shared" ref="FDG24" si="2215">$C$24*FDE24</f>
        <v>100000</v>
      </c>
      <c r="FDI24" s="906">
        <f t="shared" ref="FDI24" si="2216">$C$24*FDG24</f>
        <v>100000</v>
      </c>
      <c r="FDK24" s="906">
        <f t="shared" ref="FDK24" si="2217">$C$24*FDI24</f>
        <v>100000</v>
      </c>
      <c r="FDM24" s="906">
        <f t="shared" ref="FDM24" si="2218">$C$24*FDK24</f>
        <v>100000</v>
      </c>
      <c r="FDO24" s="906">
        <f t="shared" ref="FDO24" si="2219">$C$24*FDM24</f>
        <v>100000</v>
      </c>
      <c r="FDQ24" s="906">
        <f t="shared" ref="FDQ24" si="2220">$C$24*FDO24</f>
        <v>100000</v>
      </c>
      <c r="FDS24" s="906">
        <f t="shared" ref="FDS24" si="2221">$C$24*FDQ24</f>
        <v>100000</v>
      </c>
      <c r="FDU24" s="906">
        <f t="shared" ref="FDU24" si="2222">$C$24*FDS24</f>
        <v>100000</v>
      </c>
      <c r="FDW24" s="906">
        <f t="shared" ref="FDW24" si="2223">$C$24*FDU24</f>
        <v>100000</v>
      </c>
      <c r="FDY24" s="906">
        <f t="shared" ref="FDY24" si="2224">$C$24*FDW24</f>
        <v>100000</v>
      </c>
      <c r="FEA24" s="906">
        <f t="shared" ref="FEA24" si="2225">$C$24*FDY24</f>
        <v>100000</v>
      </c>
      <c r="FEC24" s="906">
        <f t="shared" ref="FEC24" si="2226">$C$24*FEA24</f>
        <v>100000</v>
      </c>
      <c r="FEE24" s="906">
        <f t="shared" ref="FEE24" si="2227">$C$24*FEC24</f>
        <v>100000</v>
      </c>
      <c r="FEG24" s="906">
        <f t="shared" ref="FEG24" si="2228">$C$24*FEE24</f>
        <v>100000</v>
      </c>
      <c r="FEI24" s="906">
        <f t="shared" ref="FEI24" si="2229">$C$24*FEG24</f>
        <v>100000</v>
      </c>
      <c r="FEK24" s="906">
        <f t="shared" ref="FEK24" si="2230">$C$24*FEI24</f>
        <v>100000</v>
      </c>
      <c r="FEM24" s="906">
        <f t="shared" ref="FEM24" si="2231">$C$24*FEK24</f>
        <v>100000</v>
      </c>
      <c r="FEO24" s="906">
        <f t="shared" ref="FEO24" si="2232">$C$24*FEM24</f>
        <v>100000</v>
      </c>
      <c r="FEQ24" s="906">
        <f t="shared" ref="FEQ24" si="2233">$C$24*FEO24</f>
        <v>100000</v>
      </c>
      <c r="FES24" s="906">
        <f t="shared" ref="FES24" si="2234">$C$24*FEQ24</f>
        <v>100000</v>
      </c>
      <c r="FEU24" s="906">
        <f t="shared" ref="FEU24" si="2235">$C$24*FES24</f>
        <v>100000</v>
      </c>
      <c r="FEW24" s="906">
        <f t="shared" ref="FEW24" si="2236">$C$24*FEU24</f>
        <v>100000</v>
      </c>
      <c r="FEY24" s="906">
        <f t="shared" ref="FEY24" si="2237">$C$24*FEW24</f>
        <v>100000</v>
      </c>
      <c r="FFA24" s="906">
        <f t="shared" ref="FFA24" si="2238">$C$24*FEY24</f>
        <v>100000</v>
      </c>
      <c r="FFC24" s="906">
        <f t="shared" ref="FFC24" si="2239">$C$24*FFA24</f>
        <v>100000</v>
      </c>
      <c r="FFE24" s="906">
        <f t="shared" ref="FFE24" si="2240">$C$24*FFC24</f>
        <v>100000</v>
      </c>
      <c r="FFG24" s="906">
        <f t="shared" ref="FFG24" si="2241">$C$24*FFE24</f>
        <v>100000</v>
      </c>
      <c r="FFI24" s="906">
        <f t="shared" ref="FFI24" si="2242">$C$24*FFG24</f>
        <v>100000</v>
      </c>
      <c r="FFK24" s="906">
        <f t="shared" ref="FFK24" si="2243">$C$24*FFI24</f>
        <v>100000</v>
      </c>
      <c r="FFM24" s="906">
        <f t="shared" ref="FFM24" si="2244">$C$24*FFK24</f>
        <v>100000</v>
      </c>
      <c r="FFO24" s="906">
        <f t="shared" ref="FFO24" si="2245">$C$24*FFM24</f>
        <v>100000</v>
      </c>
      <c r="FFQ24" s="906">
        <f t="shared" ref="FFQ24" si="2246">$C$24*FFO24</f>
        <v>100000</v>
      </c>
      <c r="FFS24" s="906">
        <f t="shared" ref="FFS24" si="2247">$C$24*FFQ24</f>
        <v>100000</v>
      </c>
      <c r="FFU24" s="906">
        <f t="shared" ref="FFU24" si="2248">$C$24*FFS24</f>
        <v>100000</v>
      </c>
      <c r="FFW24" s="906">
        <f t="shared" ref="FFW24" si="2249">$C$24*FFU24</f>
        <v>100000</v>
      </c>
      <c r="FFY24" s="906">
        <f t="shared" ref="FFY24" si="2250">$C$24*FFW24</f>
        <v>100000</v>
      </c>
      <c r="FGA24" s="906">
        <f t="shared" ref="FGA24" si="2251">$C$24*FFY24</f>
        <v>100000</v>
      </c>
      <c r="FGC24" s="906">
        <f t="shared" ref="FGC24" si="2252">$C$24*FGA24</f>
        <v>100000</v>
      </c>
      <c r="FGE24" s="906">
        <f t="shared" ref="FGE24" si="2253">$C$24*FGC24</f>
        <v>100000</v>
      </c>
      <c r="FGG24" s="906">
        <f t="shared" ref="FGG24" si="2254">$C$24*FGE24</f>
        <v>100000</v>
      </c>
      <c r="FGI24" s="906">
        <f t="shared" ref="FGI24" si="2255">$C$24*FGG24</f>
        <v>100000</v>
      </c>
      <c r="FGK24" s="906">
        <f t="shared" ref="FGK24" si="2256">$C$24*FGI24</f>
        <v>100000</v>
      </c>
      <c r="FGM24" s="906">
        <f t="shared" ref="FGM24" si="2257">$C$24*FGK24</f>
        <v>100000</v>
      </c>
      <c r="FGO24" s="906">
        <f t="shared" ref="FGO24" si="2258">$C$24*FGM24</f>
        <v>100000</v>
      </c>
      <c r="FGQ24" s="906">
        <f t="shared" ref="FGQ24" si="2259">$C$24*FGO24</f>
        <v>100000</v>
      </c>
      <c r="FGS24" s="906">
        <f t="shared" ref="FGS24" si="2260">$C$24*FGQ24</f>
        <v>100000</v>
      </c>
      <c r="FGU24" s="906">
        <f t="shared" ref="FGU24" si="2261">$C$24*FGS24</f>
        <v>100000</v>
      </c>
      <c r="FGW24" s="906">
        <f t="shared" ref="FGW24" si="2262">$C$24*FGU24</f>
        <v>100000</v>
      </c>
      <c r="FGY24" s="906">
        <f t="shared" ref="FGY24" si="2263">$C$24*FGW24</f>
        <v>100000</v>
      </c>
      <c r="FHA24" s="906">
        <f t="shared" ref="FHA24" si="2264">$C$24*FGY24</f>
        <v>100000</v>
      </c>
      <c r="FHC24" s="906">
        <f t="shared" ref="FHC24" si="2265">$C$24*FHA24</f>
        <v>100000</v>
      </c>
      <c r="FHE24" s="906">
        <f t="shared" ref="FHE24" si="2266">$C$24*FHC24</f>
        <v>100000</v>
      </c>
      <c r="FHG24" s="906">
        <f t="shared" ref="FHG24" si="2267">$C$24*FHE24</f>
        <v>100000</v>
      </c>
      <c r="FHI24" s="906">
        <f t="shared" ref="FHI24" si="2268">$C$24*FHG24</f>
        <v>100000</v>
      </c>
      <c r="FHK24" s="906">
        <f t="shared" ref="FHK24" si="2269">$C$24*FHI24</f>
        <v>100000</v>
      </c>
      <c r="FHM24" s="906">
        <f t="shared" ref="FHM24" si="2270">$C$24*FHK24</f>
        <v>100000</v>
      </c>
      <c r="FHO24" s="906">
        <f t="shared" ref="FHO24" si="2271">$C$24*FHM24</f>
        <v>100000</v>
      </c>
      <c r="FHQ24" s="906">
        <f t="shared" ref="FHQ24" si="2272">$C$24*FHO24</f>
        <v>100000</v>
      </c>
      <c r="FHS24" s="906">
        <f t="shared" ref="FHS24" si="2273">$C$24*FHQ24</f>
        <v>100000</v>
      </c>
      <c r="FHU24" s="906">
        <f t="shared" ref="FHU24" si="2274">$C$24*FHS24</f>
        <v>100000</v>
      </c>
      <c r="FHW24" s="906">
        <f t="shared" ref="FHW24" si="2275">$C$24*FHU24</f>
        <v>100000</v>
      </c>
      <c r="FHY24" s="906">
        <f t="shared" ref="FHY24" si="2276">$C$24*FHW24</f>
        <v>100000</v>
      </c>
      <c r="FIA24" s="906">
        <f t="shared" ref="FIA24" si="2277">$C$24*FHY24</f>
        <v>100000</v>
      </c>
      <c r="FIC24" s="906">
        <f t="shared" ref="FIC24" si="2278">$C$24*FIA24</f>
        <v>100000</v>
      </c>
      <c r="FIE24" s="906">
        <f t="shared" ref="FIE24" si="2279">$C$24*FIC24</f>
        <v>100000</v>
      </c>
      <c r="FIG24" s="906">
        <f t="shared" ref="FIG24" si="2280">$C$24*FIE24</f>
        <v>100000</v>
      </c>
      <c r="FII24" s="906">
        <f t="shared" ref="FII24" si="2281">$C$24*FIG24</f>
        <v>100000</v>
      </c>
      <c r="FIK24" s="906">
        <f t="shared" ref="FIK24" si="2282">$C$24*FII24</f>
        <v>100000</v>
      </c>
      <c r="FIM24" s="906">
        <f t="shared" ref="FIM24" si="2283">$C$24*FIK24</f>
        <v>100000</v>
      </c>
      <c r="FIO24" s="906">
        <f t="shared" ref="FIO24" si="2284">$C$24*FIM24</f>
        <v>100000</v>
      </c>
      <c r="FIQ24" s="906">
        <f t="shared" ref="FIQ24" si="2285">$C$24*FIO24</f>
        <v>100000</v>
      </c>
      <c r="FIS24" s="906">
        <f t="shared" ref="FIS24" si="2286">$C$24*FIQ24</f>
        <v>100000</v>
      </c>
      <c r="FIU24" s="906">
        <f t="shared" ref="FIU24" si="2287">$C$24*FIS24</f>
        <v>100000</v>
      </c>
      <c r="FIW24" s="906">
        <f t="shared" ref="FIW24" si="2288">$C$24*FIU24</f>
        <v>100000</v>
      </c>
      <c r="FIY24" s="906">
        <f t="shared" ref="FIY24" si="2289">$C$24*FIW24</f>
        <v>100000</v>
      </c>
      <c r="FJA24" s="906">
        <f t="shared" ref="FJA24" si="2290">$C$24*FIY24</f>
        <v>100000</v>
      </c>
      <c r="FJC24" s="906">
        <f t="shared" ref="FJC24" si="2291">$C$24*FJA24</f>
        <v>100000</v>
      </c>
      <c r="FJE24" s="906">
        <f t="shared" ref="FJE24" si="2292">$C$24*FJC24</f>
        <v>100000</v>
      </c>
      <c r="FJG24" s="906">
        <f t="shared" ref="FJG24" si="2293">$C$24*FJE24</f>
        <v>100000</v>
      </c>
      <c r="FJI24" s="906">
        <f t="shared" ref="FJI24" si="2294">$C$24*FJG24</f>
        <v>100000</v>
      </c>
      <c r="FJK24" s="906">
        <f t="shared" ref="FJK24" si="2295">$C$24*FJI24</f>
        <v>100000</v>
      </c>
      <c r="FJM24" s="906">
        <f t="shared" ref="FJM24" si="2296">$C$24*FJK24</f>
        <v>100000</v>
      </c>
      <c r="FJO24" s="906">
        <f t="shared" ref="FJO24" si="2297">$C$24*FJM24</f>
        <v>100000</v>
      </c>
      <c r="FJQ24" s="906">
        <f t="shared" ref="FJQ24" si="2298">$C$24*FJO24</f>
        <v>100000</v>
      </c>
      <c r="FJS24" s="906">
        <f t="shared" ref="FJS24" si="2299">$C$24*FJQ24</f>
        <v>100000</v>
      </c>
      <c r="FJU24" s="906">
        <f t="shared" ref="FJU24" si="2300">$C$24*FJS24</f>
        <v>100000</v>
      </c>
      <c r="FJW24" s="906">
        <f t="shared" ref="FJW24" si="2301">$C$24*FJU24</f>
        <v>100000</v>
      </c>
      <c r="FJY24" s="906">
        <f t="shared" ref="FJY24" si="2302">$C$24*FJW24</f>
        <v>100000</v>
      </c>
      <c r="FKA24" s="906">
        <f t="shared" ref="FKA24" si="2303">$C$24*FJY24</f>
        <v>100000</v>
      </c>
      <c r="FKC24" s="906">
        <f t="shared" ref="FKC24" si="2304">$C$24*FKA24</f>
        <v>100000</v>
      </c>
      <c r="FKE24" s="906">
        <f t="shared" ref="FKE24" si="2305">$C$24*FKC24</f>
        <v>100000</v>
      </c>
      <c r="FKG24" s="906">
        <f t="shared" ref="FKG24" si="2306">$C$24*FKE24</f>
        <v>100000</v>
      </c>
      <c r="FKI24" s="906">
        <f t="shared" ref="FKI24" si="2307">$C$24*FKG24</f>
        <v>100000</v>
      </c>
      <c r="FKK24" s="906">
        <f t="shared" ref="FKK24" si="2308">$C$24*FKI24</f>
        <v>100000</v>
      </c>
      <c r="FKM24" s="906">
        <f t="shared" ref="FKM24" si="2309">$C$24*FKK24</f>
        <v>100000</v>
      </c>
      <c r="FKO24" s="906">
        <f t="shared" ref="FKO24" si="2310">$C$24*FKM24</f>
        <v>100000</v>
      </c>
      <c r="FKQ24" s="906">
        <f t="shared" ref="FKQ24" si="2311">$C$24*FKO24</f>
        <v>100000</v>
      </c>
      <c r="FKS24" s="906">
        <f t="shared" ref="FKS24" si="2312">$C$24*FKQ24</f>
        <v>100000</v>
      </c>
      <c r="FKU24" s="906">
        <f t="shared" ref="FKU24" si="2313">$C$24*FKS24</f>
        <v>100000</v>
      </c>
      <c r="FKW24" s="906">
        <f t="shared" ref="FKW24" si="2314">$C$24*FKU24</f>
        <v>100000</v>
      </c>
      <c r="FKY24" s="906">
        <f t="shared" ref="FKY24" si="2315">$C$24*FKW24</f>
        <v>100000</v>
      </c>
      <c r="FLA24" s="906">
        <f t="shared" ref="FLA24" si="2316">$C$24*FKY24</f>
        <v>100000</v>
      </c>
      <c r="FLC24" s="906">
        <f t="shared" ref="FLC24" si="2317">$C$24*FLA24</f>
        <v>100000</v>
      </c>
      <c r="FLE24" s="906">
        <f t="shared" ref="FLE24" si="2318">$C$24*FLC24</f>
        <v>100000</v>
      </c>
      <c r="FLG24" s="906">
        <f t="shared" ref="FLG24" si="2319">$C$24*FLE24</f>
        <v>100000</v>
      </c>
      <c r="FLI24" s="906">
        <f t="shared" ref="FLI24" si="2320">$C$24*FLG24</f>
        <v>100000</v>
      </c>
      <c r="FLK24" s="906">
        <f t="shared" ref="FLK24" si="2321">$C$24*FLI24</f>
        <v>100000</v>
      </c>
      <c r="FLM24" s="906">
        <f t="shared" ref="FLM24" si="2322">$C$24*FLK24</f>
        <v>100000</v>
      </c>
      <c r="FLO24" s="906">
        <f t="shared" ref="FLO24" si="2323">$C$24*FLM24</f>
        <v>100000</v>
      </c>
      <c r="FLQ24" s="906">
        <f t="shared" ref="FLQ24" si="2324">$C$24*FLO24</f>
        <v>100000</v>
      </c>
      <c r="FLS24" s="906">
        <f t="shared" ref="FLS24" si="2325">$C$24*FLQ24</f>
        <v>100000</v>
      </c>
      <c r="FLU24" s="906">
        <f t="shared" ref="FLU24" si="2326">$C$24*FLS24</f>
        <v>100000</v>
      </c>
      <c r="FLW24" s="906">
        <f t="shared" ref="FLW24" si="2327">$C$24*FLU24</f>
        <v>100000</v>
      </c>
      <c r="FLY24" s="906">
        <f t="shared" ref="FLY24" si="2328">$C$24*FLW24</f>
        <v>100000</v>
      </c>
      <c r="FMA24" s="906">
        <f t="shared" ref="FMA24" si="2329">$C$24*FLY24</f>
        <v>100000</v>
      </c>
      <c r="FMC24" s="906">
        <f t="shared" ref="FMC24" si="2330">$C$24*FMA24</f>
        <v>100000</v>
      </c>
      <c r="FME24" s="906">
        <f t="shared" ref="FME24" si="2331">$C$24*FMC24</f>
        <v>100000</v>
      </c>
      <c r="FMG24" s="906">
        <f t="shared" ref="FMG24" si="2332">$C$24*FME24</f>
        <v>100000</v>
      </c>
      <c r="FMI24" s="906">
        <f t="shared" ref="FMI24" si="2333">$C$24*FMG24</f>
        <v>100000</v>
      </c>
      <c r="FMK24" s="906">
        <f t="shared" ref="FMK24" si="2334">$C$24*FMI24</f>
        <v>100000</v>
      </c>
      <c r="FMM24" s="906">
        <f t="shared" ref="FMM24" si="2335">$C$24*FMK24</f>
        <v>100000</v>
      </c>
      <c r="FMO24" s="906">
        <f t="shared" ref="FMO24" si="2336">$C$24*FMM24</f>
        <v>100000</v>
      </c>
      <c r="FMQ24" s="906">
        <f t="shared" ref="FMQ24" si="2337">$C$24*FMO24</f>
        <v>100000</v>
      </c>
      <c r="FMS24" s="906">
        <f t="shared" ref="FMS24" si="2338">$C$24*FMQ24</f>
        <v>100000</v>
      </c>
      <c r="FMU24" s="906">
        <f t="shared" ref="FMU24" si="2339">$C$24*FMS24</f>
        <v>100000</v>
      </c>
      <c r="FMW24" s="906">
        <f t="shared" ref="FMW24" si="2340">$C$24*FMU24</f>
        <v>100000</v>
      </c>
      <c r="FMY24" s="906">
        <f t="shared" ref="FMY24" si="2341">$C$24*FMW24</f>
        <v>100000</v>
      </c>
      <c r="FNA24" s="906">
        <f t="shared" ref="FNA24" si="2342">$C$24*FMY24</f>
        <v>100000</v>
      </c>
      <c r="FNC24" s="906">
        <f t="shared" ref="FNC24" si="2343">$C$24*FNA24</f>
        <v>100000</v>
      </c>
      <c r="FNE24" s="906">
        <f t="shared" ref="FNE24" si="2344">$C$24*FNC24</f>
        <v>100000</v>
      </c>
      <c r="FNG24" s="906">
        <f t="shared" ref="FNG24" si="2345">$C$24*FNE24</f>
        <v>100000</v>
      </c>
      <c r="FNI24" s="906">
        <f t="shared" ref="FNI24" si="2346">$C$24*FNG24</f>
        <v>100000</v>
      </c>
      <c r="FNK24" s="906">
        <f t="shared" ref="FNK24" si="2347">$C$24*FNI24</f>
        <v>100000</v>
      </c>
      <c r="FNM24" s="906">
        <f t="shared" ref="FNM24" si="2348">$C$24*FNK24</f>
        <v>100000</v>
      </c>
      <c r="FNO24" s="906">
        <f t="shared" ref="FNO24" si="2349">$C$24*FNM24</f>
        <v>100000</v>
      </c>
      <c r="FNQ24" s="906">
        <f t="shared" ref="FNQ24" si="2350">$C$24*FNO24</f>
        <v>100000</v>
      </c>
      <c r="FNS24" s="906">
        <f t="shared" ref="FNS24" si="2351">$C$24*FNQ24</f>
        <v>100000</v>
      </c>
      <c r="FNU24" s="906">
        <f t="shared" ref="FNU24" si="2352">$C$24*FNS24</f>
        <v>100000</v>
      </c>
      <c r="FNW24" s="906">
        <f t="shared" ref="FNW24" si="2353">$C$24*FNU24</f>
        <v>100000</v>
      </c>
      <c r="FNY24" s="906">
        <f t="shared" ref="FNY24" si="2354">$C$24*FNW24</f>
        <v>100000</v>
      </c>
      <c r="FOA24" s="906">
        <f t="shared" ref="FOA24" si="2355">$C$24*FNY24</f>
        <v>100000</v>
      </c>
      <c r="FOC24" s="906">
        <f t="shared" ref="FOC24" si="2356">$C$24*FOA24</f>
        <v>100000</v>
      </c>
      <c r="FOE24" s="906">
        <f t="shared" ref="FOE24" si="2357">$C$24*FOC24</f>
        <v>100000</v>
      </c>
      <c r="FOG24" s="906">
        <f t="shared" ref="FOG24" si="2358">$C$24*FOE24</f>
        <v>100000</v>
      </c>
      <c r="FOI24" s="906">
        <f t="shared" ref="FOI24" si="2359">$C$24*FOG24</f>
        <v>100000</v>
      </c>
      <c r="FOK24" s="906">
        <f t="shared" ref="FOK24" si="2360">$C$24*FOI24</f>
        <v>100000</v>
      </c>
      <c r="FOM24" s="906">
        <f t="shared" ref="FOM24" si="2361">$C$24*FOK24</f>
        <v>100000</v>
      </c>
      <c r="FOO24" s="906">
        <f t="shared" ref="FOO24" si="2362">$C$24*FOM24</f>
        <v>100000</v>
      </c>
      <c r="FOQ24" s="906">
        <f t="shared" ref="FOQ24" si="2363">$C$24*FOO24</f>
        <v>100000</v>
      </c>
      <c r="FOS24" s="906">
        <f t="shared" ref="FOS24" si="2364">$C$24*FOQ24</f>
        <v>100000</v>
      </c>
      <c r="FOU24" s="906">
        <f t="shared" ref="FOU24" si="2365">$C$24*FOS24</f>
        <v>100000</v>
      </c>
      <c r="FOW24" s="906">
        <f t="shared" ref="FOW24" si="2366">$C$24*FOU24</f>
        <v>100000</v>
      </c>
      <c r="FOY24" s="906">
        <f t="shared" ref="FOY24" si="2367">$C$24*FOW24</f>
        <v>100000</v>
      </c>
      <c r="FPA24" s="906">
        <f t="shared" ref="FPA24" si="2368">$C$24*FOY24</f>
        <v>100000</v>
      </c>
      <c r="FPC24" s="906">
        <f t="shared" ref="FPC24" si="2369">$C$24*FPA24</f>
        <v>100000</v>
      </c>
      <c r="FPE24" s="906">
        <f t="shared" ref="FPE24" si="2370">$C$24*FPC24</f>
        <v>100000</v>
      </c>
      <c r="FPG24" s="906">
        <f t="shared" ref="FPG24" si="2371">$C$24*FPE24</f>
        <v>100000</v>
      </c>
      <c r="FPI24" s="906">
        <f t="shared" ref="FPI24" si="2372">$C$24*FPG24</f>
        <v>100000</v>
      </c>
      <c r="FPK24" s="906">
        <f t="shared" ref="FPK24" si="2373">$C$24*FPI24</f>
        <v>100000</v>
      </c>
      <c r="FPM24" s="906">
        <f t="shared" ref="FPM24" si="2374">$C$24*FPK24</f>
        <v>100000</v>
      </c>
      <c r="FPO24" s="906">
        <f t="shared" ref="FPO24" si="2375">$C$24*FPM24</f>
        <v>100000</v>
      </c>
      <c r="FPQ24" s="906">
        <f t="shared" ref="FPQ24" si="2376">$C$24*FPO24</f>
        <v>100000</v>
      </c>
      <c r="FPS24" s="906">
        <f t="shared" ref="FPS24" si="2377">$C$24*FPQ24</f>
        <v>100000</v>
      </c>
      <c r="FPU24" s="906">
        <f t="shared" ref="FPU24" si="2378">$C$24*FPS24</f>
        <v>100000</v>
      </c>
      <c r="FPW24" s="906">
        <f t="shared" ref="FPW24" si="2379">$C$24*FPU24</f>
        <v>100000</v>
      </c>
      <c r="FPY24" s="906">
        <f t="shared" ref="FPY24" si="2380">$C$24*FPW24</f>
        <v>100000</v>
      </c>
      <c r="FQA24" s="906">
        <f t="shared" ref="FQA24" si="2381">$C$24*FPY24</f>
        <v>100000</v>
      </c>
      <c r="FQC24" s="906">
        <f t="shared" ref="FQC24" si="2382">$C$24*FQA24</f>
        <v>100000</v>
      </c>
      <c r="FQE24" s="906">
        <f t="shared" ref="FQE24" si="2383">$C$24*FQC24</f>
        <v>100000</v>
      </c>
      <c r="FQG24" s="906">
        <f t="shared" ref="FQG24" si="2384">$C$24*FQE24</f>
        <v>100000</v>
      </c>
      <c r="FQI24" s="906">
        <f t="shared" ref="FQI24" si="2385">$C$24*FQG24</f>
        <v>100000</v>
      </c>
      <c r="FQK24" s="906">
        <f t="shared" ref="FQK24" si="2386">$C$24*FQI24</f>
        <v>100000</v>
      </c>
      <c r="FQM24" s="906">
        <f t="shared" ref="FQM24" si="2387">$C$24*FQK24</f>
        <v>100000</v>
      </c>
      <c r="FQO24" s="906">
        <f t="shared" ref="FQO24" si="2388">$C$24*FQM24</f>
        <v>100000</v>
      </c>
      <c r="FQQ24" s="906">
        <f t="shared" ref="FQQ24" si="2389">$C$24*FQO24</f>
        <v>100000</v>
      </c>
      <c r="FQS24" s="906">
        <f t="shared" ref="FQS24" si="2390">$C$24*FQQ24</f>
        <v>100000</v>
      </c>
      <c r="FQU24" s="906">
        <f t="shared" ref="FQU24" si="2391">$C$24*FQS24</f>
        <v>100000</v>
      </c>
      <c r="FQW24" s="906">
        <f t="shared" ref="FQW24" si="2392">$C$24*FQU24</f>
        <v>100000</v>
      </c>
      <c r="FQY24" s="906">
        <f t="shared" ref="FQY24" si="2393">$C$24*FQW24</f>
        <v>100000</v>
      </c>
      <c r="FRA24" s="906">
        <f t="shared" ref="FRA24" si="2394">$C$24*FQY24</f>
        <v>100000</v>
      </c>
      <c r="FRC24" s="906">
        <f t="shared" ref="FRC24" si="2395">$C$24*FRA24</f>
        <v>100000</v>
      </c>
      <c r="FRE24" s="906">
        <f t="shared" ref="FRE24" si="2396">$C$24*FRC24</f>
        <v>100000</v>
      </c>
      <c r="FRG24" s="906">
        <f t="shared" ref="FRG24" si="2397">$C$24*FRE24</f>
        <v>100000</v>
      </c>
      <c r="FRI24" s="906">
        <f t="shared" ref="FRI24" si="2398">$C$24*FRG24</f>
        <v>100000</v>
      </c>
      <c r="FRK24" s="906">
        <f t="shared" ref="FRK24" si="2399">$C$24*FRI24</f>
        <v>100000</v>
      </c>
      <c r="FRM24" s="906">
        <f t="shared" ref="FRM24" si="2400">$C$24*FRK24</f>
        <v>100000</v>
      </c>
      <c r="FRO24" s="906">
        <f t="shared" ref="FRO24" si="2401">$C$24*FRM24</f>
        <v>100000</v>
      </c>
      <c r="FRQ24" s="906">
        <f t="shared" ref="FRQ24" si="2402">$C$24*FRO24</f>
        <v>100000</v>
      </c>
      <c r="FRS24" s="906">
        <f t="shared" ref="FRS24" si="2403">$C$24*FRQ24</f>
        <v>100000</v>
      </c>
      <c r="FRU24" s="906">
        <f t="shared" ref="FRU24" si="2404">$C$24*FRS24</f>
        <v>100000</v>
      </c>
      <c r="FRW24" s="906">
        <f t="shared" ref="FRW24" si="2405">$C$24*FRU24</f>
        <v>100000</v>
      </c>
      <c r="FRY24" s="906">
        <f t="shared" ref="FRY24" si="2406">$C$24*FRW24</f>
        <v>100000</v>
      </c>
      <c r="FSA24" s="906">
        <f t="shared" ref="FSA24" si="2407">$C$24*FRY24</f>
        <v>100000</v>
      </c>
      <c r="FSC24" s="906">
        <f t="shared" ref="FSC24" si="2408">$C$24*FSA24</f>
        <v>100000</v>
      </c>
      <c r="FSE24" s="906">
        <f t="shared" ref="FSE24" si="2409">$C$24*FSC24</f>
        <v>100000</v>
      </c>
      <c r="FSG24" s="906">
        <f t="shared" ref="FSG24" si="2410">$C$24*FSE24</f>
        <v>100000</v>
      </c>
      <c r="FSI24" s="906">
        <f t="shared" ref="FSI24" si="2411">$C$24*FSG24</f>
        <v>100000</v>
      </c>
      <c r="FSK24" s="906">
        <f t="shared" ref="FSK24" si="2412">$C$24*FSI24</f>
        <v>100000</v>
      </c>
      <c r="FSM24" s="906">
        <f t="shared" ref="FSM24" si="2413">$C$24*FSK24</f>
        <v>100000</v>
      </c>
      <c r="FSO24" s="906">
        <f t="shared" ref="FSO24" si="2414">$C$24*FSM24</f>
        <v>100000</v>
      </c>
      <c r="FSQ24" s="906">
        <f t="shared" ref="FSQ24" si="2415">$C$24*FSO24</f>
        <v>100000</v>
      </c>
      <c r="FSS24" s="906">
        <f t="shared" ref="FSS24" si="2416">$C$24*FSQ24</f>
        <v>100000</v>
      </c>
      <c r="FSU24" s="906">
        <f t="shared" ref="FSU24" si="2417">$C$24*FSS24</f>
        <v>100000</v>
      </c>
      <c r="FSW24" s="906">
        <f t="shared" ref="FSW24" si="2418">$C$24*FSU24</f>
        <v>100000</v>
      </c>
      <c r="FSY24" s="906">
        <f t="shared" ref="FSY24" si="2419">$C$24*FSW24</f>
        <v>100000</v>
      </c>
      <c r="FTA24" s="906">
        <f t="shared" ref="FTA24" si="2420">$C$24*FSY24</f>
        <v>100000</v>
      </c>
      <c r="FTC24" s="906">
        <f t="shared" ref="FTC24" si="2421">$C$24*FTA24</f>
        <v>100000</v>
      </c>
      <c r="FTE24" s="906">
        <f t="shared" ref="FTE24" si="2422">$C$24*FTC24</f>
        <v>100000</v>
      </c>
      <c r="FTG24" s="906">
        <f t="shared" ref="FTG24" si="2423">$C$24*FTE24</f>
        <v>100000</v>
      </c>
      <c r="FTI24" s="906">
        <f t="shared" ref="FTI24" si="2424">$C$24*FTG24</f>
        <v>100000</v>
      </c>
      <c r="FTK24" s="906">
        <f t="shared" ref="FTK24" si="2425">$C$24*FTI24</f>
        <v>100000</v>
      </c>
      <c r="FTM24" s="906">
        <f t="shared" ref="FTM24" si="2426">$C$24*FTK24</f>
        <v>100000</v>
      </c>
      <c r="FTO24" s="906">
        <f t="shared" ref="FTO24" si="2427">$C$24*FTM24</f>
        <v>100000</v>
      </c>
      <c r="FTQ24" s="906">
        <f t="shared" ref="FTQ24" si="2428">$C$24*FTO24</f>
        <v>100000</v>
      </c>
      <c r="FTS24" s="906">
        <f t="shared" ref="FTS24" si="2429">$C$24*FTQ24</f>
        <v>100000</v>
      </c>
      <c r="FTU24" s="906">
        <f t="shared" ref="FTU24" si="2430">$C$24*FTS24</f>
        <v>100000</v>
      </c>
      <c r="FTW24" s="906">
        <f t="shared" ref="FTW24" si="2431">$C$24*FTU24</f>
        <v>100000</v>
      </c>
      <c r="FTY24" s="906">
        <f t="shared" ref="FTY24" si="2432">$C$24*FTW24</f>
        <v>100000</v>
      </c>
      <c r="FUA24" s="906">
        <f t="shared" ref="FUA24" si="2433">$C$24*FTY24</f>
        <v>100000</v>
      </c>
      <c r="FUC24" s="906">
        <f t="shared" ref="FUC24" si="2434">$C$24*FUA24</f>
        <v>100000</v>
      </c>
      <c r="FUE24" s="906">
        <f t="shared" ref="FUE24" si="2435">$C$24*FUC24</f>
        <v>100000</v>
      </c>
      <c r="FUG24" s="906">
        <f t="shared" ref="FUG24" si="2436">$C$24*FUE24</f>
        <v>100000</v>
      </c>
      <c r="FUI24" s="906">
        <f t="shared" ref="FUI24" si="2437">$C$24*FUG24</f>
        <v>100000</v>
      </c>
      <c r="FUK24" s="906">
        <f t="shared" ref="FUK24" si="2438">$C$24*FUI24</f>
        <v>100000</v>
      </c>
      <c r="FUM24" s="906">
        <f t="shared" ref="FUM24" si="2439">$C$24*FUK24</f>
        <v>100000</v>
      </c>
      <c r="FUO24" s="906">
        <f t="shared" ref="FUO24" si="2440">$C$24*FUM24</f>
        <v>100000</v>
      </c>
      <c r="FUQ24" s="906">
        <f t="shared" ref="FUQ24" si="2441">$C$24*FUO24</f>
        <v>100000</v>
      </c>
      <c r="FUS24" s="906">
        <f t="shared" ref="FUS24" si="2442">$C$24*FUQ24</f>
        <v>100000</v>
      </c>
      <c r="FUU24" s="906">
        <f t="shared" ref="FUU24" si="2443">$C$24*FUS24</f>
        <v>100000</v>
      </c>
      <c r="FUW24" s="906">
        <f t="shared" ref="FUW24" si="2444">$C$24*FUU24</f>
        <v>100000</v>
      </c>
      <c r="FUY24" s="906">
        <f t="shared" ref="FUY24" si="2445">$C$24*FUW24</f>
        <v>100000</v>
      </c>
      <c r="FVA24" s="906">
        <f t="shared" ref="FVA24" si="2446">$C$24*FUY24</f>
        <v>100000</v>
      </c>
      <c r="FVC24" s="906">
        <f t="shared" ref="FVC24" si="2447">$C$24*FVA24</f>
        <v>100000</v>
      </c>
      <c r="FVE24" s="906">
        <f t="shared" ref="FVE24" si="2448">$C$24*FVC24</f>
        <v>100000</v>
      </c>
      <c r="FVG24" s="906">
        <f t="shared" ref="FVG24" si="2449">$C$24*FVE24</f>
        <v>100000</v>
      </c>
      <c r="FVI24" s="906">
        <f t="shared" ref="FVI24" si="2450">$C$24*FVG24</f>
        <v>100000</v>
      </c>
      <c r="FVK24" s="906">
        <f t="shared" ref="FVK24" si="2451">$C$24*FVI24</f>
        <v>100000</v>
      </c>
      <c r="FVM24" s="906">
        <f t="shared" ref="FVM24" si="2452">$C$24*FVK24</f>
        <v>100000</v>
      </c>
      <c r="FVO24" s="906">
        <f t="shared" ref="FVO24" si="2453">$C$24*FVM24</f>
        <v>100000</v>
      </c>
      <c r="FVQ24" s="906">
        <f t="shared" ref="FVQ24" si="2454">$C$24*FVO24</f>
        <v>100000</v>
      </c>
      <c r="FVS24" s="906">
        <f t="shared" ref="FVS24" si="2455">$C$24*FVQ24</f>
        <v>100000</v>
      </c>
      <c r="FVU24" s="906">
        <f t="shared" ref="FVU24" si="2456">$C$24*FVS24</f>
        <v>100000</v>
      </c>
      <c r="FVW24" s="906">
        <f t="shared" ref="FVW24" si="2457">$C$24*FVU24</f>
        <v>100000</v>
      </c>
      <c r="FVY24" s="906">
        <f t="shared" ref="FVY24" si="2458">$C$24*FVW24</f>
        <v>100000</v>
      </c>
      <c r="FWA24" s="906">
        <f t="shared" ref="FWA24" si="2459">$C$24*FVY24</f>
        <v>100000</v>
      </c>
      <c r="FWC24" s="906">
        <f t="shared" ref="FWC24" si="2460">$C$24*FWA24</f>
        <v>100000</v>
      </c>
      <c r="FWE24" s="906">
        <f t="shared" ref="FWE24" si="2461">$C$24*FWC24</f>
        <v>100000</v>
      </c>
      <c r="FWG24" s="906">
        <f t="shared" ref="FWG24" si="2462">$C$24*FWE24</f>
        <v>100000</v>
      </c>
      <c r="FWI24" s="906">
        <f t="shared" ref="FWI24" si="2463">$C$24*FWG24</f>
        <v>100000</v>
      </c>
      <c r="FWK24" s="906">
        <f t="shared" ref="FWK24" si="2464">$C$24*FWI24</f>
        <v>100000</v>
      </c>
      <c r="FWM24" s="906">
        <f t="shared" ref="FWM24" si="2465">$C$24*FWK24</f>
        <v>100000</v>
      </c>
      <c r="FWO24" s="906">
        <f t="shared" ref="FWO24" si="2466">$C$24*FWM24</f>
        <v>100000</v>
      </c>
      <c r="FWQ24" s="906">
        <f t="shared" ref="FWQ24" si="2467">$C$24*FWO24</f>
        <v>100000</v>
      </c>
      <c r="FWS24" s="906">
        <f t="shared" ref="FWS24" si="2468">$C$24*FWQ24</f>
        <v>100000</v>
      </c>
      <c r="FWU24" s="906">
        <f t="shared" ref="FWU24" si="2469">$C$24*FWS24</f>
        <v>100000</v>
      </c>
      <c r="FWW24" s="906">
        <f t="shared" ref="FWW24" si="2470">$C$24*FWU24</f>
        <v>100000</v>
      </c>
      <c r="FWY24" s="906">
        <f t="shared" ref="FWY24" si="2471">$C$24*FWW24</f>
        <v>100000</v>
      </c>
      <c r="FXA24" s="906">
        <f t="shared" ref="FXA24" si="2472">$C$24*FWY24</f>
        <v>100000</v>
      </c>
      <c r="FXC24" s="906">
        <f t="shared" ref="FXC24" si="2473">$C$24*FXA24</f>
        <v>100000</v>
      </c>
      <c r="FXE24" s="906">
        <f t="shared" ref="FXE24" si="2474">$C$24*FXC24</f>
        <v>100000</v>
      </c>
      <c r="FXG24" s="906">
        <f t="shared" ref="FXG24" si="2475">$C$24*FXE24</f>
        <v>100000</v>
      </c>
      <c r="FXI24" s="906">
        <f t="shared" ref="FXI24" si="2476">$C$24*FXG24</f>
        <v>100000</v>
      </c>
      <c r="FXK24" s="906">
        <f t="shared" ref="FXK24" si="2477">$C$24*FXI24</f>
        <v>100000</v>
      </c>
      <c r="FXM24" s="906">
        <f t="shared" ref="FXM24" si="2478">$C$24*FXK24</f>
        <v>100000</v>
      </c>
      <c r="FXO24" s="906">
        <f t="shared" ref="FXO24" si="2479">$C$24*FXM24</f>
        <v>100000</v>
      </c>
      <c r="FXQ24" s="906">
        <f t="shared" ref="FXQ24" si="2480">$C$24*FXO24</f>
        <v>100000</v>
      </c>
      <c r="FXS24" s="906">
        <f t="shared" ref="FXS24" si="2481">$C$24*FXQ24</f>
        <v>100000</v>
      </c>
      <c r="FXU24" s="906">
        <f t="shared" ref="FXU24" si="2482">$C$24*FXS24</f>
        <v>100000</v>
      </c>
      <c r="FXW24" s="906">
        <f t="shared" ref="FXW24" si="2483">$C$24*FXU24</f>
        <v>100000</v>
      </c>
      <c r="FXY24" s="906">
        <f t="shared" ref="FXY24" si="2484">$C$24*FXW24</f>
        <v>100000</v>
      </c>
      <c r="FYA24" s="906">
        <f t="shared" ref="FYA24" si="2485">$C$24*FXY24</f>
        <v>100000</v>
      </c>
      <c r="FYC24" s="906">
        <f t="shared" ref="FYC24" si="2486">$C$24*FYA24</f>
        <v>100000</v>
      </c>
      <c r="FYE24" s="906">
        <f t="shared" ref="FYE24" si="2487">$C$24*FYC24</f>
        <v>100000</v>
      </c>
      <c r="FYG24" s="906">
        <f t="shared" ref="FYG24" si="2488">$C$24*FYE24</f>
        <v>100000</v>
      </c>
      <c r="FYI24" s="906">
        <f t="shared" ref="FYI24" si="2489">$C$24*FYG24</f>
        <v>100000</v>
      </c>
      <c r="FYK24" s="906">
        <f t="shared" ref="FYK24" si="2490">$C$24*FYI24</f>
        <v>100000</v>
      </c>
      <c r="FYM24" s="906">
        <f t="shared" ref="FYM24" si="2491">$C$24*FYK24</f>
        <v>100000</v>
      </c>
      <c r="FYO24" s="906">
        <f t="shared" ref="FYO24" si="2492">$C$24*FYM24</f>
        <v>100000</v>
      </c>
      <c r="FYQ24" s="906">
        <f t="shared" ref="FYQ24" si="2493">$C$24*FYO24</f>
        <v>100000</v>
      </c>
      <c r="FYS24" s="906">
        <f t="shared" ref="FYS24" si="2494">$C$24*FYQ24</f>
        <v>100000</v>
      </c>
      <c r="FYU24" s="906">
        <f t="shared" ref="FYU24" si="2495">$C$24*FYS24</f>
        <v>100000</v>
      </c>
      <c r="FYW24" s="906">
        <f t="shared" ref="FYW24" si="2496">$C$24*FYU24</f>
        <v>100000</v>
      </c>
      <c r="FYY24" s="906">
        <f t="shared" ref="FYY24" si="2497">$C$24*FYW24</f>
        <v>100000</v>
      </c>
      <c r="FZA24" s="906">
        <f t="shared" ref="FZA24" si="2498">$C$24*FYY24</f>
        <v>100000</v>
      </c>
      <c r="FZC24" s="906">
        <f t="shared" ref="FZC24" si="2499">$C$24*FZA24</f>
        <v>100000</v>
      </c>
      <c r="FZE24" s="906">
        <f t="shared" ref="FZE24" si="2500">$C$24*FZC24</f>
        <v>100000</v>
      </c>
      <c r="FZG24" s="906">
        <f t="shared" ref="FZG24" si="2501">$C$24*FZE24</f>
        <v>100000</v>
      </c>
      <c r="FZI24" s="906">
        <f t="shared" ref="FZI24" si="2502">$C$24*FZG24</f>
        <v>100000</v>
      </c>
      <c r="FZK24" s="906">
        <f t="shared" ref="FZK24" si="2503">$C$24*FZI24</f>
        <v>100000</v>
      </c>
      <c r="FZM24" s="906">
        <f t="shared" ref="FZM24" si="2504">$C$24*FZK24</f>
        <v>100000</v>
      </c>
      <c r="FZO24" s="906">
        <f t="shared" ref="FZO24" si="2505">$C$24*FZM24</f>
        <v>100000</v>
      </c>
      <c r="FZQ24" s="906">
        <f t="shared" ref="FZQ24" si="2506">$C$24*FZO24</f>
        <v>100000</v>
      </c>
      <c r="FZS24" s="906">
        <f t="shared" ref="FZS24" si="2507">$C$24*FZQ24</f>
        <v>100000</v>
      </c>
      <c r="FZU24" s="906">
        <f t="shared" ref="FZU24" si="2508">$C$24*FZS24</f>
        <v>100000</v>
      </c>
      <c r="FZW24" s="906">
        <f t="shared" ref="FZW24" si="2509">$C$24*FZU24</f>
        <v>100000</v>
      </c>
      <c r="FZY24" s="906">
        <f t="shared" ref="FZY24" si="2510">$C$24*FZW24</f>
        <v>100000</v>
      </c>
      <c r="GAA24" s="906">
        <f t="shared" ref="GAA24" si="2511">$C$24*FZY24</f>
        <v>100000</v>
      </c>
      <c r="GAC24" s="906">
        <f t="shared" ref="GAC24" si="2512">$C$24*GAA24</f>
        <v>100000</v>
      </c>
      <c r="GAE24" s="906">
        <f t="shared" ref="GAE24" si="2513">$C$24*GAC24</f>
        <v>100000</v>
      </c>
      <c r="GAG24" s="906">
        <f t="shared" ref="GAG24" si="2514">$C$24*GAE24</f>
        <v>100000</v>
      </c>
      <c r="GAI24" s="906">
        <f t="shared" ref="GAI24" si="2515">$C$24*GAG24</f>
        <v>100000</v>
      </c>
      <c r="GAK24" s="906">
        <f t="shared" ref="GAK24" si="2516">$C$24*GAI24</f>
        <v>100000</v>
      </c>
      <c r="GAM24" s="906">
        <f t="shared" ref="GAM24" si="2517">$C$24*GAK24</f>
        <v>100000</v>
      </c>
      <c r="GAO24" s="906">
        <f t="shared" ref="GAO24" si="2518">$C$24*GAM24</f>
        <v>100000</v>
      </c>
      <c r="GAQ24" s="906">
        <f t="shared" ref="GAQ24" si="2519">$C$24*GAO24</f>
        <v>100000</v>
      </c>
      <c r="GAS24" s="906">
        <f t="shared" ref="GAS24" si="2520">$C$24*GAQ24</f>
        <v>100000</v>
      </c>
      <c r="GAU24" s="906">
        <f t="shared" ref="GAU24" si="2521">$C$24*GAS24</f>
        <v>100000</v>
      </c>
      <c r="GAW24" s="906">
        <f t="shared" ref="GAW24" si="2522">$C$24*GAU24</f>
        <v>100000</v>
      </c>
      <c r="GAY24" s="906">
        <f t="shared" ref="GAY24" si="2523">$C$24*GAW24</f>
        <v>100000</v>
      </c>
      <c r="GBA24" s="906">
        <f t="shared" ref="GBA24" si="2524">$C$24*GAY24</f>
        <v>100000</v>
      </c>
      <c r="GBC24" s="906">
        <f t="shared" ref="GBC24" si="2525">$C$24*GBA24</f>
        <v>100000</v>
      </c>
      <c r="GBE24" s="906">
        <f t="shared" ref="GBE24" si="2526">$C$24*GBC24</f>
        <v>100000</v>
      </c>
      <c r="GBG24" s="906">
        <f t="shared" ref="GBG24" si="2527">$C$24*GBE24</f>
        <v>100000</v>
      </c>
      <c r="GBI24" s="906">
        <f t="shared" ref="GBI24" si="2528">$C$24*GBG24</f>
        <v>100000</v>
      </c>
      <c r="GBK24" s="906">
        <f t="shared" ref="GBK24" si="2529">$C$24*GBI24</f>
        <v>100000</v>
      </c>
      <c r="GBM24" s="906">
        <f t="shared" ref="GBM24" si="2530">$C$24*GBK24</f>
        <v>100000</v>
      </c>
      <c r="GBO24" s="906">
        <f t="shared" ref="GBO24" si="2531">$C$24*GBM24</f>
        <v>100000</v>
      </c>
      <c r="GBQ24" s="906">
        <f t="shared" ref="GBQ24" si="2532">$C$24*GBO24</f>
        <v>100000</v>
      </c>
      <c r="GBS24" s="906">
        <f t="shared" ref="GBS24" si="2533">$C$24*GBQ24</f>
        <v>100000</v>
      </c>
      <c r="GBU24" s="906">
        <f t="shared" ref="GBU24" si="2534">$C$24*GBS24</f>
        <v>100000</v>
      </c>
      <c r="GBW24" s="906">
        <f t="shared" ref="GBW24" si="2535">$C$24*GBU24</f>
        <v>100000</v>
      </c>
      <c r="GBY24" s="906">
        <f t="shared" ref="GBY24" si="2536">$C$24*GBW24</f>
        <v>100000</v>
      </c>
      <c r="GCA24" s="906">
        <f t="shared" ref="GCA24" si="2537">$C$24*GBY24</f>
        <v>100000</v>
      </c>
      <c r="GCC24" s="906">
        <f t="shared" ref="GCC24" si="2538">$C$24*GCA24</f>
        <v>100000</v>
      </c>
      <c r="GCE24" s="906">
        <f t="shared" ref="GCE24" si="2539">$C$24*GCC24</f>
        <v>100000</v>
      </c>
      <c r="GCG24" s="906">
        <f t="shared" ref="GCG24" si="2540">$C$24*GCE24</f>
        <v>100000</v>
      </c>
      <c r="GCI24" s="906">
        <f t="shared" ref="GCI24" si="2541">$C$24*GCG24</f>
        <v>100000</v>
      </c>
      <c r="GCK24" s="906">
        <f t="shared" ref="GCK24" si="2542">$C$24*GCI24</f>
        <v>100000</v>
      </c>
      <c r="GCM24" s="906">
        <f t="shared" ref="GCM24" si="2543">$C$24*GCK24</f>
        <v>100000</v>
      </c>
      <c r="GCO24" s="906">
        <f t="shared" ref="GCO24" si="2544">$C$24*GCM24</f>
        <v>100000</v>
      </c>
      <c r="GCQ24" s="906">
        <f t="shared" ref="GCQ24" si="2545">$C$24*GCO24</f>
        <v>100000</v>
      </c>
      <c r="GCS24" s="906">
        <f t="shared" ref="GCS24" si="2546">$C$24*GCQ24</f>
        <v>100000</v>
      </c>
      <c r="GCU24" s="906">
        <f t="shared" ref="GCU24" si="2547">$C$24*GCS24</f>
        <v>100000</v>
      </c>
      <c r="GCW24" s="906">
        <f t="shared" ref="GCW24" si="2548">$C$24*GCU24</f>
        <v>100000</v>
      </c>
      <c r="GCY24" s="906">
        <f t="shared" ref="GCY24" si="2549">$C$24*GCW24</f>
        <v>100000</v>
      </c>
      <c r="GDA24" s="906">
        <f t="shared" ref="GDA24" si="2550">$C$24*GCY24</f>
        <v>100000</v>
      </c>
      <c r="GDC24" s="906">
        <f t="shared" ref="GDC24" si="2551">$C$24*GDA24</f>
        <v>100000</v>
      </c>
      <c r="GDE24" s="906">
        <f t="shared" ref="GDE24" si="2552">$C$24*GDC24</f>
        <v>100000</v>
      </c>
      <c r="GDG24" s="906">
        <f t="shared" ref="GDG24" si="2553">$C$24*GDE24</f>
        <v>100000</v>
      </c>
      <c r="GDI24" s="906">
        <f t="shared" ref="GDI24" si="2554">$C$24*GDG24</f>
        <v>100000</v>
      </c>
      <c r="GDK24" s="906">
        <f t="shared" ref="GDK24" si="2555">$C$24*GDI24</f>
        <v>100000</v>
      </c>
      <c r="GDM24" s="906">
        <f t="shared" ref="GDM24" si="2556">$C$24*GDK24</f>
        <v>100000</v>
      </c>
      <c r="GDO24" s="906">
        <f t="shared" ref="GDO24" si="2557">$C$24*GDM24</f>
        <v>100000</v>
      </c>
      <c r="GDQ24" s="906">
        <f t="shared" ref="GDQ24" si="2558">$C$24*GDO24</f>
        <v>100000</v>
      </c>
      <c r="GDS24" s="906">
        <f t="shared" ref="GDS24" si="2559">$C$24*GDQ24</f>
        <v>100000</v>
      </c>
      <c r="GDU24" s="906">
        <f t="shared" ref="GDU24" si="2560">$C$24*GDS24</f>
        <v>100000</v>
      </c>
      <c r="GDW24" s="906">
        <f t="shared" ref="GDW24" si="2561">$C$24*GDU24</f>
        <v>100000</v>
      </c>
      <c r="GDY24" s="906">
        <f t="shared" ref="GDY24" si="2562">$C$24*GDW24</f>
        <v>100000</v>
      </c>
      <c r="GEA24" s="906">
        <f t="shared" ref="GEA24" si="2563">$C$24*GDY24</f>
        <v>100000</v>
      </c>
      <c r="GEC24" s="906">
        <f t="shared" ref="GEC24" si="2564">$C$24*GEA24</f>
        <v>100000</v>
      </c>
      <c r="GEE24" s="906">
        <f t="shared" ref="GEE24" si="2565">$C$24*GEC24</f>
        <v>100000</v>
      </c>
      <c r="GEG24" s="906">
        <f t="shared" ref="GEG24" si="2566">$C$24*GEE24</f>
        <v>100000</v>
      </c>
      <c r="GEI24" s="906">
        <f t="shared" ref="GEI24" si="2567">$C$24*GEG24</f>
        <v>100000</v>
      </c>
      <c r="GEK24" s="906">
        <f t="shared" ref="GEK24" si="2568">$C$24*GEI24</f>
        <v>100000</v>
      </c>
      <c r="GEM24" s="906">
        <f t="shared" ref="GEM24" si="2569">$C$24*GEK24</f>
        <v>100000</v>
      </c>
      <c r="GEO24" s="906">
        <f t="shared" ref="GEO24" si="2570">$C$24*GEM24</f>
        <v>100000</v>
      </c>
      <c r="GEQ24" s="906">
        <f t="shared" ref="GEQ24" si="2571">$C$24*GEO24</f>
        <v>100000</v>
      </c>
      <c r="GES24" s="906">
        <f t="shared" ref="GES24" si="2572">$C$24*GEQ24</f>
        <v>100000</v>
      </c>
      <c r="GEU24" s="906">
        <f t="shared" ref="GEU24" si="2573">$C$24*GES24</f>
        <v>100000</v>
      </c>
      <c r="GEW24" s="906">
        <f t="shared" ref="GEW24" si="2574">$C$24*GEU24</f>
        <v>100000</v>
      </c>
      <c r="GEY24" s="906">
        <f t="shared" ref="GEY24" si="2575">$C$24*GEW24</f>
        <v>100000</v>
      </c>
      <c r="GFA24" s="906">
        <f t="shared" ref="GFA24" si="2576">$C$24*GEY24</f>
        <v>100000</v>
      </c>
      <c r="GFC24" s="906">
        <f t="shared" ref="GFC24" si="2577">$C$24*GFA24</f>
        <v>100000</v>
      </c>
      <c r="GFE24" s="906">
        <f t="shared" ref="GFE24" si="2578">$C$24*GFC24</f>
        <v>100000</v>
      </c>
      <c r="GFG24" s="906">
        <f t="shared" ref="GFG24" si="2579">$C$24*GFE24</f>
        <v>100000</v>
      </c>
      <c r="GFI24" s="906">
        <f t="shared" ref="GFI24" si="2580">$C$24*GFG24</f>
        <v>100000</v>
      </c>
      <c r="GFK24" s="906">
        <f t="shared" ref="GFK24" si="2581">$C$24*GFI24</f>
        <v>100000</v>
      </c>
      <c r="GFM24" s="906">
        <f t="shared" ref="GFM24" si="2582">$C$24*GFK24</f>
        <v>100000</v>
      </c>
      <c r="GFO24" s="906">
        <f t="shared" ref="GFO24" si="2583">$C$24*GFM24</f>
        <v>100000</v>
      </c>
      <c r="GFQ24" s="906">
        <f t="shared" ref="GFQ24" si="2584">$C$24*GFO24</f>
        <v>100000</v>
      </c>
      <c r="GFS24" s="906">
        <f t="shared" ref="GFS24" si="2585">$C$24*GFQ24</f>
        <v>100000</v>
      </c>
      <c r="GFU24" s="906">
        <f t="shared" ref="GFU24" si="2586">$C$24*GFS24</f>
        <v>100000</v>
      </c>
      <c r="GFW24" s="906">
        <f t="shared" ref="GFW24" si="2587">$C$24*GFU24</f>
        <v>100000</v>
      </c>
      <c r="GFY24" s="906">
        <f t="shared" ref="GFY24" si="2588">$C$24*GFW24</f>
        <v>100000</v>
      </c>
      <c r="GGA24" s="906">
        <f t="shared" ref="GGA24" si="2589">$C$24*GFY24</f>
        <v>100000</v>
      </c>
      <c r="GGC24" s="906">
        <f t="shared" ref="GGC24" si="2590">$C$24*GGA24</f>
        <v>100000</v>
      </c>
      <c r="GGE24" s="906">
        <f t="shared" ref="GGE24" si="2591">$C$24*GGC24</f>
        <v>100000</v>
      </c>
      <c r="GGG24" s="906">
        <f t="shared" ref="GGG24" si="2592">$C$24*GGE24</f>
        <v>100000</v>
      </c>
      <c r="GGI24" s="906">
        <f t="shared" ref="GGI24" si="2593">$C$24*GGG24</f>
        <v>100000</v>
      </c>
      <c r="GGK24" s="906">
        <f t="shared" ref="GGK24" si="2594">$C$24*GGI24</f>
        <v>100000</v>
      </c>
      <c r="GGM24" s="906">
        <f t="shared" ref="GGM24" si="2595">$C$24*GGK24</f>
        <v>100000</v>
      </c>
      <c r="GGO24" s="906">
        <f t="shared" ref="GGO24" si="2596">$C$24*GGM24</f>
        <v>100000</v>
      </c>
      <c r="GGQ24" s="906">
        <f t="shared" ref="GGQ24" si="2597">$C$24*GGO24</f>
        <v>100000</v>
      </c>
      <c r="GGS24" s="906">
        <f t="shared" ref="GGS24" si="2598">$C$24*GGQ24</f>
        <v>100000</v>
      </c>
      <c r="GGU24" s="906">
        <f t="shared" ref="GGU24" si="2599">$C$24*GGS24</f>
        <v>100000</v>
      </c>
      <c r="GGW24" s="906">
        <f t="shared" ref="GGW24" si="2600">$C$24*GGU24</f>
        <v>100000</v>
      </c>
      <c r="GGY24" s="906">
        <f t="shared" ref="GGY24" si="2601">$C$24*GGW24</f>
        <v>100000</v>
      </c>
      <c r="GHA24" s="906">
        <f t="shared" ref="GHA24" si="2602">$C$24*GGY24</f>
        <v>100000</v>
      </c>
      <c r="GHC24" s="906">
        <f t="shared" ref="GHC24" si="2603">$C$24*GHA24</f>
        <v>100000</v>
      </c>
      <c r="GHE24" s="906">
        <f t="shared" ref="GHE24" si="2604">$C$24*GHC24</f>
        <v>100000</v>
      </c>
      <c r="GHG24" s="906">
        <f t="shared" ref="GHG24" si="2605">$C$24*GHE24</f>
        <v>100000</v>
      </c>
      <c r="GHI24" s="906">
        <f t="shared" ref="GHI24" si="2606">$C$24*GHG24</f>
        <v>100000</v>
      </c>
      <c r="GHK24" s="906">
        <f t="shared" ref="GHK24" si="2607">$C$24*GHI24</f>
        <v>100000</v>
      </c>
      <c r="GHM24" s="906">
        <f t="shared" ref="GHM24" si="2608">$C$24*GHK24</f>
        <v>100000</v>
      </c>
      <c r="GHO24" s="906">
        <f t="shared" ref="GHO24" si="2609">$C$24*GHM24</f>
        <v>100000</v>
      </c>
      <c r="GHQ24" s="906">
        <f t="shared" ref="GHQ24" si="2610">$C$24*GHO24</f>
        <v>100000</v>
      </c>
      <c r="GHS24" s="906">
        <f t="shared" ref="GHS24" si="2611">$C$24*GHQ24</f>
        <v>100000</v>
      </c>
      <c r="GHU24" s="906">
        <f t="shared" ref="GHU24" si="2612">$C$24*GHS24</f>
        <v>100000</v>
      </c>
      <c r="GHW24" s="906">
        <f t="shared" ref="GHW24" si="2613">$C$24*GHU24</f>
        <v>100000</v>
      </c>
      <c r="GHY24" s="906">
        <f t="shared" ref="GHY24" si="2614">$C$24*GHW24</f>
        <v>100000</v>
      </c>
      <c r="GIA24" s="906">
        <f t="shared" ref="GIA24" si="2615">$C$24*GHY24</f>
        <v>100000</v>
      </c>
      <c r="GIC24" s="906">
        <f t="shared" ref="GIC24" si="2616">$C$24*GIA24</f>
        <v>100000</v>
      </c>
      <c r="GIE24" s="906">
        <f t="shared" ref="GIE24" si="2617">$C$24*GIC24</f>
        <v>100000</v>
      </c>
      <c r="GIG24" s="906">
        <f t="shared" ref="GIG24" si="2618">$C$24*GIE24</f>
        <v>100000</v>
      </c>
      <c r="GII24" s="906">
        <f t="shared" ref="GII24" si="2619">$C$24*GIG24</f>
        <v>100000</v>
      </c>
      <c r="GIK24" s="906">
        <f t="shared" ref="GIK24" si="2620">$C$24*GII24</f>
        <v>100000</v>
      </c>
      <c r="GIM24" s="906">
        <f t="shared" ref="GIM24" si="2621">$C$24*GIK24</f>
        <v>100000</v>
      </c>
      <c r="GIO24" s="906">
        <f t="shared" ref="GIO24" si="2622">$C$24*GIM24</f>
        <v>100000</v>
      </c>
      <c r="GIQ24" s="906">
        <f t="shared" ref="GIQ24" si="2623">$C$24*GIO24</f>
        <v>100000</v>
      </c>
      <c r="GIS24" s="906">
        <f t="shared" ref="GIS24" si="2624">$C$24*GIQ24</f>
        <v>100000</v>
      </c>
      <c r="GIU24" s="906">
        <f t="shared" ref="GIU24" si="2625">$C$24*GIS24</f>
        <v>100000</v>
      </c>
      <c r="GIW24" s="906">
        <f t="shared" ref="GIW24" si="2626">$C$24*GIU24</f>
        <v>100000</v>
      </c>
      <c r="GIY24" s="906">
        <f t="shared" ref="GIY24" si="2627">$C$24*GIW24</f>
        <v>100000</v>
      </c>
      <c r="GJA24" s="906">
        <f t="shared" ref="GJA24" si="2628">$C$24*GIY24</f>
        <v>100000</v>
      </c>
      <c r="GJC24" s="906">
        <f t="shared" ref="GJC24" si="2629">$C$24*GJA24</f>
        <v>100000</v>
      </c>
      <c r="GJE24" s="906">
        <f t="shared" ref="GJE24" si="2630">$C$24*GJC24</f>
        <v>100000</v>
      </c>
      <c r="GJG24" s="906">
        <f t="shared" ref="GJG24" si="2631">$C$24*GJE24</f>
        <v>100000</v>
      </c>
      <c r="GJI24" s="906">
        <f t="shared" ref="GJI24" si="2632">$C$24*GJG24</f>
        <v>100000</v>
      </c>
      <c r="GJK24" s="906">
        <f t="shared" ref="GJK24" si="2633">$C$24*GJI24</f>
        <v>100000</v>
      </c>
      <c r="GJM24" s="906">
        <f t="shared" ref="GJM24" si="2634">$C$24*GJK24</f>
        <v>100000</v>
      </c>
      <c r="GJO24" s="906">
        <f t="shared" ref="GJO24" si="2635">$C$24*GJM24</f>
        <v>100000</v>
      </c>
      <c r="GJQ24" s="906">
        <f t="shared" ref="GJQ24" si="2636">$C$24*GJO24</f>
        <v>100000</v>
      </c>
      <c r="GJS24" s="906">
        <f t="shared" ref="GJS24" si="2637">$C$24*GJQ24</f>
        <v>100000</v>
      </c>
      <c r="GJU24" s="906">
        <f t="shared" ref="GJU24" si="2638">$C$24*GJS24</f>
        <v>100000</v>
      </c>
      <c r="GJW24" s="906">
        <f t="shared" ref="GJW24" si="2639">$C$24*GJU24</f>
        <v>100000</v>
      </c>
      <c r="GJY24" s="906">
        <f t="shared" ref="GJY24" si="2640">$C$24*GJW24</f>
        <v>100000</v>
      </c>
      <c r="GKA24" s="906">
        <f t="shared" ref="GKA24" si="2641">$C$24*GJY24</f>
        <v>100000</v>
      </c>
      <c r="GKC24" s="906">
        <f t="shared" ref="GKC24" si="2642">$C$24*GKA24</f>
        <v>100000</v>
      </c>
      <c r="GKE24" s="906">
        <f t="shared" ref="GKE24" si="2643">$C$24*GKC24</f>
        <v>100000</v>
      </c>
      <c r="GKG24" s="906">
        <f t="shared" ref="GKG24" si="2644">$C$24*GKE24</f>
        <v>100000</v>
      </c>
      <c r="GKI24" s="906">
        <f t="shared" ref="GKI24" si="2645">$C$24*GKG24</f>
        <v>100000</v>
      </c>
      <c r="GKK24" s="906">
        <f t="shared" ref="GKK24" si="2646">$C$24*GKI24</f>
        <v>100000</v>
      </c>
      <c r="GKM24" s="906">
        <f t="shared" ref="GKM24" si="2647">$C$24*GKK24</f>
        <v>100000</v>
      </c>
      <c r="GKO24" s="906">
        <f t="shared" ref="GKO24" si="2648">$C$24*GKM24</f>
        <v>100000</v>
      </c>
      <c r="GKQ24" s="906">
        <f t="shared" ref="GKQ24" si="2649">$C$24*GKO24</f>
        <v>100000</v>
      </c>
      <c r="GKS24" s="906">
        <f t="shared" ref="GKS24" si="2650">$C$24*GKQ24</f>
        <v>100000</v>
      </c>
      <c r="GKU24" s="906">
        <f t="shared" ref="GKU24" si="2651">$C$24*GKS24</f>
        <v>100000</v>
      </c>
      <c r="GKW24" s="906">
        <f t="shared" ref="GKW24" si="2652">$C$24*GKU24</f>
        <v>100000</v>
      </c>
      <c r="GKY24" s="906">
        <f t="shared" ref="GKY24" si="2653">$C$24*GKW24</f>
        <v>100000</v>
      </c>
      <c r="GLA24" s="906">
        <f t="shared" ref="GLA24" si="2654">$C$24*GKY24</f>
        <v>100000</v>
      </c>
      <c r="GLC24" s="906">
        <f t="shared" ref="GLC24" si="2655">$C$24*GLA24</f>
        <v>100000</v>
      </c>
      <c r="GLE24" s="906">
        <f t="shared" ref="GLE24" si="2656">$C$24*GLC24</f>
        <v>100000</v>
      </c>
      <c r="GLG24" s="906">
        <f t="shared" ref="GLG24" si="2657">$C$24*GLE24</f>
        <v>100000</v>
      </c>
      <c r="GLI24" s="906">
        <f t="shared" ref="GLI24" si="2658">$C$24*GLG24</f>
        <v>100000</v>
      </c>
      <c r="GLK24" s="906">
        <f t="shared" ref="GLK24" si="2659">$C$24*GLI24</f>
        <v>100000</v>
      </c>
      <c r="GLM24" s="906">
        <f t="shared" ref="GLM24" si="2660">$C$24*GLK24</f>
        <v>100000</v>
      </c>
      <c r="GLO24" s="906">
        <f t="shared" ref="GLO24" si="2661">$C$24*GLM24</f>
        <v>100000</v>
      </c>
      <c r="GLQ24" s="906">
        <f t="shared" ref="GLQ24" si="2662">$C$24*GLO24</f>
        <v>100000</v>
      </c>
      <c r="GLS24" s="906">
        <f t="shared" ref="GLS24" si="2663">$C$24*GLQ24</f>
        <v>100000</v>
      </c>
      <c r="GLU24" s="906">
        <f t="shared" ref="GLU24" si="2664">$C$24*GLS24</f>
        <v>100000</v>
      </c>
      <c r="GLW24" s="906">
        <f t="shared" ref="GLW24" si="2665">$C$24*GLU24</f>
        <v>100000</v>
      </c>
      <c r="GLY24" s="906">
        <f t="shared" ref="GLY24" si="2666">$C$24*GLW24</f>
        <v>100000</v>
      </c>
      <c r="GMA24" s="906">
        <f t="shared" ref="GMA24" si="2667">$C$24*GLY24</f>
        <v>100000</v>
      </c>
      <c r="GMC24" s="906">
        <f t="shared" ref="GMC24" si="2668">$C$24*GMA24</f>
        <v>100000</v>
      </c>
      <c r="GME24" s="906">
        <f t="shared" ref="GME24" si="2669">$C$24*GMC24</f>
        <v>100000</v>
      </c>
      <c r="GMG24" s="906">
        <f t="shared" ref="GMG24" si="2670">$C$24*GME24</f>
        <v>100000</v>
      </c>
      <c r="GMI24" s="906">
        <f t="shared" ref="GMI24" si="2671">$C$24*GMG24</f>
        <v>100000</v>
      </c>
      <c r="GMK24" s="906">
        <f t="shared" ref="GMK24" si="2672">$C$24*GMI24</f>
        <v>100000</v>
      </c>
      <c r="GMM24" s="906">
        <f t="shared" ref="GMM24" si="2673">$C$24*GMK24</f>
        <v>100000</v>
      </c>
      <c r="GMO24" s="906">
        <f t="shared" ref="GMO24" si="2674">$C$24*GMM24</f>
        <v>100000</v>
      </c>
      <c r="GMQ24" s="906">
        <f t="shared" ref="GMQ24" si="2675">$C$24*GMO24</f>
        <v>100000</v>
      </c>
      <c r="GMS24" s="906">
        <f t="shared" ref="GMS24" si="2676">$C$24*GMQ24</f>
        <v>100000</v>
      </c>
      <c r="GMU24" s="906">
        <f t="shared" ref="GMU24" si="2677">$C$24*GMS24</f>
        <v>100000</v>
      </c>
      <c r="GMW24" s="906">
        <f t="shared" ref="GMW24" si="2678">$C$24*GMU24</f>
        <v>100000</v>
      </c>
      <c r="GMY24" s="906">
        <f t="shared" ref="GMY24" si="2679">$C$24*GMW24</f>
        <v>100000</v>
      </c>
      <c r="GNA24" s="906">
        <f t="shared" ref="GNA24" si="2680">$C$24*GMY24</f>
        <v>100000</v>
      </c>
      <c r="GNC24" s="906">
        <f t="shared" ref="GNC24" si="2681">$C$24*GNA24</f>
        <v>100000</v>
      </c>
      <c r="GNE24" s="906">
        <f t="shared" ref="GNE24" si="2682">$C$24*GNC24</f>
        <v>100000</v>
      </c>
      <c r="GNG24" s="906">
        <f t="shared" ref="GNG24" si="2683">$C$24*GNE24</f>
        <v>100000</v>
      </c>
      <c r="GNI24" s="906">
        <f t="shared" ref="GNI24" si="2684">$C$24*GNG24</f>
        <v>100000</v>
      </c>
      <c r="GNK24" s="906">
        <f t="shared" ref="GNK24" si="2685">$C$24*GNI24</f>
        <v>100000</v>
      </c>
      <c r="GNM24" s="906">
        <f t="shared" ref="GNM24" si="2686">$C$24*GNK24</f>
        <v>100000</v>
      </c>
      <c r="GNO24" s="906">
        <f t="shared" ref="GNO24" si="2687">$C$24*GNM24</f>
        <v>100000</v>
      </c>
      <c r="GNQ24" s="906">
        <f t="shared" ref="GNQ24" si="2688">$C$24*GNO24</f>
        <v>100000</v>
      </c>
      <c r="GNS24" s="906">
        <f t="shared" ref="GNS24" si="2689">$C$24*GNQ24</f>
        <v>100000</v>
      </c>
      <c r="GNU24" s="906">
        <f t="shared" ref="GNU24" si="2690">$C$24*GNS24</f>
        <v>100000</v>
      </c>
      <c r="GNW24" s="906">
        <f t="shared" ref="GNW24" si="2691">$C$24*GNU24</f>
        <v>100000</v>
      </c>
      <c r="GNY24" s="906">
        <f t="shared" ref="GNY24" si="2692">$C$24*GNW24</f>
        <v>100000</v>
      </c>
      <c r="GOA24" s="906">
        <f t="shared" ref="GOA24" si="2693">$C$24*GNY24</f>
        <v>100000</v>
      </c>
      <c r="GOC24" s="906">
        <f t="shared" ref="GOC24" si="2694">$C$24*GOA24</f>
        <v>100000</v>
      </c>
      <c r="GOE24" s="906">
        <f t="shared" ref="GOE24" si="2695">$C$24*GOC24</f>
        <v>100000</v>
      </c>
      <c r="GOG24" s="906">
        <f t="shared" ref="GOG24" si="2696">$C$24*GOE24</f>
        <v>100000</v>
      </c>
      <c r="GOI24" s="906">
        <f t="shared" ref="GOI24" si="2697">$C$24*GOG24</f>
        <v>100000</v>
      </c>
      <c r="GOK24" s="906">
        <f t="shared" ref="GOK24" si="2698">$C$24*GOI24</f>
        <v>100000</v>
      </c>
      <c r="GOM24" s="906">
        <f t="shared" ref="GOM24" si="2699">$C$24*GOK24</f>
        <v>100000</v>
      </c>
      <c r="GOO24" s="906">
        <f t="shared" ref="GOO24" si="2700">$C$24*GOM24</f>
        <v>100000</v>
      </c>
      <c r="GOQ24" s="906">
        <f t="shared" ref="GOQ24" si="2701">$C$24*GOO24</f>
        <v>100000</v>
      </c>
      <c r="GOS24" s="906">
        <f t="shared" ref="GOS24" si="2702">$C$24*GOQ24</f>
        <v>100000</v>
      </c>
      <c r="GOU24" s="906">
        <f t="shared" ref="GOU24" si="2703">$C$24*GOS24</f>
        <v>100000</v>
      </c>
      <c r="GOW24" s="906">
        <f t="shared" ref="GOW24" si="2704">$C$24*GOU24</f>
        <v>100000</v>
      </c>
      <c r="GOY24" s="906">
        <f t="shared" ref="GOY24" si="2705">$C$24*GOW24</f>
        <v>100000</v>
      </c>
      <c r="GPA24" s="906">
        <f t="shared" ref="GPA24" si="2706">$C$24*GOY24</f>
        <v>100000</v>
      </c>
      <c r="GPC24" s="906">
        <f t="shared" ref="GPC24" si="2707">$C$24*GPA24</f>
        <v>100000</v>
      </c>
      <c r="GPE24" s="906">
        <f t="shared" ref="GPE24" si="2708">$C$24*GPC24</f>
        <v>100000</v>
      </c>
      <c r="GPG24" s="906">
        <f t="shared" ref="GPG24" si="2709">$C$24*GPE24</f>
        <v>100000</v>
      </c>
      <c r="GPI24" s="906">
        <f t="shared" ref="GPI24" si="2710">$C$24*GPG24</f>
        <v>100000</v>
      </c>
      <c r="GPK24" s="906">
        <f t="shared" ref="GPK24" si="2711">$C$24*GPI24</f>
        <v>100000</v>
      </c>
      <c r="GPM24" s="906">
        <f t="shared" ref="GPM24" si="2712">$C$24*GPK24</f>
        <v>100000</v>
      </c>
      <c r="GPO24" s="906">
        <f t="shared" ref="GPO24" si="2713">$C$24*GPM24</f>
        <v>100000</v>
      </c>
      <c r="GPQ24" s="906">
        <f t="shared" ref="GPQ24" si="2714">$C$24*GPO24</f>
        <v>100000</v>
      </c>
      <c r="GPS24" s="906">
        <f t="shared" ref="GPS24" si="2715">$C$24*GPQ24</f>
        <v>100000</v>
      </c>
      <c r="GPU24" s="906">
        <f t="shared" ref="GPU24" si="2716">$C$24*GPS24</f>
        <v>100000</v>
      </c>
      <c r="GPW24" s="906">
        <f t="shared" ref="GPW24" si="2717">$C$24*GPU24</f>
        <v>100000</v>
      </c>
      <c r="GPY24" s="906">
        <f t="shared" ref="GPY24" si="2718">$C$24*GPW24</f>
        <v>100000</v>
      </c>
      <c r="GQA24" s="906">
        <f t="shared" ref="GQA24" si="2719">$C$24*GPY24</f>
        <v>100000</v>
      </c>
      <c r="GQC24" s="906">
        <f t="shared" ref="GQC24" si="2720">$C$24*GQA24</f>
        <v>100000</v>
      </c>
      <c r="GQE24" s="906">
        <f t="shared" ref="GQE24" si="2721">$C$24*GQC24</f>
        <v>100000</v>
      </c>
      <c r="GQG24" s="906">
        <f t="shared" ref="GQG24" si="2722">$C$24*GQE24</f>
        <v>100000</v>
      </c>
      <c r="GQI24" s="906">
        <f t="shared" ref="GQI24" si="2723">$C$24*GQG24</f>
        <v>100000</v>
      </c>
      <c r="GQK24" s="906">
        <f t="shared" ref="GQK24" si="2724">$C$24*GQI24</f>
        <v>100000</v>
      </c>
      <c r="GQM24" s="906">
        <f t="shared" ref="GQM24" si="2725">$C$24*GQK24</f>
        <v>100000</v>
      </c>
      <c r="GQO24" s="906">
        <f t="shared" ref="GQO24" si="2726">$C$24*GQM24</f>
        <v>100000</v>
      </c>
      <c r="GQQ24" s="906">
        <f t="shared" ref="GQQ24" si="2727">$C$24*GQO24</f>
        <v>100000</v>
      </c>
      <c r="GQS24" s="906">
        <f t="shared" ref="GQS24" si="2728">$C$24*GQQ24</f>
        <v>100000</v>
      </c>
      <c r="GQU24" s="906">
        <f t="shared" ref="GQU24" si="2729">$C$24*GQS24</f>
        <v>100000</v>
      </c>
      <c r="GQW24" s="906">
        <f t="shared" ref="GQW24" si="2730">$C$24*GQU24</f>
        <v>100000</v>
      </c>
      <c r="GQY24" s="906">
        <f t="shared" ref="GQY24" si="2731">$C$24*GQW24</f>
        <v>100000</v>
      </c>
      <c r="GRA24" s="906">
        <f t="shared" ref="GRA24" si="2732">$C$24*GQY24</f>
        <v>100000</v>
      </c>
      <c r="GRC24" s="906">
        <f t="shared" ref="GRC24" si="2733">$C$24*GRA24</f>
        <v>100000</v>
      </c>
      <c r="GRE24" s="906">
        <f t="shared" ref="GRE24" si="2734">$C$24*GRC24</f>
        <v>100000</v>
      </c>
      <c r="GRG24" s="906">
        <f t="shared" ref="GRG24" si="2735">$C$24*GRE24</f>
        <v>100000</v>
      </c>
      <c r="GRI24" s="906">
        <f t="shared" ref="GRI24" si="2736">$C$24*GRG24</f>
        <v>100000</v>
      </c>
      <c r="GRK24" s="906">
        <f t="shared" ref="GRK24" si="2737">$C$24*GRI24</f>
        <v>100000</v>
      </c>
      <c r="GRM24" s="906">
        <f t="shared" ref="GRM24" si="2738">$C$24*GRK24</f>
        <v>100000</v>
      </c>
      <c r="GRO24" s="906">
        <f t="shared" ref="GRO24" si="2739">$C$24*GRM24</f>
        <v>100000</v>
      </c>
      <c r="GRQ24" s="906">
        <f t="shared" ref="GRQ24" si="2740">$C$24*GRO24</f>
        <v>100000</v>
      </c>
      <c r="GRS24" s="906">
        <f t="shared" ref="GRS24" si="2741">$C$24*GRQ24</f>
        <v>100000</v>
      </c>
      <c r="GRU24" s="906">
        <f t="shared" ref="GRU24" si="2742">$C$24*GRS24</f>
        <v>100000</v>
      </c>
      <c r="GRW24" s="906">
        <f t="shared" ref="GRW24" si="2743">$C$24*GRU24</f>
        <v>100000</v>
      </c>
      <c r="GRY24" s="906">
        <f t="shared" ref="GRY24" si="2744">$C$24*GRW24</f>
        <v>100000</v>
      </c>
      <c r="GSA24" s="906">
        <f t="shared" ref="GSA24" si="2745">$C$24*GRY24</f>
        <v>100000</v>
      </c>
      <c r="GSC24" s="906">
        <f t="shared" ref="GSC24" si="2746">$C$24*GSA24</f>
        <v>100000</v>
      </c>
      <c r="GSE24" s="906">
        <f t="shared" ref="GSE24" si="2747">$C$24*GSC24</f>
        <v>100000</v>
      </c>
      <c r="GSG24" s="906">
        <f t="shared" ref="GSG24" si="2748">$C$24*GSE24</f>
        <v>100000</v>
      </c>
      <c r="GSI24" s="906">
        <f t="shared" ref="GSI24" si="2749">$C$24*GSG24</f>
        <v>100000</v>
      </c>
      <c r="GSK24" s="906">
        <f t="shared" ref="GSK24" si="2750">$C$24*GSI24</f>
        <v>100000</v>
      </c>
      <c r="GSM24" s="906">
        <f t="shared" ref="GSM24" si="2751">$C$24*GSK24</f>
        <v>100000</v>
      </c>
      <c r="GSO24" s="906">
        <f t="shared" ref="GSO24" si="2752">$C$24*GSM24</f>
        <v>100000</v>
      </c>
      <c r="GSQ24" s="906">
        <f t="shared" ref="GSQ24" si="2753">$C$24*GSO24</f>
        <v>100000</v>
      </c>
      <c r="GSS24" s="906">
        <f t="shared" ref="GSS24" si="2754">$C$24*GSQ24</f>
        <v>100000</v>
      </c>
      <c r="GSU24" s="906">
        <f t="shared" ref="GSU24" si="2755">$C$24*GSS24</f>
        <v>100000</v>
      </c>
      <c r="GSW24" s="906">
        <f t="shared" ref="GSW24" si="2756">$C$24*GSU24</f>
        <v>100000</v>
      </c>
      <c r="GSY24" s="906">
        <f t="shared" ref="GSY24" si="2757">$C$24*GSW24</f>
        <v>100000</v>
      </c>
      <c r="GTA24" s="906">
        <f t="shared" ref="GTA24" si="2758">$C$24*GSY24</f>
        <v>100000</v>
      </c>
      <c r="GTC24" s="906">
        <f t="shared" ref="GTC24" si="2759">$C$24*GTA24</f>
        <v>100000</v>
      </c>
      <c r="GTE24" s="906">
        <f t="shared" ref="GTE24" si="2760">$C$24*GTC24</f>
        <v>100000</v>
      </c>
      <c r="GTG24" s="906">
        <f t="shared" ref="GTG24" si="2761">$C$24*GTE24</f>
        <v>100000</v>
      </c>
      <c r="GTI24" s="906">
        <f t="shared" ref="GTI24" si="2762">$C$24*GTG24</f>
        <v>100000</v>
      </c>
      <c r="GTK24" s="906">
        <f t="shared" ref="GTK24" si="2763">$C$24*GTI24</f>
        <v>100000</v>
      </c>
      <c r="GTM24" s="906">
        <f t="shared" ref="GTM24" si="2764">$C$24*GTK24</f>
        <v>100000</v>
      </c>
      <c r="GTO24" s="906">
        <f t="shared" ref="GTO24" si="2765">$C$24*GTM24</f>
        <v>100000</v>
      </c>
      <c r="GTQ24" s="906">
        <f t="shared" ref="GTQ24" si="2766">$C$24*GTO24</f>
        <v>100000</v>
      </c>
      <c r="GTS24" s="906">
        <f t="shared" ref="GTS24" si="2767">$C$24*GTQ24</f>
        <v>100000</v>
      </c>
      <c r="GTU24" s="906">
        <f t="shared" ref="GTU24" si="2768">$C$24*GTS24</f>
        <v>100000</v>
      </c>
      <c r="GTW24" s="906">
        <f t="shared" ref="GTW24" si="2769">$C$24*GTU24</f>
        <v>100000</v>
      </c>
      <c r="GTY24" s="906">
        <f t="shared" ref="GTY24" si="2770">$C$24*GTW24</f>
        <v>100000</v>
      </c>
      <c r="GUA24" s="906">
        <f t="shared" ref="GUA24" si="2771">$C$24*GTY24</f>
        <v>100000</v>
      </c>
      <c r="GUC24" s="906">
        <f t="shared" ref="GUC24" si="2772">$C$24*GUA24</f>
        <v>100000</v>
      </c>
      <c r="GUE24" s="906">
        <f t="shared" ref="GUE24" si="2773">$C$24*GUC24</f>
        <v>100000</v>
      </c>
      <c r="GUG24" s="906">
        <f t="shared" ref="GUG24" si="2774">$C$24*GUE24</f>
        <v>100000</v>
      </c>
      <c r="GUI24" s="906">
        <f t="shared" ref="GUI24" si="2775">$C$24*GUG24</f>
        <v>100000</v>
      </c>
      <c r="GUK24" s="906">
        <f t="shared" ref="GUK24" si="2776">$C$24*GUI24</f>
        <v>100000</v>
      </c>
      <c r="GUM24" s="906">
        <f t="shared" ref="GUM24" si="2777">$C$24*GUK24</f>
        <v>100000</v>
      </c>
      <c r="GUO24" s="906">
        <f t="shared" ref="GUO24" si="2778">$C$24*GUM24</f>
        <v>100000</v>
      </c>
      <c r="GUQ24" s="906">
        <f t="shared" ref="GUQ24" si="2779">$C$24*GUO24</f>
        <v>100000</v>
      </c>
      <c r="GUS24" s="906">
        <f t="shared" ref="GUS24" si="2780">$C$24*GUQ24</f>
        <v>100000</v>
      </c>
      <c r="GUU24" s="906">
        <f t="shared" ref="GUU24" si="2781">$C$24*GUS24</f>
        <v>100000</v>
      </c>
      <c r="GUW24" s="906">
        <f t="shared" ref="GUW24" si="2782">$C$24*GUU24</f>
        <v>100000</v>
      </c>
      <c r="GUY24" s="906">
        <f t="shared" ref="GUY24" si="2783">$C$24*GUW24</f>
        <v>100000</v>
      </c>
      <c r="GVA24" s="906">
        <f t="shared" ref="GVA24" si="2784">$C$24*GUY24</f>
        <v>100000</v>
      </c>
      <c r="GVC24" s="906">
        <f t="shared" ref="GVC24" si="2785">$C$24*GVA24</f>
        <v>100000</v>
      </c>
      <c r="GVE24" s="906">
        <f t="shared" ref="GVE24" si="2786">$C$24*GVC24</f>
        <v>100000</v>
      </c>
      <c r="GVG24" s="906">
        <f t="shared" ref="GVG24" si="2787">$C$24*GVE24</f>
        <v>100000</v>
      </c>
      <c r="GVI24" s="906">
        <f t="shared" ref="GVI24" si="2788">$C$24*GVG24</f>
        <v>100000</v>
      </c>
      <c r="GVK24" s="906">
        <f t="shared" ref="GVK24" si="2789">$C$24*GVI24</f>
        <v>100000</v>
      </c>
      <c r="GVM24" s="906">
        <f t="shared" ref="GVM24" si="2790">$C$24*GVK24</f>
        <v>100000</v>
      </c>
      <c r="GVO24" s="906">
        <f t="shared" ref="GVO24" si="2791">$C$24*GVM24</f>
        <v>100000</v>
      </c>
      <c r="GVQ24" s="906">
        <f t="shared" ref="GVQ24" si="2792">$C$24*GVO24</f>
        <v>100000</v>
      </c>
      <c r="GVS24" s="906">
        <f t="shared" ref="GVS24" si="2793">$C$24*GVQ24</f>
        <v>100000</v>
      </c>
      <c r="GVU24" s="906">
        <f t="shared" ref="GVU24" si="2794">$C$24*GVS24</f>
        <v>100000</v>
      </c>
      <c r="GVW24" s="906">
        <f t="shared" ref="GVW24" si="2795">$C$24*GVU24</f>
        <v>100000</v>
      </c>
      <c r="GVY24" s="906">
        <f t="shared" ref="GVY24" si="2796">$C$24*GVW24</f>
        <v>100000</v>
      </c>
      <c r="GWA24" s="906">
        <f t="shared" ref="GWA24" si="2797">$C$24*GVY24</f>
        <v>100000</v>
      </c>
      <c r="GWC24" s="906">
        <f t="shared" ref="GWC24" si="2798">$C$24*GWA24</f>
        <v>100000</v>
      </c>
      <c r="GWE24" s="906">
        <f t="shared" ref="GWE24" si="2799">$C$24*GWC24</f>
        <v>100000</v>
      </c>
      <c r="GWG24" s="906">
        <f t="shared" ref="GWG24" si="2800">$C$24*GWE24</f>
        <v>100000</v>
      </c>
      <c r="GWI24" s="906">
        <f t="shared" ref="GWI24" si="2801">$C$24*GWG24</f>
        <v>100000</v>
      </c>
      <c r="GWK24" s="906">
        <f t="shared" ref="GWK24" si="2802">$C$24*GWI24</f>
        <v>100000</v>
      </c>
      <c r="GWM24" s="906">
        <f t="shared" ref="GWM24" si="2803">$C$24*GWK24</f>
        <v>100000</v>
      </c>
      <c r="GWO24" s="906">
        <f t="shared" ref="GWO24" si="2804">$C$24*GWM24</f>
        <v>100000</v>
      </c>
      <c r="GWQ24" s="906">
        <f t="shared" ref="GWQ24" si="2805">$C$24*GWO24</f>
        <v>100000</v>
      </c>
      <c r="GWS24" s="906">
        <f t="shared" ref="GWS24" si="2806">$C$24*GWQ24</f>
        <v>100000</v>
      </c>
      <c r="GWU24" s="906">
        <f t="shared" ref="GWU24" si="2807">$C$24*GWS24</f>
        <v>100000</v>
      </c>
      <c r="GWW24" s="906">
        <f t="shared" ref="GWW24" si="2808">$C$24*GWU24</f>
        <v>100000</v>
      </c>
      <c r="GWY24" s="906">
        <f t="shared" ref="GWY24" si="2809">$C$24*GWW24</f>
        <v>100000</v>
      </c>
      <c r="GXA24" s="906">
        <f t="shared" ref="GXA24" si="2810">$C$24*GWY24</f>
        <v>100000</v>
      </c>
      <c r="GXC24" s="906">
        <f t="shared" ref="GXC24" si="2811">$C$24*GXA24</f>
        <v>100000</v>
      </c>
      <c r="GXE24" s="906">
        <f t="shared" ref="GXE24" si="2812">$C$24*GXC24</f>
        <v>100000</v>
      </c>
      <c r="GXG24" s="906">
        <f t="shared" ref="GXG24" si="2813">$C$24*GXE24</f>
        <v>100000</v>
      </c>
      <c r="GXI24" s="906">
        <f t="shared" ref="GXI24" si="2814">$C$24*GXG24</f>
        <v>100000</v>
      </c>
      <c r="GXK24" s="906">
        <f t="shared" ref="GXK24" si="2815">$C$24*GXI24</f>
        <v>100000</v>
      </c>
      <c r="GXM24" s="906">
        <f t="shared" ref="GXM24" si="2816">$C$24*GXK24</f>
        <v>100000</v>
      </c>
      <c r="GXO24" s="906">
        <f t="shared" ref="GXO24" si="2817">$C$24*GXM24</f>
        <v>100000</v>
      </c>
      <c r="GXQ24" s="906">
        <f t="shared" ref="GXQ24" si="2818">$C$24*GXO24</f>
        <v>100000</v>
      </c>
      <c r="GXS24" s="906">
        <f t="shared" ref="GXS24" si="2819">$C$24*GXQ24</f>
        <v>100000</v>
      </c>
      <c r="GXU24" s="906">
        <f t="shared" ref="GXU24" si="2820">$C$24*GXS24</f>
        <v>100000</v>
      </c>
      <c r="GXW24" s="906">
        <f t="shared" ref="GXW24" si="2821">$C$24*GXU24</f>
        <v>100000</v>
      </c>
      <c r="GXY24" s="906">
        <f t="shared" ref="GXY24" si="2822">$C$24*GXW24</f>
        <v>100000</v>
      </c>
      <c r="GYA24" s="906">
        <f t="shared" ref="GYA24" si="2823">$C$24*GXY24</f>
        <v>100000</v>
      </c>
      <c r="GYC24" s="906">
        <f t="shared" ref="GYC24" si="2824">$C$24*GYA24</f>
        <v>100000</v>
      </c>
      <c r="GYE24" s="906">
        <f t="shared" ref="GYE24" si="2825">$C$24*GYC24</f>
        <v>100000</v>
      </c>
      <c r="GYG24" s="906">
        <f t="shared" ref="GYG24" si="2826">$C$24*GYE24</f>
        <v>100000</v>
      </c>
      <c r="GYI24" s="906">
        <f t="shared" ref="GYI24" si="2827">$C$24*GYG24</f>
        <v>100000</v>
      </c>
      <c r="GYK24" s="906">
        <f t="shared" ref="GYK24" si="2828">$C$24*GYI24</f>
        <v>100000</v>
      </c>
      <c r="GYM24" s="906">
        <f t="shared" ref="GYM24" si="2829">$C$24*GYK24</f>
        <v>100000</v>
      </c>
      <c r="GYO24" s="906">
        <f t="shared" ref="GYO24" si="2830">$C$24*GYM24</f>
        <v>100000</v>
      </c>
      <c r="GYQ24" s="906">
        <f t="shared" ref="GYQ24" si="2831">$C$24*GYO24</f>
        <v>100000</v>
      </c>
      <c r="GYS24" s="906">
        <f t="shared" ref="GYS24" si="2832">$C$24*GYQ24</f>
        <v>100000</v>
      </c>
      <c r="GYU24" s="906">
        <f t="shared" ref="GYU24" si="2833">$C$24*GYS24</f>
        <v>100000</v>
      </c>
      <c r="GYW24" s="906">
        <f t="shared" ref="GYW24" si="2834">$C$24*GYU24</f>
        <v>100000</v>
      </c>
      <c r="GYY24" s="906">
        <f t="shared" ref="GYY24" si="2835">$C$24*GYW24</f>
        <v>100000</v>
      </c>
      <c r="GZA24" s="906">
        <f t="shared" ref="GZA24" si="2836">$C$24*GYY24</f>
        <v>100000</v>
      </c>
      <c r="GZC24" s="906">
        <f t="shared" ref="GZC24" si="2837">$C$24*GZA24</f>
        <v>100000</v>
      </c>
      <c r="GZE24" s="906">
        <f t="shared" ref="GZE24" si="2838">$C$24*GZC24</f>
        <v>100000</v>
      </c>
      <c r="GZG24" s="906">
        <f t="shared" ref="GZG24" si="2839">$C$24*GZE24</f>
        <v>100000</v>
      </c>
      <c r="GZI24" s="906">
        <f t="shared" ref="GZI24" si="2840">$C$24*GZG24</f>
        <v>100000</v>
      </c>
      <c r="GZK24" s="906">
        <f t="shared" ref="GZK24" si="2841">$C$24*GZI24</f>
        <v>100000</v>
      </c>
      <c r="GZM24" s="906">
        <f t="shared" ref="GZM24" si="2842">$C$24*GZK24</f>
        <v>100000</v>
      </c>
      <c r="GZO24" s="906">
        <f t="shared" ref="GZO24" si="2843">$C$24*GZM24</f>
        <v>100000</v>
      </c>
      <c r="GZQ24" s="906">
        <f t="shared" ref="GZQ24" si="2844">$C$24*GZO24</f>
        <v>100000</v>
      </c>
      <c r="GZS24" s="906">
        <f t="shared" ref="GZS24" si="2845">$C$24*GZQ24</f>
        <v>100000</v>
      </c>
      <c r="GZU24" s="906">
        <f t="shared" ref="GZU24" si="2846">$C$24*GZS24</f>
        <v>100000</v>
      </c>
      <c r="GZW24" s="906">
        <f t="shared" ref="GZW24" si="2847">$C$24*GZU24</f>
        <v>100000</v>
      </c>
      <c r="GZY24" s="906">
        <f t="shared" ref="GZY24" si="2848">$C$24*GZW24</f>
        <v>100000</v>
      </c>
      <c r="HAA24" s="906">
        <f t="shared" ref="HAA24" si="2849">$C$24*GZY24</f>
        <v>100000</v>
      </c>
      <c r="HAC24" s="906">
        <f t="shared" ref="HAC24" si="2850">$C$24*HAA24</f>
        <v>100000</v>
      </c>
      <c r="HAE24" s="906">
        <f t="shared" ref="HAE24" si="2851">$C$24*HAC24</f>
        <v>100000</v>
      </c>
      <c r="HAG24" s="906">
        <f t="shared" ref="HAG24" si="2852">$C$24*HAE24</f>
        <v>100000</v>
      </c>
      <c r="HAI24" s="906">
        <f t="shared" ref="HAI24" si="2853">$C$24*HAG24</f>
        <v>100000</v>
      </c>
      <c r="HAK24" s="906">
        <f t="shared" ref="HAK24" si="2854">$C$24*HAI24</f>
        <v>100000</v>
      </c>
      <c r="HAM24" s="906">
        <f t="shared" ref="HAM24" si="2855">$C$24*HAK24</f>
        <v>100000</v>
      </c>
      <c r="HAO24" s="906">
        <f t="shared" ref="HAO24" si="2856">$C$24*HAM24</f>
        <v>100000</v>
      </c>
      <c r="HAQ24" s="906">
        <f t="shared" ref="HAQ24" si="2857">$C$24*HAO24</f>
        <v>100000</v>
      </c>
      <c r="HAS24" s="906">
        <f t="shared" ref="HAS24" si="2858">$C$24*HAQ24</f>
        <v>100000</v>
      </c>
      <c r="HAU24" s="906">
        <f t="shared" ref="HAU24" si="2859">$C$24*HAS24</f>
        <v>100000</v>
      </c>
      <c r="HAW24" s="906">
        <f t="shared" ref="HAW24" si="2860">$C$24*HAU24</f>
        <v>100000</v>
      </c>
      <c r="HAY24" s="906">
        <f t="shared" ref="HAY24" si="2861">$C$24*HAW24</f>
        <v>100000</v>
      </c>
      <c r="HBA24" s="906">
        <f t="shared" ref="HBA24" si="2862">$C$24*HAY24</f>
        <v>100000</v>
      </c>
      <c r="HBC24" s="906">
        <f t="shared" ref="HBC24" si="2863">$C$24*HBA24</f>
        <v>100000</v>
      </c>
      <c r="HBE24" s="906">
        <f t="shared" ref="HBE24" si="2864">$C$24*HBC24</f>
        <v>100000</v>
      </c>
      <c r="HBG24" s="906">
        <f t="shared" ref="HBG24" si="2865">$C$24*HBE24</f>
        <v>100000</v>
      </c>
      <c r="HBI24" s="906">
        <f t="shared" ref="HBI24" si="2866">$C$24*HBG24</f>
        <v>100000</v>
      </c>
      <c r="HBK24" s="906">
        <f t="shared" ref="HBK24" si="2867">$C$24*HBI24</f>
        <v>100000</v>
      </c>
      <c r="HBM24" s="906">
        <f t="shared" ref="HBM24" si="2868">$C$24*HBK24</f>
        <v>100000</v>
      </c>
      <c r="HBO24" s="906">
        <f t="shared" ref="HBO24" si="2869">$C$24*HBM24</f>
        <v>100000</v>
      </c>
      <c r="HBQ24" s="906">
        <f t="shared" ref="HBQ24" si="2870">$C$24*HBO24</f>
        <v>100000</v>
      </c>
      <c r="HBS24" s="906">
        <f t="shared" ref="HBS24" si="2871">$C$24*HBQ24</f>
        <v>100000</v>
      </c>
      <c r="HBU24" s="906">
        <f t="shared" ref="HBU24" si="2872">$C$24*HBS24</f>
        <v>100000</v>
      </c>
      <c r="HBW24" s="906">
        <f t="shared" ref="HBW24" si="2873">$C$24*HBU24</f>
        <v>100000</v>
      </c>
      <c r="HBY24" s="906">
        <f t="shared" ref="HBY24" si="2874">$C$24*HBW24</f>
        <v>100000</v>
      </c>
      <c r="HCA24" s="906">
        <f t="shared" ref="HCA24" si="2875">$C$24*HBY24</f>
        <v>100000</v>
      </c>
      <c r="HCC24" s="906">
        <f t="shared" ref="HCC24" si="2876">$C$24*HCA24</f>
        <v>100000</v>
      </c>
      <c r="HCE24" s="906">
        <f t="shared" ref="HCE24" si="2877">$C$24*HCC24</f>
        <v>100000</v>
      </c>
      <c r="HCG24" s="906">
        <f t="shared" ref="HCG24" si="2878">$C$24*HCE24</f>
        <v>100000</v>
      </c>
      <c r="HCI24" s="906">
        <f t="shared" ref="HCI24" si="2879">$C$24*HCG24</f>
        <v>100000</v>
      </c>
      <c r="HCK24" s="906">
        <f t="shared" ref="HCK24" si="2880">$C$24*HCI24</f>
        <v>100000</v>
      </c>
      <c r="HCM24" s="906">
        <f t="shared" ref="HCM24" si="2881">$C$24*HCK24</f>
        <v>100000</v>
      </c>
      <c r="HCO24" s="906">
        <f t="shared" ref="HCO24" si="2882">$C$24*HCM24</f>
        <v>100000</v>
      </c>
      <c r="HCQ24" s="906">
        <f t="shared" ref="HCQ24" si="2883">$C$24*HCO24</f>
        <v>100000</v>
      </c>
      <c r="HCS24" s="906">
        <f t="shared" ref="HCS24" si="2884">$C$24*HCQ24</f>
        <v>100000</v>
      </c>
      <c r="HCU24" s="906">
        <f t="shared" ref="HCU24" si="2885">$C$24*HCS24</f>
        <v>100000</v>
      </c>
      <c r="HCW24" s="906">
        <f t="shared" ref="HCW24" si="2886">$C$24*HCU24</f>
        <v>100000</v>
      </c>
      <c r="HCY24" s="906">
        <f t="shared" ref="HCY24" si="2887">$C$24*HCW24</f>
        <v>100000</v>
      </c>
      <c r="HDA24" s="906">
        <f t="shared" ref="HDA24" si="2888">$C$24*HCY24</f>
        <v>100000</v>
      </c>
      <c r="HDC24" s="906">
        <f t="shared" ref="HDC24" si="2889">$C$24*HDA24</f>
        <v>100000</v>
      </c>
      <c r="HDE24" s="906">
        <f t="shared" ref="HDE24" si="2890">$C$24*HDC24</f>
        <v>100000</v>
      </c>
      <c r="HDG24" s="906">
        <f t="shared" ref="HDG24" si="2891">$C$24*HDE24</f>
        <v>100000</v>
      </c>
      <c r="HDI24" s="906">
        <f t="shared" ref="HDI24" si="2892">$C$24*HDG24</f>
        <v>100000</v>
      </c>
      <c r="HDK24" s="906">
        <f t="shared" ref="HDK24" si="2893">$C$24*HDI24</f>
        <v>100000</v>
      </c>
      <c r="HDM24" s="906">
        <f t="shared" ref="HDM24" si="2894">$C$24*HDK24</f>
        <v>100000</v>
      </c>
      <c r="HDO24" s="906">
        <f t="shared" ref="HDO24" si="2895">$C$24*HDM24</f>
        <v>100000</v>
      </c>
      <c r="HDQ24" s="906">
        <f t="shared" ref="HDQ24" si="2896">$C$24*HDO24</f>
        <v>100000</v>
      </c>
      <c r="HDS24" s="906">
        <f t="shared" ref="HDS24" si="2897">$C$24*HDQ24</f>
        <v>100000</v>
      </c>
      <c r="HDU24" s="906">
        <f t="shared" ref="HDU24" si="2898">$C$24*HDS24</f>
        <v>100000</v>
      </c>
      <c r="HDW24" s="906">
        <f t="shared" ref="HDW24" si="2899">$C$24*HDU24</f>
        <v>100000</v>
      </c>
      <c r="HDY24" s="906">
        <f t="shared" ref="HDY24" si="2900">$C$24*HDW24</f>
        <v>100000</v>
      </c>
      <c r="HEA24" s="906">
        <f t="shared" ref="HEA24" si="2901">$C$24*HDY24</f>
        <v>100000</v>
      </c>
      <c r="HEC24" s="906">
        <f t="shared" ref="HEC24" si="2902">$C$24*HEA24</f>
        <v>100000</v>
      </c>
      <c r="HEE24" s="906">
        <f t="shared" ref="HEE24" si="2903">$C$24*HEC24</f>
        <v>100000</v>
      </c>
      <c r="HEG24" s="906">
        <f t="shared" ref="HEG24" si="2904">$C$24*HEE24</f>
        <v>100000</v>
      </c>
      <c r="HEI24" s="906">
        <f t="shared" ref="HEI24" si="2905">$C$24*HEG24</f>
        <v>100000</v>
      </c>
      <c r="HEK24" s="906">
        <f t="shared" ref="HEK24" si="2906">$C$24*HEI24</f>
        <v>100000</v>
      </c>
      <c r="HEM24" s="906">
        <f t="shared" ref="HEM24" si="2907">$C$24*HEK24</f>
        <v>100000</v>
      </c>
      <c r="HEO24" s="906">
        <f t="shared" ref="HEO24" si="2908">$C$24*HEM24</f>
        <v>100000</v>
      </c>
      <c r="HEQ24" s="906">
        <f t="shared" ref="HEQ24" si="2909">$C$24*HEO24</f>
        <v>100000</v>
      </c>
      <c r="HES24" s="906">
        <f t="shared" ref="HES24" si="2910">$C$24*HEQ24</f>
        <v>100000</v>
      </c>
      <c r="HEU24" s="906">
        <f t="shared" ref="HEU24" si="2911">$C$24*HES24</f>
        <v>100000</v>
      </c>
      <c r="HEW24" s="906">
        <f t="shared" ref="HEW24" si="2912">$C$24*HEU24</f>
        <v>100000</v>
      </c>
      <c r="HEY24" s="906">
        <f t="shared" ref="HEY24" si="2913">$C$24*HEW24</f>
        <v>100000</v>
      </c>
      <c r="HFA24" s="906">
        <f t="shared" ref="HFA24" si="2914">$C$24*HEY24</f>
        <v>100000</v>
      </c>
      <c r="HFC24" s="906">
        <f t="shared" ref="HFC24" si="2915">$C$24*HFA24</f>
        <v>100000</v>
      </c>
      <c r="HFE24" s="906">
        <f t="shared" ref="HFE24" si="2916">$C$24*HFC24</f>
        <v>100000</v>
      </c>
      <c r="HFG24" s="906">
        <f t="shared" ref="HFG24" si="2917">$C$24*HFE24</f>
        <v>100000</v>
      </c>
      <c r="HFI24" s="906">
        <f t="shared" ref="HFI24" si="2918">$C$24*HFG24</f>
        <v>100000</v>
      </c>
      <c r="HFK24" s="906">
        <f t="shared" ref="HFK24" si="2919">$C$24*HFI24</f>
        <v>100000</v>
      </c>
      <c r="HFM24" s="906">
        <f t="shared" ref="HFM24" si="2920">$C$24*HFK24</f>
        <v>100000</v>
      </c>
      <c r="HFO24" s="906">
        <f t="shared" ref="HFO24" si="2921">$C$24*HFM24</f>
        <v>100000</v>
      </c>
      <c r="HFQ24" s="906">
        <f t="shared" ref="HFQ24" si="2922">$C$24*HFO24</f>
        <v>100000</v>
      </c>
      <c r="HFS24" s="906">
        <f t="shared" ref="HFS24" si="2923">$C$24*HFQ24</f>
        <v>100000</v>
      </c>
      <c r="HFU24" s="906">
        <f t="shared" ref="HFU24" si="2924">$C$24*HFS24</f>
        <v>100000</v>
      </c>
      <c r="HFW24" s="906">
        <f t="shared" ref="HFW24" si="2925">$C$24*HFU24</f>
        <v>100000</v>
      </c>
      <c r="HFY24" s="906">
        <f t="shared" ref="HFY24" si="2926">$C$24*HFW24</f>
        <v>100000</v>
      </c>
      <c r="HGA24" s="906">
        <f t="shared" ref="HGA24" si="2927">$C$24*HFY24</f>
        <v>100000</v>
      </c>
      <c r="HGC24" s="906">
        <f t="shared" ref="HGC24" si="2928">$C$24*HGA24</f>
        <v>100000</v>
      </c>
      <c r="HGE24" s="906">
        <f t="shared" ref="HGE24" si="2929">$C$24*HGC24</f>
        <v>100000</v>
      </c>
      <c r="HGG24" s="906">
        <f t="shared" ref="HGG24" si="2930">$C$24*HGE24</f>
        <v>100000</v>
      </c>
      <c r="HGI24" s="906">
        <f t="shared" ref="HGI24" si="2931">$C$24*HGG24</f>
        <v>100000</v>
      </c>
      <c r="HGK24" s="906">
        <f t="shared" ref="HGK24" si="2932">$C$24*HGI24</f>
        <v>100000</v>
      </c>
      <c r="HGM24" s="906">
        <f t="shared" ref="HGM24" si="2933">$C$24*HGK24</f>
        <v>100000</v>
      </c>
      <c r="HGO24" s="906">
        <f t="shared" ref="HGO24" si="2934">$C$24*HGM24</f>
        <v>100000</v>
      </c>
      <c r="HGQ24" s="906">
        <f t="shared" ref="HGQ24" si="2935">$C$24*HGO24</f>
        <v>100000</v>
      </c>
      <c r="HGS24" s="906">
        <f t="shared" ref="HGS24" si="2936">$C$24*HGQ24</f>
        <v>100000</v>
      </c>
      <c r="HGU24" s="906">
        <f t="shared" ref="HGU24" si="2937">$C$24*HGS24</f>
        <v>100000</v>
      </c>
      <c r="HGW24" s="906">
        <f t="shared" ref="HGW24" si="2938">$C$24*HGU24</f>
        <v>100000</v>
      </c>
      <c r="HGY24" s="906">
        <f t="shared" ref="HGY24" si="2939">$C$24*HGW24</f>
        <v>100000</v>
      </c>
      <c r="HHA24" s="906">
        <f t="shared" ref="HHA24" si="2940">$C$24*HGY24</f>
        <v>100000</v>
      </c>
      <c r="HHC24" s="906">
        <f t="shared" ref="HHC24" si="2941">$C$24*HHA24</f>
        <v>100000</v>
      </c>
      <c r="HHE24" s="906">
        <f t="shared" ref="HHE24" si="2942">$C$24*HHC24</f>
        <v>100000</v>
      </c>
      <c r="HHG24" s="906">
        <f t="shared" ref="HHG24" si="2943">$C$24*HHE24</f>
        <v>100000</v>
      </c>
      <c r="HHI24" s="906">
        <f t="shared" ref="HHI24" si="2944">$C$24*HHG24</f>
        <v>100000</v>
      </c>
      <c r="HHK24" s="906">
        <f t="shared" ref="HHK24" si="2945">$C$24*HHI24</f>
        <v>100000</v>
      </c>
      <c r="HHM24" s="906">
        <f t="shared" ref="HHM24" si="2946">$C$24*HHK24</f>
        <v>100000</v>
      </c>
      <c r="HHO24" s="906">
        <f t="shared" ref="HHO24" si="2947">$C$24*HHM24</f>
        <v>100000</v>
      </c>
      <c r="HHQ24" s="906">
        <f t="shared" ref="HHQ24" si="2948">$C$24*HHO24</f>
        <v>100000</v>
      </c>
      <c r="HHS24" s="906">
        <f t="shared" ref="HHS24" si="2949">$C$24*HHQ24</f>
        <v>100000</v>
      </c>
      <c r="HHU24" s="906">
        <f t="shared" ref="HHU24" si="2950">$C$24*HHS24</f>
        <v>100000</v>
      </c>
      <c r="HHW24" s="906">
        <f t="shared" ref="HHW24" si="2951">$C$24*HHU24</f>
        <v>100000</v>
      </c>
      <c r="HHY24" s="906">
        <f t="shared" ref="HHY24" si="2952">$C$24*HHW24</f>
        <v>100000</v>
      </c>
      <c r="HIA24" s="906">
        <f t="shared" ref="HIA24" si="2953">$C$24*HHY24</f>
        <v>100000</v>
      </c>
      <c r="HIC24" s="906">
        <f t="shared" ref="HIC24" si="2954">$C$24*HIA24</f>
        <v>100000</v>
      </c>
      <c r="HIE24" s="906">
        <f t="shared" ref="HIE24" si="2955">$C$24*HIC24</f>
        <v>100000</v>
      </c>
      <c r="HIG24" s="906">
        <f t="shared" ref="HIG24" si="2956">$C$24*HIE24</f>
        <v>100000</v>
      </c>
      <c r="HII24" s="906">
        <f t="shared" ref="HII24" si="2957">$C$24*HIG24</f>
        <v>100000</v>
      </c>
      <c r="HIK24" s="906">
        <f t="shared" ref="HIK24" si="2958">$C$24*HII24</f>
        <v>100000</v>
      </c>
      <c r="HIM24" s="906">
        <f t="shared" ref="HIM24" si="2959">$C$24*HIK24</f>
        <v>100000</v>
      </c>
      <c r="HIO24" s="906">
        <f t="shared" ref="HIO24" si="2960">$C$24*HIM24</f>
        <v>100000</v>
      </c>
      <c r="HIQ24" s="906">
        <f t="shared" ref="HIQ24" si="2961">$C$24*HIO24</f>
        <v>100000</v>
      </c>
      <c r="HIS24" s="906">
        <f t="shared" ref="HIS24" si="2962">$C$24*HIQ24</f>
        <v>100000</v>
      </c>
      <c r="HIU24" s="906">
        <f t="shared" ref="HIU24" si="2963">$C$24*HIS24</f>
        <v>100000</v>
      </c>
      <c r="HIW24" s="906">
        <f t="shared" ref="HIW24" si="2964">$C$24*HIU24</f>
        <v>100000</v>
      </c>
      <c r="HIY24" s="906">
        <f t="shared" ref="HIY24" si="2965">$C$24*HIW24</f>
        <v>100000</v>
      </c>
      <c r="HJA24" s="906">
        <f t="shared" ref="HJA24" si="2966">$C$24*HIY24</f>
        <v>100000</v>
      </c>
      <c r="HJC24" s="906">
        <f t="shared" ref="HJC24" si="2967">$C$24*HJA24</f>
        <v>100000</v>
      </c>
      <c r="HJE24" s="906">
        <f t="shared" ref="HJE24" si="2968">$C$24*HJC24</f>
        <v>100000</v>
      </c>
      <c r="HJG24" s="906">
        <f t="shared" ref="HJG24" si="2969">$C$24*HJE24</f>
        <v>100000</v>
      </c>
      <c r="HJI24" s="906">
        <f t="shared" ref="HJI24" si="2970">$C$24*HJG24</f>
        <v>100000</v>
      </c>
      <c r="HJK24" s="906">
        <f t="shared" ref="HJK24" si="2971">$C$24*HJI24</f>
        <v>100000</v>
      </c>
      <c r="HJM24" s="906">
        <f t="shared" ref="HJM24" si="2972">$C$24*HJK24</f>
        <v>100000</v>
      </c>
      <c r="HJO24" s="906">
        <f t="shared" ref="HJO24" si="2973">$C$24*HJM24</f>
        <v>100000</v>
      </c>
      <c r="HJQ24" s="906">
        <f t="shared" ref="HJQ24" si="2974">$C$24*HJO24</f>
        <v>100000</v>
      </c>
      <c r="HJS24" s="906">
        <f t="shared" ref="HJS24" si="2975">$C$24*HJQ24</f>
        <v>100000</v>
      </c>
      <c r="HJU24" s="906">
        <f t="shared" ref="HJU24" si="2976">$C$24*HJS24</f>
        <v>100000</v>
      </c>
      <c r="HJW24" s="906">
        <f t="shared" ref="HJW24" si="2977">$C$24*HJU24</f>
        <v>100000</v>
      </c>
      <c r="HJY24" s="906">
        <f t="shared" ref="HJY24" si="2978">$C$24*HJW24</f>
        <v>100000</v>
      </c>
      <c r="HKA24" s="906">
        <f t="shared" ref="HKA24" si="2979">$C$24*HJY24</f>
        <v>100000</v>
      </c>
      <c r="HKC24" s="906">
        <f t="shared" ref="HKC24" si="2980">$C$24*HKA24</f>
        <v>100000</v>
      </c>
      <c r="HKE24" s="906">
        <f t="shared" ref="HKE24" si="2981">$C$24*HKC24</f>
        <v>100000</v>
      </c>
      <c r="HKG24" s="906">
        <f t="shared" ref="HKG24" si="2982">$C$24*HKE24</f>
        <v>100000</v>
      </c>
      <c r="HKI24" s="906">
        <f t="shared" ref="HKI24" si="2983">$C$24*HKG24</f>
        <v>100000</v>
      </c>
      <c r="HKK24" s="906">
        <f t="shared" ref="HKK24" si="2984">$C$24*HKI24</f>
        <v>100000</v>
      </c>
      <c r="HKM24" s="906">
        <f t="shared" ref="HKM24" si="2985">$C$24*HKK24</f>
        <v>100000</v>
      </c>
      <c r="HKO24" s="906">
        <f t="shared" ref="HKO24" si="2986">$C$24*HKM24</f>
        <v>100000</v>
      </c>
      <c r="HKQ24" s="906">
        <f t="shared" ref="HKQ24" si="2987">$C$24*HKO24</f>
        <v>100000</v>
      </c>
      <c r="HKS24" s="906">
        <f t="shared" ref="HKS24" si="2988">$C$24*HKQ24</f>
        <v>100000</v>
      </c>
      <c r="HKU24" s="906">
        <f t="shared" ref="HKU24" si="2989">$C$24*HKS24</f>
        <v>100000</v>
      </c>
      <c r="HKW24" s="906">
        <f t="shared" ref="HKW24" si="2990">$C$24*HKU24</f>
        <v>100000</v>
      </c>
      <c r="HKY24" s="906">
        <f t="shared" ref="HKY24" si="2991">$C$24*HKW24</f>
        <v>100000</v>
      </c>
      <c r="HLA24" s="906">
        <f t="shared" ref="HLA24" si="2992">$C$24*HKY24</f>
        <v>100000</v>
      </c>
      <c r="HLC24" s="906">
        <f t="shared" ref="HLC24" si="2993">$C$24*HLA24</f>
        <v>100000</v>
      </c>
      <c r="HLE24" s="906">
        <f t="shared" ref="HLE24" si="2994">$C$24*HLC24</f>
        <v>100000</v>
      </c>
      <c r="HLG24" s="906">
        <f t="shared" ref="HLG24" si="2995">$C$24*HLE24</f>
        <v>100000</v>
      </c>
      <c r="HLI24" s="906">
        <f t="shared" ref="HLI24" si="2996">$C$24*HLG24</f>
        <v>100000</v>
      </c>
      <c r="HLK24" s="906">
        <f t="shared" ref="HLK24" si="2997">$C$24*HLI24</f>
        <v>100000</v>
      </c>
      <c r="HLM24" s="906">
        <f t="shared" ref="HLM24" si="2998">$C$24*HLK24</f>
        <v>100000</v>
      </c>
      <c r="HLO24" s="906">
        <f t="shared" ref="HLO24" si="2999">$C$24*HLM24</f>
        <v>100000</v>
      </c>
      <c r="HLQ24" s="906">
        <f t="shared" ref="HLQ24" si="3000">$C$24*HLO24</f>
        <v>100000</v>
      </c>
      <c r="HLS24" s="906">
        <f t="shared" ref="HLS24" si="3001">$C$24*HLQ24</f>
        <v>100000</v>
      </c>
      <c r="HLU24" s="906">
        <f t="shared" ref="HLU24" si="3002">$C$24*HLS24</f>
        <v>100000</v>
      </c>
      <c r="HLW24" s="906">
        <f t="shared" ref="HLW24" si="3003">$C$24*HLU24</f>
        <v>100000</v>
      </c>
      <c r="HLY24" s="906">
        <f t="shared" ref="HLY24" si="3004">$C$24*HLW24</f>
        <v>100000</v>
      </c>
      <c r="HMA24" s="906">
        <f t="shared" ref="HMA24" si="3005">$C$24*HLY24</f>
        <v>100000</v>
      </c>
      <c r="HMC24" s="906">
        <f t="shared" ref="HMC24" si="3006">$C$24*HMA24</f>
        <v>100000</v>
      </c>
      <c r="HME24" s="906">
        <f t="shared" ref="HME24" si="3007">$C$24*HMC24</f>
        <v>100000</v>
      </c>
      <c r="HMG24" s="906">
        <f t="shared" ref="HMG24" si="3008">$C$24*HME24</f>
        <v>100000</v>
      </c>
      <c r="HMI24" s="906">
        <f t="shared" ref="HMI24" si="3009">$C$24*HMG24</f>
        <v>100000</v>
      </c>
      <c r="HMK24" s="906">
        <f t="shared" ref="HMK24" si="3010">$C$24*HMI24</f>
        <v>100000</v>
      </c>
      <c r="HMM24" s="906">
        <f t="shared" ref="HMM24" si="3011">$C$24*HMK24</f>
        <v>100000</v>
      </c>
      <c r="HMO24" s="906">
        <f t="shared" ref="HMO24" si="3012">$C$24*HMM24</f>
        <v>100000</v>
      </c>
      <c r="HMQ24" s="906">
        <f t="shared" ref="HMQ24" si="3013">$C$24*HMO24</f>
        <v>100000</v>
      </c>
      <c r="HMS24" s="906">
        <f t="shared" ref="HMS24" si="3014">$C$24*HMQ24</f>
        <v>100000</v>
      </c>
      <c r="HMU24" s="906">
        <f t="shared" ref="HMU24" si="3015">$C$24*HMS24</f>
        <v>100000</v>
      </c>
      <c r="HMW24" s="906">
        <f t="shared" ref="HMW24" si="3016">$C$24*HMU24</f>
        <v>100000</v>
      </c>
      <c r="HMY24" s="906">
        <f t="shared" ref="HMY24" si="3017">$C$24*HMW24</f>
        <v>100000</v>
      </c>
      <c r="HNA24" s="906">
        <f t="shared" ref="HNA24" si="3018">$C$24*HMY24</f>
        <v>100000</v>
      </c>
      <c r="HNC24" s="906">
        <f t="shared" ref="HNC24" si="3019">$C$24*HNA24</f>
        <v>100000</v>
      </c>
      <c r="HNE24" s="906">
        <f t="shared" ref="HNE24" si="3020">$C$24*HNC24</f>
        <v>100000</v>
      </c>
      <c r="HNG24" s="906">
        <f t="shared" ref="HNG24" si="3021">$C$24*HNE24</f>
        <v>100000</v>
      </c>
      <c r="HNI24" s="906">
        <f t="shared" ref="HNI24" si="3022">$C$24*HNG24</f>
        <v>100000</v>
      </c>
      <c r="HNK24" s="906">
        <f t="shared" ref="HNK24" si="3023">$C$24*HNI24</f>
        <v>100000</v>
      </c>
      <c r="HNM24" s="906">
        <f t="shared" ref="HNM24" si="3024">$C$24*HNK24</f>
        <v>100000</v>
      </c>
      <c r="HNO24" s="906">
        <f t="shared" ref="HNO24" si="3025">$C$24*HNM24</f>
        <v>100000</v>
      </c>
      <c r="HNQ24" s="906">
        <f t="shared" ref="HNQ24" si="3026">$C$24*HNO24</f>
        <v>100000</v>
      </c>
      <c r="HNS24" s="906">
        <f t="shared" ref="HNS24" si="3027">$C$24*HNQ24</f>
        <v>100000</v>
      </c>
      <c r="HNU24" s="906">
        <f t="shared" ref="HNU24" si="3028">$C$24*HNS24</f>
        <v>100000</v>
      </c>
      <c r="HNW24" s="906">
        <f t="shared" ref="HNW24" si="3029">$C$24*HNU24</f>
        <v>100000</v>
      </c>
      <c r="HNY24" s="906">
        <f t="shared" ref="HNY24" si="3030">$C$24*HNW24</f>
        <v>100000</v>
      </c>
      <c r="HOA24" s="906">
        <f t="shared" ref="HOA24" si="3031">$C$24*HNY24</f>
        <v>100000</v>
      </c>
      <c r="HOC24" s="906">
        <f t="shared" ref="HOC24" si="3032">$C$24*HOA24</f>
        <v>100000</v>
      </c>
      <c r="HOE24" s="906">
        <f t="shared" ref="HOE24" si="3033">$C$24*HOC24</f>
        <v>100000</v>
      </c>
      <c r="HOG24" s="906">
        <f t="shared" ref="HOG24" si="3034">$C$24*HOE24</f>
        <v>100000</v>
      </c>
      <c r="HOI24" s="906">
        <f t="shared" ref="HOI24" si="3035">$C$24*HOG24</f>
        <v>100000</v>
      </c>
      <c r="HOK24" s="906">
        <f t="shared" ref="HOK24" si="3036">$C$24*HOI24</f>
        <v>100000</v>
      </c>
      <c r="HOM24" s="906">
        <f t="shared" ref="HOM24" si="3037">$C$24*HOK24</f>
        <v>100000</v>
      </c>
      <c r="HOO24" s="906">
        <f t="shared" ref="HOO24" si="3038">$C$24*HOM24</f>
        <v>100000</v>
      </c>
      <c r="HOQ24" s="906">
        <f t="shared" ref="HOQ24" si="3039">$C$24*HOO24</f>
        <v>100000</v>
      </c>
      <c r="HOS24" s="906">
        <f t="shared" ref="HOS24" si="3040">$C$24*HOQ24</f>
        <v>100000</v>
      </c>
      <c r="HOU24" s="906">
        <f t="shared" ref="HOU24" si="3041">$C$24*HOS24</f>
        <v>100000</v>
      </c>
      <c r="HOW24" s="906">
        <f t="shared" ref="HOW24" si="3042">$C$24*HOU24</f>
        <v>100000</v>
      </c>
      <c r="HOY24" s="906">
        <f t="shared" ref="HOY24" si="3043">$C$24*HOW24</f>
        <v>100000</v>
      </c>
      <c r="HPA24" s="906">
        <f t="shared" ref="HPA24" si="3044">$C$24*HOY24</f>
        <v>100000</v>
      </c>
      <c r="HPC24" s="906">
        <f t="shared" ref="HPC24" si="3045">$C$24*HPA24</f>
        <v>100000</v>
      </c>
      <c r="HPE24" s="906">
        <f t="shared" ref="HPE24" si="3046">$C$24*HPC24</f>
        <v>100000</v>
      </c>
      <c r="HPG24" s="906">
        <f t="shared" ref="HPG24" si="3047">$C$24*HPE24</f>
        <v>100000</v>
      </c>
      <c r="HPI24" s="906">
        <f t="shared" ref="HPI24" si="3048">$C$24*HPG24</f>
        <v>100000</v>
      </c>
      <c r="HPK24" s="906">
        <f t="shared" ref="HPK24" si="3049">$C$24*HPI24</f>
        <v>100000</v>
      </c>
      <c r="HPM24" s="906">
        <f t="shared" ref="HPM24" si="3050">$C$24*HPK24</f>
        <v>100000</v>
      </c>
      <c r="HPO24" s="906">
        <f t="shared" ref="HPO24" si="3051">$C$24*HPM24</f>
        <v>100000</v>
      </c>
      <c r="HPQ24" s="906">
        <f t="shared" ref="HPQ24" si="3052">$C$24*HPO24</f>
        <v>100000</v>
      </c>
      <c r="HPS24" s="906">
        <f t="shared" ref="HPS24" si="3053">$C$24*HPQ24</f>
        <v>100000</v>
      </c>
      <c r="HPU24" s="906">
        <f t="shared" ref="HPU24" si="3054">$C$24*HPS24</f>
        <v>100000</v>
      </c>
      <c r="HPW24" s="906">
        <f t="shared" ref="HPW24" si="3055">$C$24*HPU24</f>
        <v>100000</v>
      </c>
      <c r="HPY24" s="906">
        <f t="shared" ref="HPY24" si="3056">$C$24*HPW24</f>
        <v>100000</v>
      </c>
      <c r="HQA24" s="906">
        <f t="shared" ref="HQA24" si="3057">$C$24*HPY24</f>
        <v>100000</v>
      </c>
      <c r="HQC24" s="906">
        <f t="shared" ref="HQC24" si="3058">$C$24*HQA24</f>
        <v>100000</v>
      </c>
      <c r="HQE24" s="906">
        <f t="shared" ref="HQE24" si="3059">$C$24*HQC24</f>
        <v>100000</v>
      </c>
      <c r="HQG24" s="906">
        <f t="shared" ref="HQG24" si="3060">$C$24*HQE24</f>
        <v>100000</v>
      </c>
      <c r="HQI24" s="906">
        <f t="shared" ref="HQI24" si="3061">$C$24*HQG24</f>
        <v>100000</v>
      </c>
      <c r="HQK24" s="906">
        <f t="shared" ref="HQK24" si="3062">$C$24*HQI24</f>
        <v>100000</v>
      </c>
      <c r="HQM24" s="906">
        <f t="shared" ref="HQM24" si="3063">$C$24*HQK24</f>
        <v>100000</v>
      </c>
      <c r="HQO24" s="906">
        <f t="shared" ref="HQO24" si="3064">$C$24*HQM24</f>
        <v>100000</v>
      </c>
      <c r="HQQ24" s="906">
        <f t="shared" ref="HQQ24" si="3065">$C$24*HQO24</f>
        <v>100000</v>
      </c>
      <c r="HQS24" s="906">
        <f t="shared" ref="HQS24" si="3066">$C$24*HQQ24</f>
        <v>100000</v>
      </c>
      <c r="HQU24" s="906">
        <f t="shared" ref="HQU24" si="3067">$C$24*HQS24</f>
        <v>100000</v>
      </c>
      <c r="HQW24" s="906">
        <f t="shared" ref="HQW24" si="3068">$C$24*HQU24</f>
        <v>100000</v>
      </c>
      <c r="HQY24" s="906">
        <f t="shared" ref="HQY24" si="3069">$C$24*HQW24</f>
        <v>100000</v>
      </c>
      <c r="HRA24" s="906">
        <f t="shared" ref="HRA24" si="3070">$C$24*HQY24</f>
        <v>100000</v>
      </c>
      <c r="HRC24" s="906">
        <f t="shared" ref="HRC24" si="3071">$C$24*HRA24</f>
        <v>100000</v>
      </c>
      <c r="HRE24" s="906">
        <f t="shared" ref="HRE24" si="3072">$C$24*HRC24</f>
        <v>100000</v>
      </c>
      <c r="HRG24" s="906">
        <f t="shared" ref="HRG24" si="3073">$C$24*HRE24</f>
        <v>100000</v>
      </c>
      <c r="HRI24" s="906">
        <f t="shared" ref="HRI24" si="3074">$C$24*HRG24</f>
        <v>100000</v>
      </c>
      <c r="HRK24" s="906">
        <f t="shared" ref="HRK24" si="3075">$C$24*HRI24</f>
        <v>100000</v>
      </c>
      <c r="HRM24" s="906">
        <f t="shared" ref="HRM24" si="3076">$C$24*HRK24</f>
        <v>100000</v>
      </c>
      <c r="HRO24" s="906">
        <f t="shared" ref="HRO24" si="3077">$C$24*HRM24</f>
        <v>100000</v>
      </c>
      <c r="HRQ24" s="906">
        <f t="shared" ref="HRQ24" si="3078">$C$24*HRO24</f>
        <v>100000</v>
      </c>
      <c r="HRS24" s="906">
        <f t="shared" ref="HRS24" si="3079">$C$24*HRQ24</f>
        <v>100000</v>
      </c>
      <c r="HRU24" s="906">
        <f t="shared" ref="HRU24" si="3080">$C$24*HRS24</f>
        <v>100000</v>
      </c>
      <c r="HRW24" s="906">
        <f t="shared" ref="HRW24" si="3081">$C$24*HRU24</f>
        <v>100000</v>
      </c>
      <c r="HRY24" s="906">
        <f t="shared" ref="HRY24" si="3082">$C$24*HRW24</f>
        <v>100000</v>
      </c>
      <c r="HSA24" s="906">
        <f t="shared" ref="HSA24" si="3083">$C$24*HRY24</f>
        <v>100000</v>
      </c>
      <c r="HSC24" s="906">
        <f t="shared" ref="HSC24" si="3084">$C$24*HSA24</f>
        <v>100000</v>
      </c>
      <c r="HSE24" s="906">
        <f t="shared" ref="HSE24" si="3085">$C$24*HSC24</f>
        <v>100000</v>
      </c>
      <c r="HSG24" s="906">
        <f t="shared" ref="HSG24" si="3086">$C$24*HSE24</f>
        <v>100000</v>
      </c>
      <c r="HSI24" s="906">
        <f t="shared" ref="HSI24" si="3087">$C$24*HSG24</f>
        <v>100000</v>
      </c>
      <c r="HSK24" s="906">
        <f t="shared" ref="HSK24" si="3088">$C$24*HSI24</f>
        <v>100000</v>
      </c>
      <c r="HSM24" s="906">
        <f t="shared" ref="HSM24" si="3089">$C$24*HSK24</f>
        <v>100000</v>
      </c>
      <c r="HSO24" s="906">
        <f t="shared" ref="HSO24" si="3090">$C$24*HSM24</f>
        <v>100000</v>
      </c>
      <c r="HSQ24" s="906">
        <f t="shared" ref="HSQ24" si="3091">$C$24*HSO24</f>
        <v>100000</v>
      </c>
      <c r="HSS24" s="906">
        <f t="shared" ref="HSS24" si="3092">$C$24*HSQ24</f>
        <v>100000</v>
      </c>
      <c r="HSU24" s="906">
        <f t="shared" ref="HSU24" si="3093">$C$24*HSS24</f>
        <v>100000</v>
      </c>
      <c r="HSW24" s="906">
        <f t="shared" ref="HSW24" si="3094">$C$24*HSU24</f>
        <v>100000</v>
      </c>
      <c r="HSY24" s="906">
        <f t="shared" ref="HSY24" si="3095">$C$24*HSW24</f>
        <v>100000</v>
      </c>
      <c r="HTA24" s="906">
        <f t="shared" ref="HTA24" si="3096">$C$24*HSY24</f>
        <v>100000</v>
      </c>
      <c r="HTC24" s="906">
        <f t="shared" ref="HTC24" si="3097">$C$24*HTA24</f>
        <v>100000</v>
      </c>
      <c r="HTE24" s="906">
        <f t="shared" ref="HTE24" si="3098">$C$24*HTC24</f>
        <v>100000</v>
      </c>
      <c r="HTG24" s="906">
        <f t="shared" ref="HTG24" si="3099">$C$24*HTE24</f>
        <v>100000</v>
      </c>
      <c r="HTI24" s="906">
        <f t="shared" ref="HTI24" si="3100">$C$24*HTG24</f>
        <v>100000</v>
      </c>
      <c r="HTK24" s="906">
        <f t="shared" ref="HTK24" si="3101">$C$24*HTI24</f>
        <v>100000</v>
      </c>
      <c r="HTM24" s="906">
        <f t="shared" ref="HTM24" si="3102">$C$24*HTK24</f>
        <v>100000</v>
      </c>
      <c r="HTO24" s="906">
        <f t="shared" ref="HTO24" si="3103">$C$24*HTM24</f>
        <v>100000</v>
      </c>
      <c r="HTQ24" s="906">
        <f t="shared" ref="HTQ24" si="3104">$C$24*HTO24</f>
        <v>100000</v>
      </c>
      <c r="HTS24" s="906">
        <f t="shared" ref="HTS24" si="3105">$C$24*HTQ24</f>
        <v>100000</v>
      </c>
      <c r="HTU24" s="906">
        <f t="shared" ref="HTU24" si="3106">$C$24*HTS24</f>
        <v>100000</v>
      </c>
      <c r="HTW24" s="906">
        <f t="shared" ref="HTW24" si="3107">$C$24*HTU24</f>
        <v>100000</v>
      </c>
      <c r="HTY24" s="906">
        <f t="shared" ref="HTY24" si="3108">$C$24*HTW24</f>
        <v>100000</v>
      </c>
      <c r="HUA24" s="906">
        <f t="shared" ref="HUA24" si="3109">$C$24*HTY24</f>
        <v>100000</v>
      </c>
      <c r="HUC24" s="906">
        <f t="shared" ref="HUC24" si="3110">$C$24*HUA24</f>
        <v>100000</v>
      </c>
      <c r="HUE24" s="906">
        <f t="shared" ref="HUE24" si="3111">$C$24*HUC24</f>
        <v>100000</v>
      </c>
      <c r="HUG24" s="906">
        <f t="shared" ref="HUG24" si="3112">$C$24*HUE24</f>
        <v>100000</v>
      </c>
      <c r="HUI24" s="906">
        <f t="shared" ref="HUI24" si="3113">$C$24*HUG24</f>
        <v>100000</v>
      </c>
      <c r="HUK24" s="906">
        <f t="shared" ref="HUK24" si="3114">$C$24*HUI24</f>
        <v>100000</v>
      </c>
      <c r="HUM24" s="906">
        <f t="shared" ref="HUM24" si="3115">$C$24*HUK24</f>
        <v>100000</v>
      </c>
      <c r="HUO24" s="906">
        <f t="shared" ref="HUO24" si="3116">$C$24*HUM24</f>
        <v>100000</v>
      </c>
      <c r="HUQ24" s="906">
        <f t="shared" ref="HUQ24" si="3117">$C$24*HUO24</f>
        <v>100000</v>
      </c>
      <c r="HUS24" s="906">
        <f t="shared" ref="HUS24" si="3118">$C$24*HUQ24</f>
        <v>100000</v>
      </c>
      <c r="HUU24" s="906">
        <f t="shared" ref="HUU24" si="3119">$C$24*HUS24</f>
        <v>100000</v>
      </c>
      <c r="HUW24" s="906">
        <f t="shared" ref="HUW24" si="3120">$C$24*HUU24</f>
        <v>100000</v>
      </c>
      <c r="HUY24" s="906">
        <f t="shared" ref="HUY24" si="3121">$C$24*HUW24</f>
        <v>100000</v>
      </c>
      <c r="HVA24" s="906">
        <f t="shared" ref="HVA24" si="3122">$C$24*HUY24</f>
        <v>100000</v>
      </c>
      <c r="HVC24" s="906">
        <f t="shared" ref="HVC24" si="3123">$C$24*HVA24</f>
        <v>100000</v>
      </c>
      <c r="HVE24" s="906">
        <f t="shared" ref="HVE24" si="3124">$C$24*HVC24</f>
        <v>100000</v>
      </c>
      <c r="HVG24" s="906">
        <f t="shared" ref="HVG24" si="3125">$C$24*HVE24</f>
        <v>100000</v>
      </c>
      <c r="HVI24" s="906">
        <f t="shared" ref="HVI24" si="3126">$C$24*HVG24</f>
        <v>100000</v>
      </c>
      <c r="HVK24" s="906">
        <f t="shared" ref="HVK24" si="3127">$C$24*HVI24</f>
        <v>100000</v>
      </c>
      <c r="HVM24" s="906">
        <f t="shared" ref="HVM24" si="3128">$C$24*HVK24</f>
        <v>100000</v>
      </c>
      <c r="HVO24" s="906">
        <f t="shared" ref="HVO24" si="3129">$C$24*HVM24</f>
        <v>100000</v>
      </c>
      <c r="HVQ24" s="906">
        <f t="shared" ref="HVQ24" si="3130">$C$24*HVO24</f>
        <v>100000</v>
      </c>
      <c r="HVS24" s="906">
        <f t="shared" ref="HVS24" si="3131">$C$24*HVQ24</f>
        <v>100000</v>
      </c>
      <c r="HVU24" s="906">
        <f t="shared" ref="HVU24" si="3132">$C$24*HVS24</f>
        <v>100000</v>
      </c>
      <c r="HVW24" s="906">
        <f t="shared" ref="HVW24" si="3133">$C$24*HVU24</f>
        <v>100000</v>
      </c>
      <c r="HVY24" s="906">
        <f t="shared" ref="HVY24" si="3134">$C$24*HVW24</f>
        <v>100000</v>
      </c>
      <c r="HWA24" s="906">
        <f t="shared" ref="HWA24" si="3135">$C$24*HVY24</f>
        <v>100000</v>
      </c>
      <c r="HWC24" s="906">
        <f t="shared" ref="HWC24" si="3136">$C$24*HWA24</f>
        <v>100000</v>
      </c>
      <c r="HWE24" s="906">
        <f t="shared" ref="HWE24" si="3137">$C$24*HWC24</f>
        <v>100000</v>
      </c>
      <c r="HWG24" s="906">
        <f t="shared" ref="HWG24" si="3138">$C$24*HWE24</f>
        <v>100000</v>
      </c>
      <c r="HWI24" s="906">
        <f t="shared" ref="HWI24" si="3139">$C$24*HWG24</f>
        <v>100000</v>
      </c>
      <c r="HWK24" s="906">
        <f t="shared" ref="HWK24" si="3140">$C$24*HWI24</f>
        <v>100000</v>
      </c>
      <c r="HWM24" s="906">
        <f t="shared" ref="HWM24" si="3141">$C$24*HWK24</f>
        <v>100000</v>
      </c>
      <c r="HWO24" s="906">
        <f t="shared" ref="HWO24" si="3142">$C$24*HWM24</f>
        <v>100000</v>
      </c>
      <c r="HWQ24" s="906">
        <f t="shared" ref="HWQ24" si="3143">$C$24*HWO24</f>
        <v>100000</v>
      </c>
      <c r="HWS24" s="906">
        <f t="shared" ref="HWS24" si="3144">$C$24*HWQ24</f>
        <v>100000</v>
      </c>
      <c r="HWU24" s="906">
        <f t="shared" ref="HWU24" si="3145">$C$24*HWS24</f>
        <v>100000</v>
      </c>
      <c r="HWW24" s="906">
        <f t="shared" ref="HWW24" si="3146">$C$24*HWU24</f>
        <v>100000</v>
      </c>
      <c r="HWY24" s="906">
        <f t="shared" ref="HWY24" si="3147">$C$24*HWW24</f>
        <v>100000</v>
      </c>
      <c r="HXA24" s="906">
        <f t="shared" ref="HXA24" si="3148">$C$24*HWY24</f>
        <v>100000</v>
      </c>
      <c r="HXC24" s="906">
        <f t="shared" ref="HXC24" si="3149">$C$24*HXA24</f>
        <v>100000</v>
      </c>
      <c r="HXE24" s="906">
        <f t="shared" ref="HXE24" si="3150">$C$24*HXC24</f>
        <v>100000</v>
      </c>
      <c r="HXG24" s="906">
        <f t="shared" ref="HXG24" si="3151">$C$24*HXE24</f>
        <v>100000</v>
      </c>
      <c r="HXI24" s="906">
        <f t="shared" ref="HXI24" si="3152">$C$24*HXG24</f>
        <v>100000</v>
      </c>
      <c r="HXK24" s="906">
        <f t="shared" ref="HXK24" si="3153">$C$24*HXI24</f>
        <v>100000</v>
      </c>
      <c r="HXM24" s="906">
        <f t="shared" ref="HXM24" si="3154">$C$24*HXK24</f>
        <v>100000</v>
      </c>
      <c r="HXO24" s="906">
        <f t="shared" ref="HXO24" si="3155">$C$24*HXM24</f>
        <v>100000</v>
      </c>
      <c r="HXQ24" s="906">
        <f t="shared" ref="HXQ24" si="3156">$C$24*HXO24</f>
        <v>100000</v>
      </c>
      <c r="HXS24" s="906">
        <f t="shared" ref="HXS24" si="3157">$C$24*HXQ24</f>
        <v>100000</v>
      </c>
      <c r="HXU24" s="906">
        <f t="shared" ref="HXU24" si="3158">$C$24*HXS24</f>
        <v>100000</v>
      </c>
      <c r="HXW24" s="906">
        <f t="shared" ref="HXW24" si="3159">$C$24*HXU24</f>
        <v>100000</v>
      </c>
      <c r="HXY24" s="906">
        <f t="shared" ref="HXY24" si="3160">$C$24*HXW24</f>
        <v>100000</v>
      </c>
      <c r="HYA24" s="906">
        <f t="shared" ref="HYA24" si="3161">$C$24*HXY24</f>
        <v>100000</v>
      </c>
      <c r="HYC24" s="906">
        <f t="shared" ref="HYC24" si="3162">$C$24*HYA24</f>
        <v>100000</v>
      </c>
      <c r="HYE24" s="906">
        <f t="shared" ref="HYE24" si="3163">$C$24*HYC24</f>
        <v>100000</v>
      </c>
      <c r="HYG24" s="906">
        <f t="shared" ref="HYG24" si="3164">$C$24*HYE24</f>
        <v>100000</v>
      </c>
      <c r="HYI24" s="906">
        <f t="shared" ref="HYI24" si="3165">$C$24*HYG24</f>
        <v>100000</v>
      </c>
      <c r="HYK24" s="906">
        <f t="shared" ref="HYK24" si="3166">$C$24*HYI24</f>
        <v>100000</v>
      </c>
      <c r="HYM24" s="906">
        <f t="shared" ref="HYM24" si="3167">$C$24*HYK24</f>
        <v>100000</v>
      </c>
      <c r="HYO24" s="906">
        <f t="shared" ref="HYO24" si="3168">$C$24*HYM24</f>
        <v>100000</v>
      </c>
      <c r="HYQ24" s="906">
        <f t="shared" ref="HYQ24" si="3169">$C$24*HYO24</f>
        <v>100000</v>
      </c>
      <c r="HYS24" s="906">
        <f t="shared" ref="HYS24" si="3170">$C$24*HYQ24</f>
        <v>100000</v>
      </c>
      <c r="HYU24" s="906">
        <f t="shared" ref="HYU24" si="3171">$C$24*HYS24</f>
        <v>100000</v>
      </c>
      <c r="HYW24" s="906">
        <f t="shared" ref="HYW24" si="3172">$C$24*HYU24</f>
        <v>100000</v>
      </c>
      <c r="HYY24" s="906">
        <f t="shared" ref="HYY24" si="3173">$C$24*HYW24</f>
        <v>100000</v>
      </c>
      <c r="HZA24" s="906">
        <f t="shared" ref="HZA24" si="3174">$C$24*HYY24</f>
        <v>100000</v>
      </c>
      <c r="HZC24" s="906">
        <f t="shared" ref="HZC24" si="3175">$C$24*HZA24</f>
        <v>100000</v>
      </c>
      <c r="HZE24" s="906">
        <f t="shared" ref="HZE24" si="3176">$C$24*HZC24</f>
        <v>100000</v>
      </c>
      <c r="HZG24" s="906">
        <f t="shared" ref="HZG24" si="3177">$C$24*HZE24</f>
        <v>100000</v>
      </c>
      <c r="HZI24" s="906">
        <f t="shared" ref="HZI24" si="3178">$C$24*HZG24</f>
        <v>100000</v>
      </c>
      <c r="HZK24" s="906">
        <f t="shared" ref="HZK24" si="3179">$C$24*HZI24</f>
        <v>100000</v>
      </c>
      <c r="HZM24" s="906">
        <f t="shared" ref="HZM24" si="3180">$C$24*HZK24</f>
        <v>100000</v>
      </c>
      <c r="HZO24" s="906">
        <f t="shared" ref="HZO24" si="3181">$C$24*HZM24</f>
        <v>100000</v>
      </c>
      <c r="HZQ24" s="906">
        <f t="shared" ref="HZQ24" si="3182">$C$24*HZO24</f>
        <v>100000</v>
      </c>
      <c r="HZS24" s="906">
        <f t="shared" ref="HZS24" si="3183">$C$24*HZQ24</f>
        <v>100000</v>
      </c>
      <c r="HZU24" s="906">
        <f t="shared" ref="HZU24" si="3184">$C$24*HZS24</f>
        <v>100000</v>
      </c>
      <c r="HZW24" s="906">
        <f t="shared" ref="HZW24" si="3185">$C$24*HZU24</f>
        <v>100000</v>
      </c>
      <c r="HZY24" s="906">
        <f t="shared" ref="HZY24" si="3186">$C$24*HZW24</f>
        <v>100000</v>
      </c>
      <c r="IAA24" s="906">
        <f t="shared" ref="IAA24" si="3187">$C$24*HZY24</f>
        <v>100000</v>
      </c>
      <c r="IAC24" s="906">
        <f t="shared" ref="IAC24" si="3188">$C$24*IAA24</f>
        <v>100000</v>
      </c>
      <c r="IAE24" s="906">
        <f t="shared" ref="IAE24" si="3189">$C$24*IAC24</f>
        <v>100000</v>
      </c>
      <c r="IAG24" s="906">
        <f t="shared" ref="IAG24" si="3190">$C$24*IAE24</f>
        <v>100000</v>
      </c>
      <c r="IAI24" s="906">
        <f t="shared" ref="IAI24" si="3191">$C$24*IAG24</f>
        <v>100000</v>
      </c>
      <c r="IAK24" s="906">
        <f t="shared" ref="IAK24" si="3192">$C$24*IAI24</f>
        <v>100000</v>
      </c>
      <c r="IAM24" s="906">
        <f t="shared" ref="IAM24" si="3193">$C$24*IAK24</f>
        <v>100000</v>
      </c>
      <c r="IAO24" s="906">
        <f t="shared" ref="IAO24" si="3194">$C$24*IAM24</f>
        <v>100000</v>
      </c>
      <c r="IAQ24" s="906">
        <f t="shared" ref="IAQ24" si="3195">$C$24*IAO24</f>
        <v>100000</v>
      </c>
      <c r="IAS24" s="906">
        <f t="shared" ref="IAS24" si="3196">$C$24*IAQ24</f>
        <v>100000</v>
      </c>
      <c r="IAU24" s="906">
        <f t="shared" ref="IAU24" si="3197">$C$24*IAS24</f>
        <v>100000</v>
      </c>
      <c r="IAW24" s="906">
        <f t="shared" ref="IAW24" si="3198">$C$24*IAU24</f>
        <v>100000</v>
      </c>
      <c r="IAY24" s="906">
        <f t="shared" ref="IAY24" si="3199">$C$24*IAW24</f>
        <v>100000</v>
      </c>
      <c r="IBA24" s="906">
        <f t="shared" ref="IBA24" si="3200">$C$24*IAY24</f>
        <v>100000</v>
      </c>
      <c r="IBC24" s="906">
        <f t="shared" ref="IBC24" si="3201">$C$24*IBA24</f>
        <v>100000</v>
      </c>
      <c r="IBE24" s="906">
        <f t="shared" ref="IBE24" si="3202">$C$24*IBC24</f>
        <v>100000</v>
      </c>
      <c r="IBG24" s="906">
        <f t="shared" ref="IBG24" si="3203">$C$24*IBE24</f>
        <v>100000</v>
      </c>
      <c r="IBI24" s="906">
        <f t="shared" ref="IBI24" si="3204">$C$24*IBG24</f>
        <v>100000</v>
      </c>
      <c r="IBK24" s="906">
        <f t="shared" ref="IBK24" si="3205">$C$24*IBI24</f>
        <v>100000</v>
      </c>
      <c r="IBM24" s="906">
        <f t="shared" ref="IBM24" si="3206">$C$24*IBK24</f>
        <v>100000</v>
      </c>
      <c r="IBO24" s="906">
        <f t="shared" ref="IBO24" si="3207">$C$24*IBM24</f>
        <v>100000</v>
      </c>
      <c r="IBQ24" s="906">
        <f t="shared" ref="IBQ24" si="3208">$C$24*IBO24</f>
        <v>100000</v>
      </c>
      <c r="IBS24" s="906">
        <f t="shared" ref="IBS24" si="3209">$C$24*IBQ24</f>
        <v>100000</v>
      </c>
      <c r="IBU24" s="906">
        <f t="shared" ref="IBU24" si="3210">$C$24*IBS24</f>
        <v>100000</v>
      </c>
      <c r="IBW24" s="906">
        <f t="shared" ref="IBW24" si="3211">$C$24*IBU24</f>
        <v>100000</v>
      </c>
      <c r="IBY24" s="906">
        <f t="shared" ref="IBY24" si="3212">$C$24*IBW24</f>
        <v>100000</v>
      </c>
      <c r="ICA24" s="906">
        <f t="shared" ref="ICA24" si="3213">$C$24*IBY24</f>
        <v>100000</v>
      </c>
      <c r="ICC24" s="906">
        <f t="shared" ref="ICC24" si="3214">$C$24*ICA24</f>
        <v>100000</v>
      </c>
      <c r="ICE24" s="906">
        <f t="shared" ref="ICE24" si="3215">$C$24*ICC24</f>
        <v>100000</v>
      </c>
      <c r="ICG24" s="906">
        <f t="shared" ref="ICG24" si="3216">$C$24*ICE24</f>
        <v>100000</v>
      </c>
      <c r="ICI24" s="906">
        <f t="shared" ref="ICI24" si="3217">$C$24*ICG24</f>
        <v>100000</v>
      </c>
      <c r="ICK24" s="906">
        <f t="shared" ref="ICK24" si="3218">$C$24*ICI24</f>
        <v>100000</v>
      </c>
      <c r="ICM24" s="906">
        <f t="shared" ref="ICM24" si="3219">$C$24*ICK24</f>
        <v>100000</v>
      </c>
      <c r="ICO24" s="906">
        <f t="shared" ref="ICO24" si="3220">$C$24*ICM24</f>
        <v>100000</v>
      </c>
      <c r="ICQ24" s="906">
        <f t="shared" ref="ICQ24" si="3221">$C$24*ICO24</f>
        <v>100000</v>
      </c>
      <c r="ICS24" s="906">
        <f t="shared" ref="ICS24" si="3222">$C$24*ICQ24</f>
        <v>100000</v>
      </c>
      <c r="ICU24" s="906">
        <f t="shared" ref="ICU24" si="3223">$C$24*ICS24</f>
        <v>100000</v>
      </c>
      <c r="ICW24" s="906">
        <f t="shared" ref="ICW24" si="3224">$C$24*ICU24</f>
        <v>100000</v>
      </c>
      <c r="ICY24" s="906">
        <f t="shared" ref="ICY24" si="3225">$C$24*ICW24</f>
        <v>100000</v>
      </c>
      <c r="IDA24" s="906">
        <f t="shared" ref="IDA24" si="3226">$C$24*ICY24</f>
        <v>100000</v>
      </c>
      <c r="IDC24" s="906">
        <f t="shared" ref="IDC24" si="3227">$C$24*IDA24</f>
        <v>100000</v>
      </c>
      <c r="IDE24" s="906">
        <f t="shared" ref="IDE24" si="3228">$C$24*IDC24</f>
        <v>100000</v>
      </c>
      <c r="IDG24" s="906">
        <f t="shared" ref="IDG24" si="3229">$C$24*IDE24</f>
        <v>100000</v>
      </c>
      <c r="IDI24" s="906">
        <f t="shared" ref="IDI24" si="3230">$C$24*IDG24</f>
        <v>100000</v>
      </c>
      <c r="IDK24" s="906">
        <f t="shared" ref="IDK24" si="3231">$C$24*IDI24</f>
        <v>100000</v>
      </c>
      <c r="IDM24" s="906">
        <f t="shared" ref="IDM24" si="3232">$C$24*IDK24</f>
        <v>100000</v>
      </c>
      <c r="IDO24" s="906">
        <f t="shared" ref="IDO24" si="3233">$C$24*IDM24</f>
        <v>100000</v>
      </c>
      <c r="IDQ24" s="906">
        <f t="shared" ref="IDQ24" si="3234">$C$24*IDO24</f>
        <v>100000</v>
      </c>
      <c r="IDS24" s="906">
        <f t="shared" ref="IDS24" si="3235">$C$24*IDQ24</f>
        <v>100000</v>
      </c>
      <c r="IDU24" s="906">
        <f t="shared" ref="IDU24" si="3236">$C$24*IDS24</f>
        <v>100000</v>
      </c>
      <c r="IDW24" s="906">
        <f t="shared" ref="IDW24" si="3237">$C$24*IDU24</f>
        <v>100000</v>
      </c>
      <c r="IDY24" s="906">
        <f t="shared" ref="IDY24" si="3238">$C$24*IDW24</f>
        <v>100000</v>
      </c>
      <c r="IEA24" s="906">
        <f t="shared" ref="IEA24" si="3239">$C$24*IDY24</f>
        <v>100000</v>
      </c>
      <c r="IEC24" s="906">
        <f t="shared" ref="IEC24" si="3240">$C$24*IEA24</f>
        <v>100000</v>
      </c>
      <c r="IEE24" s="906">
        <f t="shared" ref="IEE24" si="3241">$C$24*IEC24</f>
        <v>100000</v>
      </c>
      <c r="IEG24" s="906">
        <f t="shared" ref="IEG24" si="3242">$C$24*IEE24</f>
        <v>100000</v>
      </c>
      <c r="IEI24" s="906">
        <f t="shared" ref="IEI24" si="3243">$C$24*IEG24</f>
        <v>100000</v>
      </c>
      <c r="IEK24" s="906">
        <f t="shared" ref="IEK24" si="3244">$C$24*IEI24</f>
        <v>100000</v>
      </c>
      <c r="IEM24" s="906">
        <f t="shared" ref="IEM24" si="3245">$C$24*IEK24</f>
        <v>100000</v>
      </c>
      <c r="IEO24" s="906">
        <f t="shared" ref="IEO24" si="3246">$C$24*IEM24</f>
        <v>100000</v>
      </c>
      <c r="IEQ24" s="906">
        <f t="shared" ref="IEQ24" si="3247">$C$24*IEO24</f>
        <v>100000</v>
      </c>
      <c r="IES24" s="906">
        <f t="shared" ref="IES24" si="3248">$C$24*IEQ24</f>
        <v>100000</v>
      </c>
      <c r="IEU24" s="906">
        <f t="shared" ref="IEU24" si="3249">$C$24*IES24</f>
        <v>100000</v>
      </c>
      <c r="IEW24" s="906">
        <f t="shared" ref="IEW24" si="3250">$C$24*IEU24</f>
        <v>100000</v>
      </c>
      <c r="IEY24" s="906">
        <f t="shared" ref="IEY24" si="3251">$C$24*IEW24</f>
        <v>100000</v>
      </c>
      <c r="IFA24" s="906">
        <f t="shared" ref="IFA24" si="3252">$C$24*IEY24</f>
        <v>100000</v>
      </c>
      <c r="IFC24" s="906">
        <f t="shared" ref="IFC24" si="3253">$C$24*IFA24</f>
        <v>100000</v>
      </c>
      <c r="IFE24" s="906">
        <f t="shared" ref="IFE24" si="3254">$C$24*IFC24</f>
        <v>100000</v>
      </c>
      <c r="IFG24" s="906">
        <f t="shared" ref="IFG24" si="3255">$C$24*IFE24</f>
        <v>100000</v>
      </c>
      <c r="IFI24" s="906">
        <f t="shared" ref="IFI24" si="3256">$C$24*IFG24</f>
        <v>100000</v>
      </c>
      <c r="IFK24" s="906">
        <f t="shared" ref="IFK24" si="3257">$C$24*IFI24</f>
        <v>100000</v>
      </c>
      <c r="IFM24" s="906">
        <f t="shared" ref="IFM24" si="3258">$C$24*IFK24</f>
        <v>100000</v>
      </c>
      <c r="IFO24" s="906">
        <f t="shared" ref="IFO24" si="3259">$C$24*IFM24</f>
        <v>100000</v>
      </c>
      <c r="IFQ24" s="906">
        <f t="shared" ref="IFQ24" si="3260">$C$24*IFO24</f>
        <v>100000</v>
      </c>
      <c r="IFS24" s="906">
        <f t="shared" ref="IFS24" si="3261">$C$24*IFQ24</f>
        <v>100000</v>
      </c>
      <c r="IFU24" s="906">
        <f t="shared" ref="IFU24" si="3262">$C$24*IFS24</f>
        <v>100000</v>
      </c>
      <c r="IFW24" s="906">
        <f t="shared" ref="IFW24" si="3263">$C$24*IFU24</f>
        <v>100000</v>
      </c>
      <c r="IFY24" s="906">
        <f t="shared" ref="IFY24" si="3264">$C$24*IFW24</f>
        <v>100000</v>
      </c>
      <c r="IGA24" s="906">
        <f t="shared" ref="IGA24" si="3265">$C$24*IFY24</f>
        <v>100000</v>
      </c>
      <c r="IGC24" s="906">
        <f t="shared" ref="IGC24" si="3266">$C$24*IGA24</f>
        <v>100000</v>
      </c>
      <c r="IGE24" s="906">
        <f t="shared" ref="IGE24" si="3267">$C$24*IGC24</f>
        <v>100000</v>
      </c>
      <c r="IGG24" s="906">
        <f t="shared" ref="IGG24" si="3268">$C$24*IGE24</f>
        <v>100000</v>
      </c>
      <c r="IGI24" s="906">
        <f t="shared" ref="IGI24" si="3269">$C$24*IGG24</f>
        <v>100000</v>
      </c>
      <c r="IGK24" s="906">
        <f t="shared" ref="IGK24" si="3270">$C$24*IGI24</f>
        <v>100000</v>
      </c>
      <c r="IGM24" s="906">
        <f t="shared" ref="IGM24" si="3271">$C$24*IGK24</f>
        <v>100000</v>
      </c>
      <c r="IGO24" s="906">
        <f t="shared" ref="IGO24" si="3272">$C$24*IGM24</f>
        <v>100000</v>
      </c>
      <c r="IGQ24" s="906">
        <f t="shared" ref="IGQ24" si="3273">$C$24*IGO24</f>
        <v>100000</v>
      </c>
      <c r="IGS24" s="906">
        <f t="shared" ref="IGS24" si="3274">$C$24*IGQ24</f>
        <v>100000</v>
      </c>
      <c r="IGU24" s="906">
        <f t="shared" ref="IGU24" si="3275">$C$24*IGS24</f>
        <v>100000</v>
      </c>
      <c r="IGW24" s="906">
        <f t="shared" ref="IGW24" si="3276">$C$24*IGU24</f>
        <v>100000</v>
      </c>
      <c r="IGY24" s="906">
        <f t="shared" ref="IGY24" si="3277">$C$24*IGW24</f>
        <v>100000</v>
      </c>
      <c r="IHA24" s="906">
        <f t="shared" ref="IHA24" si="3278">$C$24*IGY24</f>
        <v>100000</v>
      </c>
      <c r="IHC24" s="906">
        <f t="shared" ref="IHC24" si="3279">$C$24*IHA24</f>
        <v>100000</v>
      </c>
      <c r="IHE24" s="906">
        <f t="shared" ref="IHE24" si="3280">$C$24*IHC24</f>
        <v>100000</v>
      </c>
      <c r="IHG24" s="906">
        <f t="shared" ref="IHG24" si="3281">$C$24*IHE24</f>
        <v>100000</v>
      </c>
      <c r="IHI24" s="906">
        <f t="shared" ref="IHI24" si="3282">$C$24*IHG24</f>
        <v>100000</v>
      </c>
      <c r="IHK24" s="906">
        <f t="shared" ref="IHK24" si="3283">$C$24*IHI24</f>
        <v>100000</v>
      </c>
      <c r="IHM24" s="906">
        <f t="shared" ref="IHM24" si="3284">$C$24*IHK24</f>
        <v>100000</v>
      </c>
      <c r="IHO24" s="906">
        <f t="shared" ref="IHO24" si="3285">$C$24*IHM24</f>
        <v>100000</v>
      </c>
      <c r="IHQ24" s="906">
        <f t="shared" ref="IHQ24" si="3286">$C$24*IHO24</f>
        <v>100000</v>
      </c>
      <c r="IHS24" s="906">
        <f t="shared" ref="IHS24" si="3287">$C$24*IHQ24</f>
        <v>100000</v>
      </c>
      <c r="IHU24" s="906">
        <f t="shared" ref="IHU24" si="3288">$C$24*IHS24</f>
        <v>100000</v>
      </c>
      <c r="IHW24" s="906">
        <f t="shared" ref="IHW24" si="3289">$C$24*IHU24</f>
        <v>100000</v>
      </c>
      <c r="IHY24" s="906">
        <f t="shared" ref="IHY24" si="3290">$C$24*IHW24</f>
        <v>100000</v>
      </c>
      <c r="IIA24" s="906">
        <f t="shared" ref="IIA24" si="3291">$C$24*IHY24</f>
        <v>100000</v>
      </c>
      <c r="IIC24" s="906">
        <f t="shared" ref="IIC24" si="3292">$C$24*IIA24</f>
        <v>100000</v>
      </c>
      <c r="IIE24" s="906">
        <f t="shared" ref="IIE24" si="3293">$C$24*IIC24</f>
        <v>100000</v>
      </c>
      <c r="IIG24" s="906">
        <f t="shared" ref="IIG24" si="3294">$C$24*IIE24</f>
        <v>100000</v>
      </c>
      <c r="III24" s="906">
        <f t="shared" ref="III24" si="3295">$C$24*IIG24</f>
        <v>100000</v>
      </c>
      <c r="IIK24" s="906">
        <f t="shared" ref="IIK24" si="3296">$C$24*III24</f>
        <v>100000</v>
      </c>
      <c r="IIM24" s="906">
        <f t="shared" ref="IIM24" si="3297">$C$24*IIK24</f>
        <v>100000</v>
      </c>
      <c r="IIO24" s="906">
        <f t="shared" ref="IIO24" si="3298">$C$24*IIM24</f>
        <v>100000</v>
      </c>
      <c r="IIQ24" s="906">
        <f t="shared" ref="IIQ24" si="3299">$C$24*IIO24</f>
        <v>100000</v>
      </c>
      <c r="IIS24" s="906">
        <f t="shared" ref="IIS24" si="3300">$C$24*IIQ24</f>
        <v>100000</v>
      </c>
      <c r="IIU24" s="906">
        <f t="shared" ref="IIU24" si="3301">$C$24*IIS24</f>
        <v>100000</v>
      </c>
      <c r="IIW24" s="906">
        <f t="shared" ref="IIW24" si="3302">$C$24*IIU24</f>
        <v>100000</v>
      </c>
      <c r="IIY24" s="906">
        <f t="shared" ref="IIY24" si="3303">$C$24*IIW24</f>
        <v>100000</v>
      </c>
      <c r="IJA24" s="906">
        <f t="shared" ref="IJA24" si="3304">$C$24*IIY24</f>
        <v>100000</v>
      </c>
      <c r="IJC24" s="906">
        <f t="shared" ref="IJC24" si="3305">$C$24*IJA24</f>
        <v>100000</v>
      </c>
      <c r="IJE24" s="906">
        <f t="shared" ref="IJE24" si="3306">$C$24*IJC24</f>
        <v>100000</v>
      </c>
      <c r="IJG24" s="906">
        <f t="shared" ref="IJG24" si="3307">$C$24*IJE24</f>
        <v>100000</v>
      </c>
      <c r="IJI24" s="906">
        <f t="shared" ref="IJI24" si="3308">$C$24*IJG24</f>
        <v>100000</v>
      </c>
      <c r="IJK24" s="906">
        <f t="shared" ref="IJK24" si="3309">$C$24*IJI24</f>
        <v>100000</v>
      </c>
      <c r="IJM24" s="906">
        <f t="shared" ref="IJM24" si="3310">$C$24*IJK24</f>
        <v>100000</v>
      </c>
      <c r="IJO24" s="906">
        <f t="shared" ref="IJO24" si="3311">$C$24*IJM24</f>
        <v>100000</v>
      </c>
      <c r="IJQ24" s="906">
        <f t="shared" ref="IJQ24" si="3312">$C$24*IJO24</f>
        <v>100000</v>
      </c>
      <c r="IJS24" s="906">
        <f t="shared" ref="IJS24" si="3313">$C$24*IJQ24</f>
        <v>100000</v>
      </c>
      <c r="IJU24" s="906">
        <f t="shared" ref="IJU24" si="3314">$C$24*IJS24</f>
        <v>100000</v>
      </c>
      <c r="IJW24" s="906">
        <f t="shared" ref="IJW24" si="3315">$C$24*IJU24</f>
        <v>100000</v>
      </c>
      <c r="IJY24" s="906">
        <f t="shared" ref="IJY24" si="3316">$C$24*IJW24</f>
        <v>100000</v>
      </c>
      <c r="IKA24" s="906">
        <f t="shared" ref="IKA24" si="3317">$C$24*IJY24</f>
        <v>100000</v>
      </c>
      <c r="IKC24" s="906">
        <f t="shared" ref="IKC24" si="3318">$C$24*IKA24</f>
        <v>100000</v>
      </c>
      <c r="IKE24" s="906">
        <f t="shared" ref="IKE24" si="3319">$C$24*IKC24</f>
        <v>100000</v>
      </c>
      <c r="IKG24" s="906">
        <f t="shared" ref="IKG24" si="3320">$C$24*IKE24</f>
        <v>100000</v>
      </c>
      <c r="IKI24" s="906">
        <f t="shared" ref="IKI24" si="3321">$C$24*IKG24</f>
        <v>100000</v>
      </c>
      <c r="IKK24" s="906">
        <f t="shared" ref="IKK24" si="3322">$C$24*IKI24</f>
        <v>100000</v>
      </c>
      <c r="IKM24" s="906">
        <f t="shared" ref="IKM24" si="3323">$C$24*IKK24</f>
        <v>100000</v>
      </c>
      <c r="IKO24" s="906">
        <f t="shared" ref="IKO24" si="3324">$C$24*IKM24</f>
        <v>100000</v>
      </c>
      <c r="IKQ24" s="906">
        <f t="shared" ref="IKQ24" si="3325">$C$24*IKO24</f>
        <v>100000</v>
      </c>
      <c r="IKS24" s="906">
        <f t="shared" ref="IKS24" si="3326">$C$24*IKQ24</f>
        <v>100000</v>
      </c>
      <c r="IKU24" s="906">
        <f t="shared" ref="IKU24" si="3327">$C$24*IKS24</f>
        <v>100000</v>
      </c>
      <c r="IKW24" s="906">
        <f t="shared" ref="IKW24" si="3328">$C$24*IKU24</f>
        <v>100000</v>
      </c>
      <c r="IKY24" s="906">
        <f t="shared" ref="IKY24" si="3329">$C$24*IKW24</f>
        <v>100000</v>
      </c>
      <c r="ILA24" s="906">
        <f t="shared" ref="ILA24" si="3330">$C$24*IKY24</f>
        <v>100000</v>
      </c>
      <c r="ILC24" s="906">
        <f t="shared" ref="ILC24" si="3331">$C$24*ILA24</f>
        <v>100000</v>
      </c>
      <c r="ILE24" s="906">
        <f t="shared" ref="ILE24" si="3332">$C$24*ILC24</f>
        <v>100000</v>
      </c>
      <c r="ILG24" s="906">
        <f t="shared" ref="ILG24" si="3333">$C$24*ILE24</f>
        <v>100000</v>
      </c>
      <c r="ILI24" s="906">
        <f t="shared" ref="ILI24" si="3334">$C$24*ILG24</f>
        <v>100000</v>
      </c>
      <c r="ILK24" s="906">
        <f t="shared" ref="ILK24" si="3335">$C$24*ILI24</f>
        <v>100000</v>
      </c>
      <c r="ILM24" s="906">
        <f t="shared" ref="ILM24" si="3336">$C$24*ILK24</f>
        <v>100000</v>
      </c>
      <c r="ILO24" s="906">
        <f t="shared" ref="ILO24" si="3337">$C$24*ILM24</f>
        <v>100000</v>
      </c>
      <c r="ILQ24" s="906">
        <f t="shared" ref="ILQ24" si="3338">$C$24*ILO24</f>
        <v>100000</v>
      </c>
      <c r="ILS24" s="906">
        <f t="shared" ref="ILS24" si="3339">$C$24*ILQ24</f>
        <v>100000</v>
      </c>
      <c r="ILU24" s="906">
        <f t="shared" ref="ILU24" si="3340">$C$24*ILS24</f>
        <v>100000</v>
      </c>
      <c r="ILW24" s="906">
        <f t="shared" ref="ILW24" si="3341">$C$24*ILU24</f>
        <v>100000</v>
      </c>
      <c r="ILY24" s="906">
        <f t="shared" ref="ILY24" si="3342">$C$24*ILW24</f>
        <v>100000</v>
      </c>
      <c r="IMA24" s="906">
        <f t="shared" ref="IMA24" si="3343">$C$24*ILY24</f>
        <v>100000</v>
      </c>
      <c r="IMC24" s="906">
        <f t="shared" ref="IMC24" si="3344">$C$24*IMA24</f>
        <v>100000</v>
      </c>
      <c r="IME24" s="906">
        <f t="shared" ref="IME24" si="3345">$C$24*IMC24</f>
        <v>100000</v>
      </c>
      <c r="IMG24" s="906">
        <f t="shared" ref="IMG24" si="3346">$C$24*IME24</f>
        <v>100000</v>
      </c>
      <c r="IMI24" s="906">
        <f t="shared" ref="IMI24" si="3347">$C$24*IMG24</f>
        <v>100000</v>
      </c>
      <c r="IMK24" s="906">
        <f t="shared" ref="IMK24" si="3348">$C$24*IMI24</f>
        <v>100000</v>
      </c>
      <c r="IMM24" s="906">
        <f t="shared" ref="IMM24" si="3349">$C$24*IMK24</f>
        <v>100000</v>
      </c>
      <c r="IMO24" s="906">
        <f t="shared" ref="IMO24" si="3350">$C$24*IMM24</f>
        <v>100000</v>
      </c>
      <c r="IMQ24" s="906">
        <f t="shared" ref="IMQ24" si="3351">$C$24*IMO24</f>
        <v>100000</v>
      </c>
      <c r="IMS24" s="906">
        <f t="shared" ref="IMS24" si="3352">$C$24*IMQ24</f>
        <v>100000</v>
      </c>
      <c r="IMU24" s="906">
        <f t="shared" ref="IMU24" si="3353">$C$24*IMS24</f>
        <v>100000</v>
      </c>
      <c r="IMW24" s="906">
        <f t="shared" ref="IMW24" si="3354">$C$24*IMU24</f>
        <v>100000</v>
      </c>
      <c r="IMY24" s="906">
        <f t="shared" ref="IMY24" si="3355">$C$24*IMW24</f>
        <v>100000</v>
      </c>
      <c r="INA24" s="906">
        <f t="shared" ref="INA24" si="3356">$C$24*IMY24</f>
        <v>100000</v>
      </c>
      <c r="INC24" s="906">
        <f t="shared" ref="INC24" si="3357">$C$24*INA24</f>
        <v>100000</v>
      </c>
      <c r="INE24" s="906">
        <f t="shared" ref="INE24" si="3358">$C$24*INC24</f>
        <v>100000</v>
      </c>
      <c r="ING24" s="906">
        <f t="shared" ref="ING24" si="3359">$C$24*INE24</f>
        <v>100000</v>
      </c>
      <c r="INI24" s="906">
        <f t="shared" ref="INI24" si="3360">$C$24*ING24</f>
        <v>100000</v>
      </c>
      <c r="INK24" s="906">
        <f t="shared" ref="INK24" si="3361">$C$24*INI24</f>
        <v>100000</v>
      </c>
      <c r="INM24" s="906">
        <f t="shared" ref="INM24" si="3362">$C$24*INK24</f>
        <v>100000</v>
      </c>
      <c r="INO24" s="906">
        <f t="shared" ref="INO24" si="3363">$C$24*INM24</f>
        <v>100000</v>
      </c>
      <c r="INQ24" s="906">
        <f t="shared" ref="INQ24" si="3364">$C$24*INO24</f>
        <v>100000</v>
      </c>
      <c r="INS24" s="906">
        <f t="shared" ref="INS24" si="3365">$C$24*INQ24</f>
        <v>100000</v>
      </c>
      <c r="INU24" s="906">
        <f t="shared" ref="INU24" si="3366">$C$24*INS24</f>
        <v>100000</v>
      </c>
      <c r="INW24" s="906">
        <f t="shared" ref="INW24" si="3367">$C$24*INU24</f>
        <v>100000</v>
      </c>
      <c r="INY24" s="906">
        <f t="shared" ref="INY24" si="3368">$C$24*INW24</f>
        <v>100000</v>
      </c>
      <c r="IOA24" s="906">
        <f t="shared" ref="IOA24" si="3369">$C$24*INY24</f>
        <v>100000</v>
      </c>
      <c r="IOC24" s="906">
        <f t="shared" ref="IOC24" si="3370">$C$24*IOA24</f>
        <v>100000</v>
      </c>
      <c r="IOE24" s="906">
        <f t="shared" ref="IOE24" si="3371">$C$24*IOC24</f>
        <v>100000</v>
      </c>
      <c r="IOG24" s="906">
        <f t="shared" ref="IOG24" si="3372">$C$24*IOE24</f>
        <v>100000</v>
      </c>
      <c r="IOI24" s="906">
        <f t="shared" ref="IOI24" si="3373">$C$24*IOG24</f>
        <v>100000</v>
      </c>
      <c r="IOK24" s="906">
        <f t="shared" ref="IOK24" si="3374">$C$24*IOI24</f>
        <v>100000</v>
      </c>
      <c r="IOM24" s="906">
        <f t="shared" ref="IOM24" si="3375">$C$24*IOK24</f>
        <v>100000</v>
      </c>
      <c r="IOO24" s="906">
        <f t="shared" ref="IOO24" si="3376">$C$24*IOM24</f>
        <v>100000</v>
      </c>
      <c r="IOQ24" s="906">
        <f t="shared" ref="IOQ24" si="3377">$C$24*IOO24</f>
        <v>100000</v>
      </c>
      <c r="IOS24" s="906">
        <f t="shared" ref="IOS24" si="3378">$C$24*IOQ24</f>
        <v>100000</v>
      </c>
      <c r="IOU24" s="906">
        <f t="shared" ref="IOU24" si="3379">$C$24*IOS24</f>
        <v>100000</v>
      </c>
      <c r="IOW24" s="906">
        <f t="shared" ref="IOW24" si="3380">$C$24*IOU24</f>
        <v>100000</v>
      </c>
      <c r="IOY24" s="906">
        <f t="shared" ref="IOY24" si="3381">$C$24*IOW24</f>
        <v>100000</v>
      </c>
      <c r="IPA24" s="906">
        <f t="shared" ref="IPA24" si="3382">$C$24*IOY24</f>
        <v>100000</v>
      </c>
      <c r="IPC24" s="906">
        <f t="shared" ref="IPC24" si="3383">$C$24*IPA24</f>
        <v>100000</v>
      </c>
      <c r="IPE24" s="906">
        <f t="shared" ref="IPE24" si="3384">$C$24*IPC24</f>
        <v>100000</v>
      </c>
      <c r="IPG24" s="906">
        <f t="shared" ref="IPG24" si="3385">$C$24*IPE24</f>
        <v>100000</v>
      </c>
      <c r="IPI24" s="906">
        <f t="shared" ref="IPI24" si="3386">$C$24*IPG24</f>
        <v>100000</v>
      </c>
      <c r="IPK24" s="906">
        <f t="shared" ref="IPK24" si="3387">$C$24*IPI24</f>
        <v>100000</v>
      </c>
      <c r="IPM24" s="906">
        <f t="shared" ref="IPM24" si="3388">$C$24*IPK24</f>
        <v>100000</v>
      </c>
      <c r="IPO24" s="906">
        <f t="shared" ref="IPO24" si="3389">$C$24*IPM24</f>
        <v>100000</v>
      </c>
      <c r="IPQ24" s="906">
        <f t="shared" ref="IPQ24" si="3390">$C$24*IPO24</f>
        <v>100000</v>
      </c>
      <c r="IPS24" s="906">
        <f t="shared" ref="IPS24" si="3391">$C$24*IPQ24</f>
        <v>100000</v>
      </c>
      <c r="IPU24" s="906">
        <f t="shared" ref="IPU24" si="3392">$C$24*IPS24</f>
        <v>100000</v>
      </c>
      <c r="IPW24" s="906">
        <f t="shared" ref="IPW24" si="3393">$C$24*IPU24</f>
        <v>100000</v>
      </c>
      <c r="IPY24" s="906">
        <f t="shared" ref="IPY24" si="3394">$C$24*IPW24</f>
        <v>100000</v>
      </c>
      <c r="IQA24" s="906">
        <f t="shared" ref="IQA24" si="3395">$C$24*IPY24</f>
        <v>100000</v>
      </c>
      <c r="IQC24" s="906">
        <f t="shared" ref="IQC24" si="3396">$C$24*IQA24</f>
        <v>100000</v>
      </c>
      <c r="IQE24" s="906">
        <f t="shared" ref="IQE24" si="3397">$C$24*IQC24</f>
        <v>100000</v>
      </c>
      <c r="IQG24" s="906">
        <f t="shared" ref="IQG24" si="3398">$C$24*IQE24</f>
        <v>100000</v>
      </c>
      <c r="IQI24" s="906">
        <f t="shared" ref="IQI24" si="3399">$C$24*IQG24</f>
        <v>100000</v>
      </c>
      <c r="IQK24" s="906">
        <f t="shared" ref="IQK24" si="3400">$C$24*IQI24</f>
        <v>100000</v>
      </c>
      <c r="IQM24" s="906">
        <f t="shared" ref="IQM24" si="3401">$C$24*IQK24</f>
        <v>100000</v>
      </c>
      <c r="IQO24" s="906">
        <f t="shared" ref="IQO24" si="3402">$C$24*IQM24</f>
        <v>100000</v>
      </c>
      <c r="IQQ24" s="906">
        <f t="shared" ref="IQQ24" si="3403">$C$24*IQO24</f>
        <v>100000</v>
      </c>
      <c r="IQS24" s="906">
        <f t="shared" ref="IQS24" si="3404">$C$24*IQQ24</f>
        <v>100000</v>
      </c>
      <c r="IQU24" s="906">
        <f t="shared" ref="IQU24" si="3405">$C$24*IQS24</f>
        <v>100000</v>
      </c>
      <c r="IQW24" s="906">
        <f t="shared" ref="IQW24" si="3406">$C$24*IQU24</f>
        <v>100000</v>
      </c>
      <c r="IQY24" s="906">
        <f t="shared" ref="IQY24" si="3407">$C$24*IQW24</f>
        <v>100000</v>
      </c>
      <c r="IRA24" s="906">
        <f t="shared" ref="IRA24" si="3408">$C$24*IQY24</f>
        <v>100000</v>
      </c>
      <c r="IRC24" s="906">
        <f t="shared" ref="IRC24" si="3409">$C$24*IRA24</f>
        <v>100000</v>
      </c>
      <c r="IRE24" s="906">
        <f t="shared" ref="IRE24" si="3410">$C$24*IRC24</f>
        <v>100000</v>
      </c>
      <c r="IRG24" s="906">
        <f t="shared" ref="IRG24" si="3411">$C$24*IRE24</f>
        <v>100000</v>
      </c>
      <c r="IRI24" s="906">
        <f t="shared" ref="IRI24" si="3412">$C$24*IRG24</f>
        <v>100000</v>
      </c>
      <c r="IRK24" s="906">
        <f t="shared" ref="IRK24" si="3413">$C$24*IRI24</f>
        <v>100000</v>
      </c>
      <c r="IRM24" s="906">
        <f t="shared" ref="IRM24" si="3414">$C$24*IRK24</f>
        <v>100000</v>
      </c>
      <c r="IRO24" s="906">
        <f t="shared" ref="IRO24" si="3415">$C$24*IRM24</f>
        <v>100000</v>
      </c>
      <c r="IRQ24" s="906">
        <f t="shared" ref="IRQ24" si="3416">$C$24*IRO24</f>
        <v>100000</v>
      </c>
      <c r="IRS24" s="906">
        <f t="shared" ref="IRS24" si="3417">$C$24*IRQ24</f>
        <v>100000</v>
      </c>
      <c r="IRU24" s="906">
        <f t="shared" ref="IRU24" si="3418">$C$24*IRS24</f>
        <v>100000</v>
      </c>
      <c r="IRW24" s="906">
        <f t="shared" ref="IRW24" si="3419">$C$24*IRU24</f>
        <v>100000</v>
      </c>
      <c r="IRY24" s="906">
        <f t="shared" ref="IRY24" si="3420">$C$24*IRW24</f>
        <v>100000</v>
      </c>
      <c r="ISA24" s="906">
        <f t="shared" ref="ISA24" si="3421">$C$24*IRY24</f>
        <v>100000</v>
      </c>
      <c r="ISC24" s="906">
        <f t="shared" ref="ISC24" si="3422">$C$24*ISA24</f>
        <v>100000</v>
      </c>
      <c r="ISE24" s="906">
        <f t="shared" ref="ISE24" si="3423">$C$24*ISC24</f>
        <v>100000</v>
      </c>
      <c r="ISG24" s="906">
        <f t="shared" ref="ISG24" si="3424">$C$24*ISE24</f>
        <v>100000</v>
      </c>
      <c r="ISI24" s="906">
        <f t="shared" ref="ISI24" si="3425">$C$24*ISG24</f>
        <v>100000</v>
      </c>
      <c r="ISK24" s="906">
        <f t="shared" ref="ISK24" si="3426">$C$24*ISI24</f>
        <v>100000</v>
      </c>
      <c r="ISM24" s="906">
        <f t="shared" ref="ISM24" si="3427">$C$24*ISK24</f>
        <v>100000</v>
      </c>
      <c r="ISO24" s="906">
        <f t="shared" ref="ISO24" si="3428">$C$24*ISM24</f>
        <v>100000</v>
      </c>
      <c r="ISQ24" s="906">
        <f t="shared" ref="ISQ24" si="3429">$C$24*ISO24</f>
        <v>100000</v>
      </c>
      <c r="ISS24" s="906">
        <f t="shared" ref="ISS24" si="3430">$C$24*ISQ24</f>
        <v>100000</v>
      </c>
      <c r="ISU24" s="906">
        <f t="shared" ref="ISU24" si="3431">$C$24*ISS24</f>
        <v>100000</v>
      </c>
      <c r="ISW24" s="906">
        <f t="shared" ref="ISW24" si="3432">$C$24*ISU24</f>
        <v>100000</v>
      </c>
      <c r="ISY24" s="906">
        <f t="shared" ref="ISY24" si="3433">$C$24*ISW24</f>
        <v>100000</v>
      </c>
      <c r="ITA24" s="906">
        <f t="shared" ref="ITA24" si="3434">$C$24*ISY24</f>
        <v>100000</v>
      </c>
      <c r="ITC24" s="906">
        <f t="shared" ref="ITC24" si="3435">$C$24*ITA24</f>
        <v>100000</v>
      </c>
      <c r="ITE24" s="906">
        <f t="shared" ref="ITE24" si="3436">$C$24*ITC24</f>
        <v>100000</v>
      </c>
      <c r="ITG24" s="906">
        <f t="shared" ref="ITG24" si="3437">$C$24*ITE24</f>
        <v>100000</v>
      </c>
      <c r="ITI24" s="906">
        <f t="shared" ref="ITI24" si="3438">$C$24*ITG24</f>
        <v>100000</v>
      </c>
      <c r="ITK24" s="906">
        <f t="shared" ref="ITK24" si="3439">$C$24*ITI24</f>
        <v>100000</v>
      </c>
      <c r="ITM24" s="906">
        <f t="shared" ref="ITM24" si="3440">$C$24*ITK24</f>
        <v>100000</v>
      </c>
      <c r="ITO24" s="906">
        <f t="shared" ref="ITO24" si="3441">$C$24*ITM24</f>
        <v>100000</v>
      </c>
      <c r="ITQ24" s="906">
        <f t="shared" ref="ITQ24" si="3442">$C$24*ITO24</f>
        <v>100000</v>
      </c>
      <c r="ITS24" s="906">
        <f t="shared" ref="ITS24" si="3443">$C$24*ITQ24</f>
        <v>100000</v>
      </c>
      <c r="ITU24" s="906">
        <f t="shared" ref="ITU24" si="3444">$C$24*ITS24</f>
        <v>100000</v>
      </c>
      <c r="ITW24" s="906">
        <f t="shared" ref="ITW24" si="3445">$C$24*ITU24</f>
        <v>100000</v>
      </c>
      <c r="ITY24" s="906">
        <f t="shared" ref="ITY24" si="3446">$C$24*ITW24</f>
        <v>100000</v>
      </c>
      <c r="IUA24" s="906">
        <f t="shared" ref="IUA24" si="3447">$C$24*ITY24</f>
        <v>100000</v>
      </c>
      <c r="IUC24" s="906">
        <f t="shared" ref="IUC24" si="3448">$C$24*IUA24</f>
        <v>100000</v>
      </c>
      <c r="IUE24" s="906">
        <f t="shared" ref="IUE24" si="3449">$C$24*IUC24</f>
        <v>100000</v>
      </c>
      <c r="IUG24" s="906">
        <f t="shared" ref="IUG24" si="3450">$C$24*IUE24</f>
        <v>100000</v>
      </c>
      <c r="IUI24" s="906">
        <f t="shared" ref="IUI24" si="3451">$C$24*IUG24</f>
        <v>100000</v>
      </c>
      <c r="IUK24" s="906">
        <f t="shared" ref="IUK24" si="3452">$C$24*IUI24</f>
        <v>100000</v>
      </c>
      <c r="IUM24" s="906">
        <f t="shared" ref="IUM24" si="3453">$C$24*IUK24</f>
        <v>100000</v>
      </c>
      <c r="IUO24" s="906">
        <f t="shared" ref="IUO24" si="3454">$C$24*IUM24</f>
        <v>100000</v>
      </c>
      <c r="IUQ24" s="906">
        <f t="shared" ref="IUQ24" si="3455">$C$24*IUO24</f>
        <v>100000</v>
      </c>
      <c r="IUS24" s="906">
        <f t="shared" ref="IUS24" si="3456">$C$24*IUQ24</f>
        <v>100000</v>
      </c>
      <c r="IUU24" s="906">
        <f t="shared" ref="IUU24" si="3457">$C$24*IUS24</f>
        <v>100000</v>
      </c>
      <c r="IUW24" s="906">
        <f t="shared" ref="IUW24" si="3458">$C$24*IUU24</f>
        <v>100000</v>
      </c>
      <c r="IUY24" s="906">
        <f t="shared" ref="IUY24" si="3459">$C$24*IUW24</f>
        <v>100000</v>
      </c>
      <c r="IVA24" s="906">
        <f t="shared" ref="IVA24" si="3460">$C$24*IUY24</f>
        <v>100000</v>
      </c>
      <c r="IVC24" s="906">
        <f t="shared" ref="IVC24" si="3461">$C$24*IVA24</f>
        <v>100000</v>
      </c>
      <c r="IVE24" s="906">
        <f t="shared" ref="IVE24" si="3462">$C$24*IVC24</f>
        <v>100000</v>
      </c>
      <c r="IVG24" s="906">
        <f t="shared" ref="IVG24" si="3463">$C$24*IVE24</f>
        <v>100000</v>
      </c>
      <c r="IVI24" s="906">
        <f t="shared" ref="IVI24" si="3464">$C$24*IVG24</f>
        <v>100000</v>
      </c>
      <c r="IVK24" s="906">
        <f t="shared" ref="IVK24" si="3465">$C$24*IVI24</f>
        <v>100000</v>
      </c>
      <c r="IVM24" s="906">
        <f t="shared" ref="IVM24" si="3466">$C$24*IVK24</f>
        <v>100000</v>
      </c>
      <c r="IVO24" s="906">
        <f t="shared" ref="IVO24" si="3467">$C$24*IVM24</f>
        <v>100000</v>
      </c>
      <c r="IVQ24" s="906">
        <f t="shared" ref="IVQ24" si="3468">$C$24*IVO24</f>
        <v>100000</v>
      </c>
      <c r="IVS24" s="906">
        <f t="shared" ref="IVS24" si="3469">$C$24*IVQ24</f>
        <v>100000</v>
      </c>
      <c r="IVU24" s="906">
        <f t="shared" ref="IVU24" si="3470">$C$24*IVS24</f>
        <v>100000</v>
      </c>
      <c r="IVW24" s="906">
        <f t="shared" ref="IVW24" si="3471">$C$24*IVU24</f>
        <v>100000</v>
      </c>
      <c r="IVY24" s="906">
        <f t="shared" ref="IVY24" si="3472">$C$24*IVW24</f>
        <v>100000</v>
      </c>
      <c r="IWA24" s="906">
        <f t="shared" ref="IWA24" si="3473">$C$24*IVY24</f>
        <v>100000</v>
      </c>
      <c r="IWC24" s="906">
        <f t="shared" ref="IWC24" si="3474">$C$24*IWA24</f>
        <v>100000</v>
      </c>
      <c r="IWE24" s="906">
        <f t="shared" ref="IWE24" si="3475">$C$24*IWC24</f>
        <v>100000</v>
      </c>
      <c r="IWG24" s="906">
        <f t="shared" ref="IWG24" si="3476">$C$24*IWE24</f>
        <v>100000</v>
      </c>
      <c r="IWI24" s="906">
        <f t="shared" ref="IWI24" si="3477">$C$24*IWG24</f>
        <v>100000</v>
      </c>
      <c r="IWK24" s="906">
        <f t="shared" ref="IWK24" si="3478">$C$24*IWI24</f>
        <v>100000</v>
      </c>
      <c r="IWM24" s="906">
        <f t="shared" ref="IWM24" si="3479">$C$24*IWK24</f>
        <v>100000</v>
      </c>
      <c r="IWO24" s="906">
        <f t="shared" ref="IWO24" si="3480">$C$24*IWM24</f>
        <v>100000</v>
      </c>
      <c r="IWQ24" s="906">
        <f t="shared" ref="IWQ24" si="3481">$C$24*IWO24</f>
        <v>100000</v>
      </c>
      <c r="IWS24" s="906">
        <f t="shared" ref="IWS24" si="3482">$C$24*IWQ24</f>
        <v>100000</v>
      </c>
      <c r="IWU24" s="906">
        <f t="shared" ref="IWU24" si="3483">$C$24*IWS24</f>
        <v>100000</v>
      </c>
      <c r="IWW24" s="906">
        <f t="shared" ref="IWW24" si="3484">$C$24*IWU24</f>
        <v>100000</v>
      </c>
      <c r="IWY24" s="906">
        <f t="shared" ref="IWY24" si="3485">$C$24*IWW24</f>
        <v>100000</v>
      </c>
      <c r="IXA24" s="906">
        <f t="shared" ref="IXA24" si="3486">$C$24*IWY24</f>
        <v>100000</v>
      </c>
      <c r="IXC24" s="906">
        <f t="shared" ref="IXC24" si="3487">$C$24*IXA24</f>
        <v>100000</v>
      </c>
      <c r="IXE24" s="906">
        <f t="shared" ref="IXE24" si="3488">$C$24*IXC24</f>
        <v>100000</v>
      </c>
      <c r="IXG24" s="906">
        <f t="shared" ref="IXG24" si="3489">$C$24*IXE24</f>
        <v>100000</v>
      </c>
      <c r="IXI24" s="906">
        <f t="shared" ref="IXI24" si="3490">$C$24*IXG24</f>
        <v>100000</v>
      </c>
      <c r="IXK24" s="906">
        <f t="shared" ref="IXK24" si="3491">$C$24*IXI24</f>
        <v>100000</v>
      </c>
      <c r="IXM24" s="906">
        <f t="shared" ref="IXM24" si="3492">$C$24*IXK24</f>
        <v>100000</v>
      </c>
      <c r="IXO24" s="906">
        <f t="shared" ref="IXO24" si="3493">$C$24*IXM24</f>
        <v>100000</v>
      </c>
      <c r="IXQ24" s="906">
        <f t="shared" ref="IXQ24" si="3494">$C$24*IXO24</f>
        <v>100000</v>
      </c>
      <c r="IXS24" s="906">
        <f t="shared" ref="IXS24" si="3495">$C$24*IXQ24</f>
        <v>100000</v>
      </c>
      <c r="IXU24" s="906">
        <f t="shared" ref="IXU24" si="3496">$C$24*IXS24</f>
        <v>100000</v>
      </c>
      <c r="IXW24" s="906">
        <f t="shared" ref="IXW24" si="3497">$C$24*IXU24</f>
        <v>100000</v>
      </c>
      <c r="IXY24" s="906">
        <f t="shared" ref="IXY24" si="3498">$C$24*IXW24</f>
        <v>100000</v>
      </c>
      <c r="IYA24" s="906">
        <f t="shared" ref="IYA24" si="3499">$C$24*IXY24</f>
        <v>100000</v>
      </c>
      <c r="IYC24" s="906">
        <f t="shared" ref="IYC24" si="3500">$C$24*IYA24</f>
        <v>100000</v>
      </c>
      <c r="IYE24" s="906">
        <f t="shared" ref="IYE24" si="3501">$C$24*IYC24</f>
        <v>100000</v>
      </c>
      <c r="IYG24" s="906">
        <f t="shared" ref="IYG24" si="3502">$C$24*IYE24</f>
        <v>100000</v>
      </c>
      <c r="IYI24" s="906">
        <f t="shared" ref="IYI24" si="3503">$C$24*IYG24</f>
        <v>100000</v>
      </c>
      <c r="IYK24" s="906">
        <f t="shared" ref="IYK24" si="3504">$C$24*IYI24</f>
        <v>100000</v>
      </c>
      <c r="IYM24" s="906">
        <f t="shared" ref="IYM24" si="3505">$C$24*IYK24</f>
        <v>100000</v>
      </c>
      <c r="IYO24" s="906">
        <f t="shared" ref="IYO24" si="3506">$C$24*IYM24</f>
        <v>100000</v>
      </c>
      <c r="IYQ24" s="906">
        <f t="shared" ref="IYQ24" si="3507">$C$24*IYO24</f>
        <v>100000</v>
      </c>
      <c r="IYS24" s="906">
        <f t="shared" ref="IYS24" si="3508">$C$24*IYQ24</f>
        <v>100000</v>
      </c>
      <c r="IYU24" s="906">
        <f t="shared" ref="IYU24" si="3509">$C$24*IYS24</f>
        <v>100000</v>
      </c>
      <c r="IYW24" s="906">
        <f t="shared" ref="IYW24" si="3510">$C$24*IYU24</f>
        <v>100000</v>
      </c>
      <c r="IYY24" s="906">
        <f t="shared" ref="IYY24" si="3511">$C$24*IYW24</f>
        <v>100000</v>
      </c>
      <c r="IZA24" s="906">
        <f t="shared" ref="IZA24" si="3512">$C$24*IYY24</f>
        <v>100000</v>
      </c>
      <c r="IZC24" s="906">
        <f t="shared" ref="IZC24" si="3513">$C$24*IZA24</f>
        <v>100000</v>
      </c>
      <c r="IZE24" s="906">
        <f t="shared" ref="IZE24" si="3514">$C$24*IZC24</f>
        <v>100000</v>
      </c>
      <c r="IZG24" s="906">
        <f t="shared" ref="IZG24" si="3515">$C$24*IZE24</f>
        <v>100000</v>
      </c>
      <c r="IZI24" s="906">
        <f t="shared" ref="IZI24" si="3516">$C$24*IZG24</f>
        <v>100000</v>
      </c>
      <c r="IZK24" s="906">
        <f t="shared" ref="IZK24" si="3517">$C$24*IZI24</f>
        <v>100000</v>
      </c>
      <c r="IZM24" s="906">
        <f t="shared" ref="IZM24" si="3518">$C$24*IZK24</f>
        <v>100000</v>
      </c>
      <c r="IZO24" s="906">
        <f t="shared" ref="IZO24" si="3519">$C$24*IZM24</f>
        <v>100000</v>
      </c>
      <c r="IZQ24" s="906">
        <f t="shared" ref="IZQ24" si="3520">$C$24*IZO24</f>
        <v>100000</v>
      </c>
      <c r="IZS24" s="906">
        <f t="shared" ref="IZS24" si="3521">$C$24*IZQ24</f>
        <v>100000</v>
      </c>
      <c r="IZU24" s="906">
        <f t="shared" ref="IZU24" si="3522">$C$24*IZS24</f>
        <v>100000</v>
      </c>
      <c r="IZW24" s="906">
        <f t="shared" ref="IZW24" si="3523">$C$24*IZU24</f>
        <v>100000</v>
      </c>
      <c r="IZY24" s="906">
        <f t="shared" ref="IZY24" si="3524">$C$24*IZW24</f>
        <v>100000</v>
      </c>
      <c r="JAA24" s="906">
        <f t="shared" ref="JAA24" si="3525">$C$24*IZY24</f>
        <v>100000</v>
      </c>
      <c r="JAC24" s="906">
        <f t="shared" ref="JAC24" si="3526">$C$24*JAA24</f>
        <v>100000</v>
      </c>
      <c r="JAE24" s="906">
        <f t="shared" ref="JAE24" si="3527">$C$24*JAC24</f>
        <v>100000</v>
      </c>
      <c r="JAG24" s="906">
        <f t="shared" ref="JAG24" si="3528">$C$24*JAE24</f>
        <v>100000</v>
      </c>
      <c r="JAI24" s="906">
        <f t="shared" ref="JAI24" si="3529">$C$24*JAG24</f>
        <v>100000</v>
      </c>
      <c r="JAK24" s="906">
        <f t="shared" ref="JAK24" si="3530">$C$24*JAI24</f>
        <v>100000</v>
      </c>
      <c r="JAM24" s="906">
        <f t="shared" ref="JAM24" si="3531">$C$24*JAK24</f>
        <v>100000</v>
      </c>
      <c r="JAO24" s="906">
        <f t="shared" ref="JAO24" si="3532">$C$24*JAM24</f>
        <v>100000</v>
      </c>
      <c r="JAQ24" s="906">
        <f t="shared" ref="JAQ24" si="3533">$C$24*JAO24</f>
        <v>100000</v>
      </c>
      <c r="JAS24" s="906">
        <f t="shared" ref="JAS24" si="3534">$C$24*JAQ24</f>
        <v>100000</v>
      </c>
      <c r="JAU24" s="906">
        <f t="shared" ref="JAU24" si="3535">$C$24*JAS24</f>
        <v>100000</v>
      </c>
      <c r="JAW24" s="906">
        <f t="shared" ref="JAW24" si="3536">$C$24*JAU24</f>
        <v>100000</v>
      </c>
      <c r="JAY24" s="906">
        <f t="shared" ref="JAY24" si="3537">$C$24*JAW24</f>
        <v>100000</v>
      </c>
      <c r="JBA24" s="906">
        <f t="shared" ref="JBA24" si="3538">$C$24*JAY24</f>
        <v>100000</v>
      </c>
      <c r="JBC24" s="906">
        <f t="shared" ref="JBC24" si="3539">$C$24*JBA24</f>
        <v>100000</v>
      </c>
      <c r="JBE24" s="906">
        <f t="shared" ref="JBE24" si="3540">$C$24*JBC24</f>
        <v>100000</v>
      </c>
      <c r="JBG24" s="906">
        <f t="shared" ref="JBG24" si="3541">$C$24*JBE24</f>
        <v>100000</v>
      </c>
      <c r="JBI24" s="906">
        <f t="shared" ref="JBI24" si="3542">$C$24*JBG24</f>
        <v>100000</v>
      </c>
      <c r="JBK24" s="906">
        <f t="shared" ref="JBK24" si="3543">$C$24*JBI24</f>
        <v>100000</v>
      </c>
      <c r="JBM24" s="906">
        <f t="shared" ref="JBM24" si="3544">$C$24*JBK24</f>
        <v>100000</v>
      </c>
      <c r="JBO24" s="906">
        <f t="shared" ref="JBO24" si="3545">$C$24*JBM24</f>
        <v>100000</v>
      </c>
      <c r="JBQ24" s="906">
        <f t="shared" ref="JBQ24" si="3546">$C$24*JBO24</f>
        <v>100000</v>
      </c>
      <c r="JBS24" s="906">
        <f t="shared" ref="JBS24" si="3547">$C$24*JBQ24</f>
        <v>100000</v>
      </c>
      <c r="JBU24" s="906">
        <f t="shared" ref="JBU24" si="3548">$C$24*JBS24</f>
        <v>100000</v>
      </c>
      <c r="JBW24" s="906">
        <f t="shared" ref="JBW24" si="3549">$C$24*JBU24</f>
        <v>100000</v>
      </c>
      <c r="JBY24" s="906">
        <f t="shared" ref="JBY24" si="3550">$C$24*JBW24</f>
        <v>100000</v>
      </c>
      <c r="JCA24" s="906">
        <f t="shared" ref="JCA24" si="3551">$C$24*JBY24</f>
        <v>100000</v>
      </c>
      <c r="JCC24" s="906">
        <f t="shared" ref="JCC24" si="3552">$C$24*JCA24</f>
        <v>100000</v>
      </c>
      <c r="JCE24" s="906">
        <f t="shared" ref="JCE24" si="3553">$C$24*JCC24</f>
        <v>100000</v>
      </c>
      <c r="JCG24" s="906">
        <f t="shared" ref="JCG24" si="3554">$C$24*JCE24</f>
        <v>100000</v>
      </c>
      <c r="JCI24" s="906">
        <f t="shared" ref="JCI24" si="3555">$C$24*JCG24</f>
        <v>100000</v>
      </c>
      <c r="JCK24" s="906">
        <f t="shared" ref="JCK24" si="3556">$C$24*JCI24</f>
        <v>100000</v>
      </c>
      <c r="JCM24" s="906">
        <f t="shared" ref="JCM24" si="3557">$C$24*JCK24</f>
        <v>100000</v>
      </c>
      <c r="JCO24" s="906">
        <f t="shared" ref="JCO24" si="3558">$C$24*JCM24</f>
        <v>100000</v>
      </c>
      <c r="JCQ24" s="906">
        <f t="shared" ref="JCQ24" si="3559">$C$24*JCO24</f>
        <v>100000</v>
      </c>
      <c r="JCS24" s="906">
        <f t="shared" ref="JCS24" si="3560">$C$24*JCQ24</f>
        <v>100000</v>
      </c>
      <c r="JCU24" s="906">
        <f t="shared" ref="JCU24" si="3561">$C$24*JCS24</f>
        <v>100000</v>
      </c>
      <c r="JCW24" s="906">
        <f t="shared" ref="JCW24" si="3562">$C$24*JCU24</f>
        <v>100000</v>
      </c>
      <c r="JCY24" s="906">
        <f t="shared" ref="JCY24" si="3563">$C$24*JCW24</f>
        <v>100000</v>
      </c>
      <c r="JDA24" s="906">
        <f t="shared" ref="JDA24" si="3564">$C$24*JCY24</f>
        <v>100000</v>
      </c>
      <c r="JDC24" s="906">
        <f t="shared" ref="JDC24" si="3565">$C$24*JDA24</f>
        <v>100000</v>
      </c>
      <c r="JDE24" s="906">
        <f t="shared" ref="JDE24" si="3566">$C$24*JDC24</f>
        <v>100000</v>
      </c>
      <c r="JDG24" s="906">
        <f t="shared" ref="JDG24" si="3567">$C$24*JDE24</f>
        <v>100000</v>
      </c>
      <c r="JDI24" s="906">
        <f t="shared" ref="JDI24" si="3568">$C$24*JDG24</f>
        <v>100000</v>
      </c>
      <c r="JDK24" s="906">
        <f t="shared" ref="JDK24" si="3569">$C$24*JDI24</f>
        <v>100000</v>
      </c>
      <c r="JDM24" s="906">
        <f t="shared" ref="JDM24" si="3570">$C$24*JDK24</f>
        <v>100000</v>
      </c>
      <c r="JDO24" s="906">
        <f t="shared" ref="JDO24" si="3571">$C$24*JDM24</f>
        <v>100000</v>
      </c>
      <c r="JDQ24" s="906">
        <f t="shared" ref="JDQ24" si="3572">$C$24*JDO24</f>
        <v>100000</v>
      </c>
      <c r="JDS24" s="906">
        <f t="shared" ref="JDS24" si="3573">$C$24*JDQ24</f>
        <v>100000</v>
      </c>
      <c r="JDU24" s="906">
        <f t="shared" ref="JDU24" si="3574">$C$24*JDS24</f>
        <v>100000</v>
      </c>
      <c r="JDW24" s="906">
        <f t="shared" ref="JDW24" si="3575">$C$24*JDU24</f>
        <v>100000</v>
      </c>
      <c r="JDY24" s="906">
        <f t="shared" ref="JDY24" si="3576">$C$24*JDW24</f>
        <v>100000</v>
      </c>
      <c r="JEA24" s="906">
        <f t="shared" ref="JEA24" si="3577">$C$24*JDY24</f>
        <v>100000</v>
      </c>
      <c r="JEC24" s="906">
        <f t="shared" ref="JEC24" si="3578">$C$24*JEA24</f>
        <v>100000</v>
      </c>
      <c r="JEE24" s="906">
        <f t="shared" ref="JEE24" si="3579">$C$24*JEC24</f>
        <v>100000</v>
      </c>
      <c r="JEG24" s="906">
        <f t="shared" ref="JEG24" si="3580">$C$24*JEE24</f>
        <v>100000</v>
      </c>
      <c r="JEI24" s="906">
        <f t="shared" ref="JEI24" si="3581">$C$24*JEG24</f>
        <v>100000</v>
      </c>
      <c r="JEK24" s="906">
        <f t="shared" ref="JEK24" si="3582">$C$24*JEI24</f>
        <v>100000</v>
      </c>
      <c r="JEM24" s="906">
        <f t="shared" ref="JEM24" si="3583">$C$24*JEK24</f>
        <v>100000</v>
      </c>
      <c r="JEO24" s="906">
        <f t="shared" ref="JEO24" si="3584">$C$24*JEM24</f>
        <v>100000</v>
      </c>
      <c r="JEQ24" s="906">
        <f t="shared" ref="JEQ24" si="3585">$C$24*JEO24</f>
        <v>100000</v>
      </c>
      <c r="JES24" s="906">
        <f t="shared" ref="JES24" si="3586">$C$24*JEQ24</f>
        <v>100000</v>
      </c>
      <c r="JEU24" s="906">
        <f t="shared" ref="JEU24" si="3587">$C$24*JES24</f>
        <v>100000</v>
      </c>
      <c r="JEW24" s="906">
        <f t="shared" ref="JEW24" si="3588">$C$24*JEU24</f>
        <v>100000</v>
      </c>
      <c r="JEY24" s="906">
        <f t="shared" ref="JEY24" si="3589">$C$24*JEW24</f>
        <v>100000</v>
      </c>
      <c r="JFA24" s="906">
        <f t="shared" ref="JFA24" si="3590">$C$24*JEY24</f>
        <v>100000</v>
      </c>
      <c r="JFC24" s="906">
        <f t="shared" ref="JFC24" si="3591">$C$24*JFA24</f>
        <v>100000</v>
      </c>
      <c r="JFE24" s="906">
        <f t="shared" ref="JFE24" si="3592">$C$24*JFC24</f>
        <v>100000</v>
      </c>
      <c r="JFG24" s="906">
        <f t="shared" ref="JFG24" si="3593">$C$24*JFE24</f>
        <v>100000</v>
      </c>
      <c r="JFI24" s="906">
        <f t="shared" ref="JFI24" si="3594">$C$24*JFG24</f>
        <v>100000</v>
      </c>
      <c r="JFK24" s="906">
        <f t="shared" ref="JFK24" si="3595">$C$24*JFI24</f>
        <v>100000</v>
      </c>
      <c r="JFM24" s="906">
        <f t="shared" ref="JFM24" si="3596">$C$24*JFK24</f>
        <v>100000</v>
      </c>
      <c r="JFO24" s="906">
        <f t="shared" ref="JFO24" si="3597">$C$24*JFM24</f>
        <v>100000</v>
      </c>
      <c r="JFQ24" s="906">
        <f t="shared" ref="JFQ24" si="3598">$C$24*JFO24</f>
        <v>100000</v>
      </c>
      <c r="JFS24" s="906">
        <f t="shared" ref="JFS24" si="3599">$C$24*JFQ24</f>
        <v>100000</v>
      </c>
      <c r="JFU24" s="906">
        <f t="shared" ref="JFU24" si="3600">$C$24*JFS24</f>
        <v>100000</v>
      </c>
      <c r="JFW24" s="906">
        <f t="shared" ref="JFW24" si="3601">$C$24*JFU24</f>
        <v>100000</v>
      </c>
      <c r="JFY24" s="906">
        <f t="shared" ref="JFY24" si="3602">$C$24*JFW24</f>
        <v>100000</v>
      </c>
      <c r="JGA24" s="906">
        <f t="shared" ref="JGA24" si="3603">$C$24*JFY24</f>
        <v>100000</v>
      </c>
      <c r="JGC24" s="906">
        <f t="shared" ref="JGC24" si="3604">$C$24*JGA24</f>
        <v>100000</v>
      </c>
      <c r="JGE24" s="906">
        <f t="shared" ref="JGE24" si="3605">$C$24*JGC24</f>
        <v>100000</v>
      </c>
      <c r="JGG24" s="906">
        <f t="shared" ref="JGG24" si="3606">$C$24*JGE24</f>
        <v>100000</v>
      </c>
      <c r="JGI24" s="906">
        <f t="shared" ref="JGI24" si="3607">$C$24*JGG24</f>
        <v>100000</v>
      </c>
      <c r="JGK24" s="906">
        <f t="shared" ref="JGK24" si="3608">$C$24*JGI24</f>
        <v>100000</v>
      </c>
      <c r="JGM24" s="906">
        <f t="shared" ref="JGM24" si="3609">$C$24*JGK24</f>
        <v>100000</v>
      </c>
      <c r="JGO24" s="906">
        <f t="shared" ref="JGO24" si="3610">$C$24*JGM24</f>
        <v>100000</v>
      </c>
      <c r="JGQ24" s="906">
        <f t="shared" ref="JGQ24" si="3611">$C$24*JGO24</f>
        <v>100000</v>
      </c>
      <c r="JGS24" s="906">
        <f t="shared" ref="JGS24" si="3612">$C$24*JGQ24</f>
        <v>100000</v>
      </c>
      <c r="JGU24" s="906">
        <f t="shared" ref="JGU24" si="3613">$C$24*JGS24</f>
        <v>100000</v>
      </c>
      <c r="JGW24" s="906">
        <f t="shared" ref="JGW24" si="3614">$C$24*JGU24</f>
        <v>100000</v>
      </c>
      <c r="JGY24" s="906">
        <f t="shared" ref="JGY24" si="3615">$C$24*JGW24</f>
        <v>100000</v>
      </c>
      <c r="JHA24" s="906">
        <f t="shared" ref="JHA24" si="3616">$C$24*JGY24</f>
        <v>100000</v>
      </c>
      <c r="JHC24" s="906">
        <f t="shared" ref="JHC24" si="3617">$C$24*JHA24</f>
        <v>100000</v>
      </c>
      <c r="JHE24" s="906">
        <f t="shared" ref="JHE24" si="3618">$C$24*JHC24</f>
        <v>100000</v>
      </c>
      <c r="JHG24" s="906">
        <f t="shared" ref="JHG24" si="3619">$C$24*JHE24</f>
        <v>100000</v>
      </c>
      <c r="JHI24" s="906">
        <f t="shared" ref="JHI24" si="3620">$C$24*JHG24</f>
        <v>100000</v>
      </c>
      <c r="JHK24" s="906">
        <f t="shared" ref="JHK24" si="3621">$C$24*JHI24</f>
        <v>100000</v>
      </c>
      <c r="JHM24" s="906">
        <f t="shared" ref="JHM24" si="3622">$C$24*JHK24</f>
        <v>100000</v>
      </c>
      <c r="JHO24" s="906">
        <f t="shared" ref="JHO24" si="3623">$C$24*JHM24</f>
        <v>100000</v>
      </c>
      <c r="JHQ24" s="906">
        <f t="shared" ref="JHQ24" si="3624">$C$24*JHO24</f>
        <v>100000</v>
      </c>
      <c r="JHS24" s="906">
        <f t="shared" ref="JHS24" si="3625">$C$24*JHQ24</f>
        <v>100000</v>
      </c>
      <c r="JHU24" s="906">
        <f t="shared" ref="JHU24" si="3626">$C$24*JHS24</f>
        <v>100000</v>
      </c>
      <c r="JHW24" s="906">
        <f t="shared" ref="JHW24" si="3627">$C$24*JHU24</f>
        <v>100000</v>
      </c>
      <c r="JHY24" s="906">
        <f t="shared" ref="JHY24" si="3628">$C$24*JHW24</f>
        <v>100000</v>
      </c>
      <c r="JIA24" s="906">
        <f t="shared" ref="JIA24" si="3629">$C$24*JHY24</f>
        <v>100000</v>
      </c>
      <c r="JIC24" s="906">
        <f t="shared" ref="JIC24" si="3630">$C$24*JIA24</f>
        <v>100000</v>
      </c>
      <c r="JIE24" s="906">
        <f t="shared" ref="JIE24" si="3631">$C$24*JIC24</f>
        <v>100000</v>
      </c>
      <c r="JIG24" s="906">
        <f t="shared" ref="JIG24" si="3632">$C$24*JIE24</f>
        <v>100000</v>
      </c>
      <c r="JII24" s="906">
        <f t="shared" ref="JII24" si="3633">$C$24*JIG24</f>
        <v>100000</v>
      </c>
      <c r="JIK24" s="906">
        <f t="shared" ref="JIK24" si="3634">$C$24*JII24</f>
        <v>100000</v>
      </c>
      <c r="JIM24" s="906">
        <f t="shared" ref="JIM24" si="3635">$C$24*JIK24</f>
        <v>100000</v>
      </c>
      <c r="JIO24" s="906">
        <f t="shared" ref="JIO24" si="3636">$C$24*JIM24</f>
        <v>100000</v>
      </c>
      <c r="JIQ24" s="906">
        <f t="shared" ref="JIQ24" si="3637">$C$24*JIO24</f>
        <v>100000</v>
      </c>
      <c r="JIS24" s="906">
        <f t="shared" ref="JIS24" si="3638">$C$24*JIQ24</f>
        <v>100000</v>
      </c>
      <c r="JIU24" s="906">
        <f t="shared" ref="JIU24" si="3639">$C$24*JIS24</f>
        <v>100000</v>
      </c>
      <c r="JIW24" s="906">
        <f t="shared" ref="JIW24" si="3640">$C$24*JIU24</f>
        <v>100000</v>
      </c>
      <c r="JIY24" s="906">
        <f t="shared" ref="JIY24" si="3641">$C$24*JIW24</f>
        <v>100000</v>
      </c>
      <c r="JJA24" s="906">
        <f t="shared" ref="JJA24" si="3642">$C$24*JIY24</f>
        <v>100000</v>
      </c>
      <c r="JJC24" s="906">
        <f t="shared" ref="JJC24" si="3643">$C$24*JJA24</f>
        <v>100000</v>
      </c>
      <c r="JJE24" s="906">
        <f t="shared" ref="JJE24" si="3644">$C$24*JJC24</f>
        <v>100000</v>
      </c>
      <c r="JJG24" s="906">
        <f t="shared" ref="JJG24" si="3645">$C$24*JJE24</f>
        <v>100000</v>
      </c>
      <c r="JJI24" s="906">
        <f t="shared" ref="JJI24" si="3646">$C$24*JJG24</f>
        <v>100000</v>
      </c>
      <c r="JJK24" s="906">
        <f t="shared" ref="JJK24" si="3647">$C$24*JJI24</f>
        <v>100000</v>
      </c>
      <c r="JJM24" s="906">
        <f t="shared" ref="JJM24" si="3648">$C$24*JJK24</f>
        <v>100000</v>
      </c>
      <c r="JJO24" s="906">
        <f t="shared" ref="JJO24" si="3649">$C$24*JJM24</f>
        <v>100000</v>
      </c>
      <c r="JJQ24" s="906">
        <f t="shared" ref="JJQ24" si="3650">$C$24*JJO24</f>
        <v>100000</v>
      </c>
      <c r="JJS24" s="906">
        <f t="shared" ref="JJS24" si="3651">$C$24*JJQ24</f>
        <v>100000</v>
      </c>
      <c r="JJU24" s="906">
        <f t="shared" ref="JJU24" si="3652">$C$24*JJS24</f>
        <v>100000</v>
      </c>
      <c r="JJW24" s="906">
        <f t="shared" ref="JJW24" si="3653">$C$24*JJU24</f>
        <v>100000</v>
      </c>
      <c r="JJY24" s="906">
        <f t="shared" ref="JJY24" si="3654">$C$24*JJW24</f>
        <v>100000</v>
      </c>
      <c r="JKA24" s="906">
        <f t="shared" ref="JKA24" si="3655">$C$24*JJY24</f>
        <v>100000</v>
      </c>
      <c r="JKC24" s="906">
        <f t="shared" ref="JKC24" si="3656">$C$24*JKA24</f>
        <v>100000</v>
      </c>
      <c r="JKE24" s="906">
        <f t="shared" ref="JKE24" si="3657">$C$24*JKC24</f>
        <v>100000</v>
      </c>
      <c r="JKG24" s="906">
        <f t="shared" ref="JKG24" si="3658">$C$24*JKE24</f>
        <v>100000</v>
      </c>
      <c r="JKI24" s="906">
        <f t="shared" ref="JKI24" si="3659">$C$24*JKG24</f>
        <v>100000</v>
      </c>
      <c r="JKK24" s="906">
        <f t="shared" ref="JKK24" si="3660">$C$24*JKI24</f>
        <v>100000</v>
      </c>
      <c r="JKM24" s="906">
        <f t="shared" ref="JKM24" si="3661">$C$24*JKK24</f>
        <v>100000</v>
      </c>
      <c r="JKO24" s="906">
        <f t="shared" ref="JKO24" si="3662">$C$24*JKM24</f>
        <v>100000</v>
      </c>
      <c r="JKQ24" s="906">
        <f t="shared" ref="JKQ24" si="3663">$C$24*JKO24</f>
        <v>100000</v>
      </c>
      <c r="JKS24" s="906">
        <f t="shared" ref="JKS24" si="3664">$C$24*JKQ24</f>
        <v>100000</v>
      </c>
      <c r="JKU24" s="906">
        <f t="shared" ref="JKU24" si="3665">$C$24*JKS24</f>
        <v>100000</v>
      </c>
      <c r="JKW24" s="906">
        <f t="shared" ref="JKW24" si="3666">$C$24*JKU24</f>
        <v>100000</v>
      </c>
      <c r="JKY24" s="906">
        <f t="shared" ref="JKY24" si="3667">$C$24*JKW24</f>
        <v>100000</v>
      </c>
      <c r="JLA24" s="906">
        <f t="shared" ref="JLA24" si="3668">$C$24*JKY24</f>
        <v>100000</v>
      </c>
      <c r="JLC24" s="906">
        <f t="shared" ref="JLC24" si="3669">$C$24*JLA24</f>
        <v>100000</v>
      </c>
      <c r="JLE24" s="906">
        <f t="shared" ref="JLE24" si="3670">$C$24*JLC24</f>
        <v>100000</v>
      </c>
      <c r="JLG24" s="906">
        <f t="shared" ref="JLG24" si="3671">$C$24*JLE24</f>
        <v>100000</v>
      </c>
      <c r="JLI24" s="906">
        <f t="shared" ref="JLI24" si="3672">$C$24*JLG24</f>
        <v>100000</v>
      </c>
      <c r="JLK24" s="906">
        <f t="shared" ref="JLK24" si="3673">$C$24*JLI24</f>
        <v>100000</v>
      </c>
      <c r="JLM24" s="906">
        <f t="shared" ref="JLM24" si="3674">$C$24*JLK24</f>
        <v>100000</v>
      </c>
      <c r="JLO24" s="906">
        <f t="shared" ref="JLO24" si="3675">$C$24*JLM24</f>
        <v>100000</v>
      </c>
      <c r="JLQ24" s="906">
        <f t="shared" ref="JLQ24" si="3676">$C$24*JLO24</f>
        <v>100000</v>
      </c>
      <c r="JLS24" s="906">
        <f t="shared" ref="JLS24" si="3677">$C$24*JLQ24</f>
        <v>100000</v>
      </c>
      <c r="JLU24" s="906">
        <f t="shared" ref="JLU24" si="3678">$C$24*JLS24</f>
        <v>100000</v>
      </c>
      <c r="JLW24" s="906">
        <f t="shared" ref="JLW24" si="3679">$C$24*JLU24</f>
        <v>100000</v>
      </c>
      <c r="JLY24" s="906">
        <f t="shared" ref="JLY24" si="3680">$C$24*JLW24</f>
        <v>100000</v>
      </c>
      <c r="JMA24" s="906">
        <f t="shared" ref="JMA24" si="3681">$C$24*JLY24</f>
        <v>100000</v>
      </c>
      <c r="JMC24" s="906">
        <f t="shared" ref="JMC24" si="3682">$C$24*JMA24</f>
        <v>100000</v>
      </c>
      <c r="JME24" s="906">
        <f t="shared" ref="JME24" si="3683">$C$24*JMC24</f>
        <v>100000</v>
      </c>
      <c r="JMG24" s="906">
        <f t="shared" ref="JMG24" si="3684">$C$24*JME24</f>
        <v>100000</v>
      </c>
      <c r="JMI24" s="906">
        <f t="shared" ref="JMI24" si="3685">$C$24*JMG24</f>
        <v>100000</v>
      </c>
      <c r="JMK24" s="906">
        <f t="shared" ref="JMK24" si="3686">$C$24*JMI24</f>
        <v>100000</v>
      </c>
      <c r="JMM24" s="906">
        <f t="shared" ref="JMM24" si="3687">$C$24*JMK24</f>
        <v>100000</v>
      </c>
      <c r="JMO24" s="906">
        <f t="shared" ref="JMO24" si="3688">$C$24*JMM24</f>
        <v>100000</v>
      </c>
      <c r="JMQ24" s="906">
        <f t="shared" ref="JMQ24" si="3689">$C$24*JMO24</f>
        <v>100000</v>
      </c>
      <c r="JMS24" s="906">
        <f t="shared" ref="JMS24" si="3690">$C$24*JMQ24</f>
        <v>100000</v>
      </c>
      <c r="JMU24" s="906">
        <f t="shared" ref="JMU24" si="3691">$C$24*JMS24</f>
        <v>100000</v>
      </c>
      <c r="JMW24" s="906">
        <f t="shared" ref="JMW24" si="3692">$C$24*JMU24</f>
        <v>100000</v>
      </c>
      <c r="JMY24" s="906">
        <f t="shared" ref="JMY24" si="3693">$C$24*JMW24</f>
        <v>100000</v>
      </c>
      <c r="JNA24" s="906">
        <f t="shared" ref="JNA24" si="3694">$C$24*JMY24</f>
        <v>100000</v>
      </c>
      <c r="JNC24" s="906">
        <f t="shared" ref="JNC24" si="3695">$C$24*JNA24</f>
        <v>100000</v>
      </c>
      <c r="JNE24" s="906">
        <f t="shared" ref="JNE24" si="3696">$C$24*JNC24</f>
        <v>100000</v>
      </c>
      <c r="JNG24" s="906">
        <f t="shared" ref="JNG24" si="3697">$C$24*JNE24</f>
        <v>100000</v>
      </c>
      <c r="JNI24" s="906">
        <f t="shared" ref="JNI24" si="3698">$C$24*JNG24</f>
        <v>100000</v>
      </c>
      <c r="JNK24" s="906">
        <f t="shared" ref="JNK24" si="3699">$C$24*JNI24</f>
        <v>100000</v>
      </c>
      <c r="JNM24" s="906">
        <f t="shared" ref="JNM24" si="3700">$C$24*JNK24</f>
        <v>100000</v>
      </c>
      <c r="JNO24" s="906">
        <f t="shared" ref="JNO24" si="3701">$C$24*JNM24</f>
        <v>100000</v>
      </c>
      <c r="JNQ24" s="906">
        <f t="shared" ref="JNQ24" si="3702">$C$24*JNO24</f>
        <v>100000</v>
      </c>
      <c r="JNS24" s="906">
        <f t="shared" ref="JNS24" si="3703">$C$24*JNQ24</f>
        <v>100000</v>
      </c>
      <c r="JNU24" s="906">
        <f t="shared" ref="JNU24" si="3704">$C$24*JNS24</f>
        <v>100000</v>
      </c>
      <c r="JNW24" s="906">
        <f t="shared" ref="JNW24" si="3705">$C$24*JNU24</f>
        <v>100000</v>
      </c>
      <c r="JNY24" s="906">
        <f t="shared" ref="JNY24" si="3706">$C$24*JNW24</f>
        <v>100000</v>
      </c>
      <c r="JOA24" s="906">
        <f t="shared" ref="JOA24" si="3707">$C$24*JNY24</f>
        <v>100000</v>
      </c>
      <c r="JOC24" s="906">
        <f t="shared" ref="JOC24" si="3708">$C$24*JOA24</f>
        <v>100000</v>
      </c>
      <c r="JOE24" s="906">
        <f t="shared" ref="JOE24" si="3709">$C$24*JOC24</f>
        <v>100000</v>
      </c>
      <c r="JOG24" s="906">
        <f t="shared" ref="JOG24" si="3710">$C$24*JOE24</f>
        <v>100000</v>
      </c>
      <c r="JOI24" s="906">
        <f t="shared" ref="JOI24" si="3711">$C$24*JOG24</f>
        <v>100000</v>
      </c>
      <c r="JOK24" s="906">
        <f t="shared" ref="JOK24" si="3712">$C$24*JOI24</f>
        <v>100000</v>
      </c>
      <c r="JOM24" s="906">
        <f t="shared" ref="JOM24" si="3713">$C$24*JOK24</f>
        <v>100000</v>
      </c>
      <c r="JOO24" s="906">
        <f t="shared" ref="JOO24" si="3714">$C$24*JOM24</f>
        <v>100000</v>
      </c>
      <c r="JOQ24" s="906">
        <f t="shared" ref="JOQ24" si="3715">$C$24*JOO24</f>
        <v>100000</v>
      </c>
      <c r="JOS24" s="906">
        <f t="shared" ref="JOS24" si="3716">$C$24*JOQ24</f>
        <v>100000</v>
      </c>
      <c r="JOU24" s="906">
        <f t="shared" ref="JOU24" si="3717">$C$24*JOS24</f>
        <v>100000</v>
      </c>
      <c r="JOW24" s="906">
        <f t="shared" ref="JOW24" si="3718">$C$24*JOU24</f>
        <v>100000</v>
      </c>
      <c r="JOY24" s="906">
        <f t="shared" ref="JOY24" si="3719">$C$24*JOW24</f>
        <v>100000</v>
      </c>
      <c r="JPA24" s="906">
        <f t="shared" ref="JPA24" si="3720">$C$24*JOY24</f>
        <v>100000</v>
      </c>
      <c r="JPC24" s="906">
        <f t="shared" ref="JPC24" si="3721">$C$24*JPA24</f>
        <v>100000</v>
      </c>
      <c r="JPE24" s="906">
        <f t="shared" ref="JPE24" si="3722">$C$24*JPC24</f>
        <v>100000</v>
      </c>
      <c r="JPG24" s="906">
        <f t="shared" ref="JPG24" si="3723">$C$24*JPE24</f>
        <v>100000</v>
      </c>
      <c r="JPI24" s="906">
        <f t="shared" ref="JPI24" si="3724">$C$24*JPG24</f>
        <v>100000</v>
      </c>
      <c r="JPK24" s="906">
        <f t="shared" ref="JPK24" si="3725">$C$24*JPI24</f>
        <v>100000</v>
      </c>
      <c r="JPM24" s="906">
        <f t="shared" ref="JPM24" si="3726">$C$24*JPK24</f>
        <v>100000</v>
      </c>
      <c r="JPO24" s="906">
        <f t="shared" ref="JPO24" si="3727">$C$24*JPM24</f>
        <v>100000</v>
      </c>
      <c r="JPQ24" s="906">
        <f t="shared" ref="JPQ24" si="3728">$C$24*JPO24</f>
        <v>100000</v>
      </c>
      <c r="JPS24" s="906">
        <f t="shared" ref="JPS24" si="3729">$C$24*JPQ24</f>
        <v>100000</v>
      </c>
      <c r="JPU24" s="906">
        <f t="shared" ref="JPU24" si="3730">$C$24*JPS24</f>
        <v>100000</v>
      </c>
      <c r="JPW24" s="906">
        <f t="shared" ref="JPW24" si="3731">$C$24*JPU24</f>
        <v>100000</v>
      </c>
      <c r="JPY24" s="906">
        <f t="shared" ref="JPY24" si="3732">$C$24*JPW24</f>
        <v>100000</v>
      </c>
      <c r="JQA24" s="906">
        <f t="shared" ref="JQA24" si="3733">$C$24*JPY24</f>
        <v>100000</v>
      </c>
      <c r="JQC24" s="906">
        <f t="shared" ref="JQC24" si="3734">$C$24*JQA24</f>
        <v>100000</v>
      </c>
      <c r="JQE24" s="906">
        <f t="shared" ref="JQE24" si="3735">$C$24*JQC24</f>
        <v>100000</v>
      </c>
      <c r="JQG24" s="906">
        <f t="shared" ref="JQG24" si="3736">$C$24*JQE24</f>
        <v>100000</v>
      </c>
      <c r="JQI24" s="906">
        <f t="shared" ref="JQI24" si="3737">$C$24*JQG24</f>
        <v>100000</v>
      </c>
      <c r="JQK24" s="906">
        <f t="shared" ref="JQK24" si="3738">$C$24*JQI24</f>
        <v>100000</v>
      </c>
      <c r="JQM24" s="906">
        <f t="shared" ref="JQM24" si="3739">$C$24*JQK24</f>
        <v>100000</v>
      </c>
      <c r="JQO24" s="906">
        <f t="shared" ref="JQO24" si="3740">$C$24*JQM24</f>
        <v>100000</v>
      </c>
      <c r="JQQ24" s="906">
        <f t="shared" ref="JQQ24" si="3741">$C$24*JQO24</f>
        <v>100000</v>
      </c>
      <c r="JQS24" s="906">
        <f t="shared" ref="JQS24" si="3742">$C$24*JQQ24</f>
        <v>100000</v>
      </c>
      <c r="JQU24" s="906">
        <f t="shared" ref="JQU24" si="3743">$C$24*JQS24</f>
        <v>100000</v>
      </c>
      <c r="JQW24" s="906">
        <f t="shared" ref="JQW24" si="3744">$C$24*JQU24</f>
        <v>100000</v>
      </c>
      <c r="JQY24" s="906">
        <f t="shared" ref="JQY24" si="3745">$C$24*JQW24</f>
        <v>100000</v>
      </c>
      <c r="JRA24" s="906">
        <f t="shared" ref="JRA24" si="3746">$C$24*JQY24</f>
        <v>100000</v>
      </c>
      <c r="JRC24" s="906">
        <f t="shared" ref="JRC24" si="3747">$C$24*JRA24</f>
        <v>100000</v>
      </c>
      <c r="JRE24" s="906">
        <f t="shared" ref="JRE24" si="3748">$C$24*JRC24</f>
        <v>100000</v>
      </c>
      <c r="JRG24" s="906">
        <f t="shared" ref="JRG24" si="3749">$C$24*JRE24</f>
        <v>100000</v>
      </c>
      <c r="JRI24" s="906">
        <f t="shared" ref="JRI24" si="3750">$C$24*JRG24</f>
        <v>100000</v>
      </c>
      <c r="JRK24" s="906">
        <f t="shared" ref="JRK24" si="3751">$C$24*JRI24</f>
        <v>100000</v>
      </c>
      <c r="JRM24" s="906">
        <f t="shared" ref="JRM24" si="3752">$C$24*JRK24</f>
        <v>100000</v>
      </c>
      <c r="JRO24" s="906">
        <f t="shared" ref="JRO24" si="3753">$C$24*JRM24</f>
        <v>100000</v>
      </c>
      <c r="JRQ24" s="906">
        <f t="shared" ref="JRQ24" si="3754">$C$24*JRO24</f>
        <v>100000</v>
      </c>
      <c r="JRS24" s="906">
        <f t="shared" ref="JRS24" si="3755">$C$24*JRQ24</f>
        <v>100000</v>
      </c>
      <c r="JRU24" s="906">
        <f t="shared" ref="JRU24" si="3756">$C$24*JRS24</f>
        <v>100000</v>
      </c>
      <c r="JRW24" s="906">
        <f t="shared" ref="JRW24" si="3757">$C$24*JRU24</f>
        <v>100000</v>
      </c>
      <c r="JRY24" s="906">
        <f t="shared" ref="JRY24" si="3758">$C$24*JRW24</f>
        <v>100000</v>
      </c>
      <c r="JSA24" s="906">
        <f t="shared" ref="JSA24" si="3759">$C$24*JRY24</f>
        <v>100000</v>
      </c>
      <c r="JSC24" s="906">
        <f t="shared" ref="JSC24" si="3760">$C$24*JSA24</f>
        <v>100000</v>
      </c>
      <c r="JSE24" s="906">
        <f t="shared" ref="JSE24" si="3761">$C$24*JSC24</f>
        <v>100000</v>
      </c>
      <c r="JSG24" s="906">
        <f t="shared" ref="JSG24" si="3762">$C$24*JSE24</f>
        <v>100000</v>
      </c>
      <c r="JSI24" s="906">
        <f t="shared" ref="JSI24" si="3763">$C$24*JSG24</f>
        <v>100000</v>
      </c>
      <c r="JSK24" s="906">
        <f t="shared" ref="JSK24" si="3764">$C$24*JSI24</f>
        <v>100000</v>
      </c>
      <c r="JSM24" s="906">
        <f t="shared" ref="JSM24" si="3765">$C$24*JSK24</f>
        <v>100000</v>
      </c>
      <c r="JSO24" s="906">
        <f t="shared" ref="JSO24" si="3766">$C$24*JSM24</f>
        <v>100000</v>
      </c>
      <c r="JSQ24" s="906">
        <f t="shared" ref="JSQ24" si="3767">$C$24*JSO24</f>
        <v>100000</v>
      </c>
      <c r="JSS24" s="906">
        <f t="shared" ref="JSS24" si="3768">$C$24*JSQ24</f>
        <v>100000</v>
      </c>
      <c r="JSU24" s="906">
        <f t="shared" ref="JSU24" si="3769">$C$24*JSS24</f>
        <v>100000</v>
      </c>
      <c r="JSW24" s="906">
        <f t="shared" ref="JSW24" si="3770">$C$24*JSU24</f>
        <v>100000</v>
      </c>
      <c r="JSY24" s="906">
        <f t="shared" ref="JSY24" si="3771">$C$24*JSW24</f>
        <v>100000</v>
      </c>
      <c r="JTA24" s="906">
        <f t="shared" ref="JTA24" si="3772">$C$24*JSY24</f>
        <v>100000</v>
      </c>
      <c r="JTC24" s="906">
        <f t="shared" ref="JTC24" si="3773">$C$24*JTA24</f>
        <v>100000</v>
      </c>
      <c r="JTE24" s="906">
        <f t="shared" ref="JTE24" si="3774">$C$24*JTC24</f>
        <v>100000</v>
      </c>
      <c r="JTG24" s="906">
        <f t="shared" ref="JTG24" si="3775">$C$24*JTE24</f>
        <v>100000</v>
      </c>
      <c r="JTI24" s="906">
        <f t="shared" ref="JTI24" si="3776">$C$24*JTG24</f>
        <v>100000</v>
      </c>
      <c r="JTK24" s="906">
        <f t="shared" ref="JTK24" si="3777">$C$24*JTI24</f>
        <v>100000</v>
      </c>
      <c r="JTM24" s="906">
        <f t="shared" ref="JTM24" si="3778">$C$24*JTK24</f>
        <v>100000</v>
      </c>
      <c r="JTO24" s="906">
        <f t="shared" ref="JTO24" si="3779">$C$24*JTM24</f>
        <v>100000</v>
      </c>
      <c r="JTQ24" s="906">
        <f t="shared" ref="JTQ24" si="3780">$C$24*JTO24</f>
        <v>100000</v>
      </c>
      <c r="JTS24" s="906">
        <f t="shared" ref="JTS24" si="3781">$C$24*JTQ24</f>
        <v>100000</v>
      </c>
      <c r="JTU24" s="906">
        <f t="shared" ref="JTU24" si="3782">$C$24*JTS24</f>
        <v>100000</v>
      </c>
      <c r="JTW24" s="906">
        <f t="shared" ref="JTW24" si="3783">$C$24*JTU24</f>
        <v>100000</v>
      </c>
      <c r="JTY24" s="906">
        <f t="shared" ref="JTY24" si="3784">$C$24*JTW24</f>
        <v>100000</v>
      </c>
      <c r="JUA24" s="906">
        <f t="shared" ref="JUA24" si="3785">$C$24*JTY24</f>
        <v>100000</v>
      </c>
      <c r="JUC24" s="906">
        <f t="shared" ref="JUC24" si="3786">$C$24*JUA24</f>
        <v>100000</v>
      </c>
      <c r="JUE24" s="906">
        <f t="shared" ref="JUE24" si="3787">$C$24*JUC24</f>
        <v>100000</v>
      </c>
      <c r="JUG24" s="906">
        <f t="shared" ref="JUG24" si="3788">$C$24*JUE24</f>
        <v>100000</v>
      </c>
      <c r="JUI24" s="906">
        <f t="shared" ref="JUI24" si="3789">$C$24*JUG24</f>
        <v>100000</v>
      </c>
      <c r="JUK24" s="906">
        <f t="shared" ref="JUK24" si="3790">$C$24*JUI24</f>
        <v>100000</v>
      </c>
      <c r="JUM24" s="906">
        <f t="shared" ref="JUM24" si="3791">$C$24*JUK24</f>
        <v>100000</v>
      </c>
      <c r="JUO24" s="906">
        <f t="shared" ref="JUO24" si="3792">$C$24*JUM24</f>
        <v>100000</v>
      </c>
      <c r="JUQ24" s="906">
        <f t="shared" ref="JUQ24" si="3793">$C$24*JUO24</f>
        <v>100000</v>
      </c>
      <c r="JUS24" s="906">
        <f t="shared" ref="JUS24" si="3794">$C$24*JUQ24</f>
        <v>100000</v>
      </c>
      <c r="JUU24" s="906">
        <f t="shared" ref="JUU24" si="3795">$C$24*JUS24</f>
        <v>100000</v>
      </c>
      <c r="JUW24" s="906">
        <f t="shared" ref="JUW24" si="3796">$C$24*JUU24</f>
        <v>100000</v>
      </c>
      <c r="JUY24" s="906">
        <f t="shared" ref="JUY24" si="3797">$C$24*JUW24</f>
        <v>100000</v>
      </c>
      <c r="JVA24" s="906">
        <f t="shared" ref="JVA24" si="3798">$C$24*JUY24</f>
        <v>100000</v>
      </c>
      <c r="JVC24" s="906">
        <f t="shared" ref="JVC24" si="3799">$C$24*JVA24</f>
        <v>100000</v>
      </c>
      <c r="JVE24" s="906">
        <f t="shared" ref="JVE24" si="3800">$C$24*JVC24</f>
        <v>100000</v>
      </c>
      <c r="JVG24" s="906">
        <f t="shared" ref="JVG24" si="3801">$C$24*JVE24</f>
        <v>100000</v>
      </c>
      <c r="JVI24" s="906">
        <f t="shared" ref="JVI24" si="3802">$C$24*JVG24</f>
        <v>100000</v>
      </c>
      <c r="JVK24" s="906">
        <f t="shared" ref="JVK24" si="3803">$C$24*JVI24</f>
        <v>100000</v>
      </c>
      <c r="JVM24" s="906">
        <f t="shared" ref="JVM24" si="3804">$C$24*JVK24</f>
        <v>100000</v>
      </c>
      <c r="JVO24" s="906">
        <f t="shared" ref="JVO24" si="3805">$C$24*JVM24</f>
        <v>100000</v>
      </c>
      <c r="JVQ24" s="906">
        <f t="shared" ref="JVQ24" si="3806">$C$24*JVO24</f>
        <v>100000</v>
      </c>
      <c r="JVS24" s="906">
        <f t="shared" ref="JVS24" si="3807">$C$24*JVQ24</f>
        <v>100000</v>
      </c>
      <c r="JVU24" s="906">
        <f t="shared" ref="JVU24" si="3808">$C$24*JVS24</f>
        <v>100000</v>
      </c>
      <c r="JVW24" s="906">
        <f t="shared" ref="JVW24" si="3809">$C$24*JVU24</f>
        <v>100000</v>
      </c>
      <c r="JVY24" s="906">
        <f t="shared" ref="JVY24" si="3810">$C$24*JVW24</f>
        <v>100000</v>
      </c>
      <c r="JWA24" s="906">
        <f t="shared" ref="JWA24" si="3811">$C$24*JVY24</f>
        <v>100000</v>
      </c>
      <c r="JWC24" s="906">
        <f t="shared" ref="JWC24" si="3812">$C$24*JWA24</f>
        <v>100000</v>
      </c>
      <c r="JWE24" s="906">
        <f t="shared" ref="JWE24" si="3813">$C$24*JWC24</f>
        <v>100000</v>
      </c>
      <c r="JWG24" s="906">
        <f t="shared" ref="JWG24" si="3814">$C$24*JWE24</f>
        <v>100000</v>
      </c>
      <c r="JWI24" s="906">
        <f t="shared" ref="JWI24" si="3815">$C$24*JWG24</f>
        <v>100000</v>
      </c>
      <c r="JWK24" s="906">
        <f t="shared" ref="JWK24" si="3816">$C$24*JWI24</f>
        <v>100000</v>
      </c>
      <c r="JWM24" s="906">
        <f t="shared" ref="JWM24" si="3817">$C$24*JWK24</f>
        <v>100000</v>
      </c>
      <c r="JWO24" s="906">
        <f t="shared" ref="JWO24" si="3818">$C$24*JWM24</f>
        <v>100000</v>
      </c>
      <c r="JWQ24" s="906">
        <f t="shared" ref="JWQ24" si="3819">$C$24*JWO24</f>
        <v>100000</v>
      </c>
      <c r="JWS24" s="906">
        <f t="shared" ref="JWS24" si="3820">$C$24*JWQ24</f>
        <v>100000</v>
      </c>
      <c r="JWU24" s="906">
        <f t="shared" ref="JWU24" si="3821">$C$24*JWS24</f>
        <v>100000</v>
      </c>
      <c r="JWW24" s="906">
        <f t="shared" ref="JWW24" si="3822">$C$24*JWU24</f>
        <v>100000</v>
      </c>
      <c r="JWY24" s="906">
        <f t="shared" ref="JWY24" si="3823">$C$24*JWW24</f>
        <v>100000</v>
      </c>
      <c r="JXA24" s="906">
        <f t="shared" ref="JXA24" si="3824">$C$24*JWY24</f>
        <v>100000</v>
      </c>
      <c r="JXC24" s="906">
        <f t="shared" ref="JXC24" si="3825">$C$24*JXA24</f>
        <v>100000</v>
      </c>
      <c r="JXE24" s="906">
        <f t="shared" ref="JXE24" si="3826">$C$24*JXC24</f>
        <v>100000</v>
      </c>
      <c r="JXG24" s="906">
        <f t="shared" ref="JXG24" si="3827">$C$24*JXE24</f>
        <v>100000</v>
      </c>
      <c r="JXI24" s="906">
        <f t="shared" ref="JXI24" si="3828">$C$24*JXG24</f>
        <v>100000</v>
      </c>
      <c r="JXK24" s="906">
        <f t="shared" ref="JXK24" si="3829">$C$24*JXI24</f>
        <v>100000</v>
      </c>
      <c r="JXM24" s="906">
        <f t="shared" ref="JXM24" si="3830">$C$24*JXK24</f>
        <v>100000</v>
      </c>
      <c r="JXO24" s="906">
        <f t="shared" ref="JXO24" si="3831">$C$24*JXM24</f>
        <v>100000</v>
      </c>
      <c r="JXQ24" s="906">
        <f t="shared" ref="JXQ24" si="3832">$C$24*JXO24</f>
        <v>100000</v>
      </c>
      <c r="JXS24" s="906">
        <f t="shared" ref="JXS24" si="3833">$C$24*JXQ24</f>
        <v>100000</v>
      </c>
      <c r="JXU24" s="906">
        <f t="shared" ref="JXU24" si="3834">$C$24*JXS24</f>
        <v>100000</v>
      </c>
      <c r="JXW24" s="906">
        <f t="shared" ref="JXW24" si="3835">$C$24*JXU24</f>
        <v>100000</v>
      </c>
      <c r="JXY24" s="906">
        <f t="shared" ref="JXY24" si="3836">$C$24*JXW24</f>
        <v>100000</v>
      </c>
      <c r="JYA24" s="906">
        <f t="shared" ref="JYA24" si="3837">$C$24*JXY24</f>
        <v>100000</v>
      </c>
      <c r="JYC24" s="906">
        <f t="shared" ref="JYC24" si="3838">$C$24*JYA24</f>
        <v>100000</v>
      </c>
      <c r="JYE24" s="906">
        <f t="shared" ref="JYE24" si="3839">$C$24*JYC24</f>
        <v>100000</v>
      </c>
      <c r="JYG24" s="906">
        <f t="shared" ref="JYG24" si="3840">$C$24*JYE24</f>
        <v>100000</v>
      </c>
      <c r="JYI24" s="906">
        <f t="shared" ref="JYI24" si="3841">$C$24*JYG24</f>
        <v>100000</v>
      </c>
      <c r="JYK24" s="906">
        <f t="shared" ref="JYK24" si="3842">$C$24*JYI24</f>
        <v>100000</v>
      </c>
      <c r="JYM24" s="906">
        <f t="shared" ref="JYM24" si="3843">$C$24*JYK24</f>
        <v>100000</v>
      </c>
      <c r="JYO24" s="906">
        <f t="shared" ref="JYO24" si="3844">$C$24*JYM24</f>
        <v>100000</v>
      </c>
      <c r="JYQ24" s="906">
        <f t="shared" ref="JYQ24" si="3845">$C$24*JYO24</f>
        <v>100000</v>
      </c>
      <c r="JYS24" s="906">
        <f t="shared" ref="JYS24" si="3846">$C$24*JYQ24</f>
        <v>100000</v>
      </c>
      <c r="JYU24" s="906">
        <f t="shared" ref="JYU24" si="3847">$C$24*JYS24</f>
        <v>100000</v>
      </c>
      <c r="JYW24" s="906">
        <f t="shared" ref="JYW24" si="3848">$C$24*JYU24</f>
        <v>100000</v>
      </c>
      <c r="JYY24" s="906">
        <f t="shared" ref="JYY24" si="3849">$C$24*JYW24</f>
        <v>100000</v>
      </c>
      <c r="JZA24" s="906">
        <f t="shared" ref="JZA24" si="3850">$C$24*JYY24</f>
        <v>100000</v>
      </c>
      <c r="JZC24" s="906">
        <f t="shared" ref="JZC24" si="3851">$C$24*JZA24</f>
        <v>100000</v>
      </c>
      <c r="JZE24" s="906">
        <f t="shared" ref="JZE24" si="3852">$C$24*JZC24</f>
        <v>100000</v>
      </c>
      <c r="JZG24" s="906">
        <f t="shared" ref="JZG24" si="3853">$C$24*JZE24</f>
        <v>100000</v>
      </c>
      <c r="JZI24" s="906">
        <f t="shared" ref="JZI24" si="3854">$C$24*JZG24</f>
        <v>100000</v>
      </c>
      <c r="JZK24" s="906">
        <f t="shared" ref="JZK24" si="3855">$C$24*JZI24</f>
        <v>100000</v>
      </c>
      <c r="JZM24" s="906">
        <f t="shared" ref="JZM24" si="3856">$C$24*JZK24</f>
        <v>100000</v>
      </c>
      <c r="JZO24" s="906">
        <f t="shared" ref="JZO24" si="3857">$C$24*JZM24</f>
        <v>100000</v>
      </c>
      <c r="JZQ24" s="906">
        <f t="shared" ref="JZQ24" si="3858">$C$24*JZO24</f>
        <v>100000</v>
      </c>
      <c r="JZS24" s="906">
        <f t="shared" ref="JZS24" si="3859">$C$24*JZQ24</f>
        <v>100000</v>
      </c>
      <c r="JZU24" s="906">
        <f t="shared" ref="JZU24" si="3860">$C$24*JZS24</f>
        <v>100000</v>
      </c>
      <c r="JZW24" s="906">
        <f t="shared" ref="JZW24" si="3861">$C$24*JZU24</f>
        <v>100000</v>
      </c>
      <c r="JZY24" s="906">
        <f t="shared" ref="JZY24" si="3862">$C$24*JZW24</f>
        <v>100000</v>
      </c>
      <c r="KAA24" s="906">
        <f t="shared" ref="KAA24" si="3863">$C$24*JZY24</f>
        <v>100000</v>
      </c>
      <c r="KAC24" s="906">
        <f t="shared" ref="KAC24" si="3864">$C$24*KAA24</f>
        <v>100000</v>
      </c>
      <c r="KAE24" s="906">
        <f t="shared" ref="KAE24" si="3865">$C$24*KAC24</f>
        <v>100000</v>
      </c>
      <c r="KAG24" s="906">
        <f t="shared" ref="KAG24" si="3866">$C$24*KAE24</f>
        <v>100000</v>
      </c>
      <c r="KAI24" s="906">
        <f t="shared" ref="KAI24" si="3867">$C$24*KAG24</f>
        <v>100000</v>
      </c>
      <c r="KAK24" s="906">
        <f t="shared" ref="KAK24" si="3868">$C$24*KAI24</f>
        <v>100000</v>
      </c>
      <c r="KAM24" s="906">
        <f t="shared" ref="KAM24" si="3869">$C$24*KAK24</f>
        <v>100000</v>
      </c>
      <c r="KAO24" s="906">
        <f t="shared" ref="KAO24" si="3870">$C$24*KAM24</f>
        <v>100000</v>
      </c>
      <c r="KAQ24" s="906">
        <f t="shared" ref="KAQ24" si="3871">$C$24*KAO24</f>
        <v>100000</v>
      </c>
      <c r="KAS24" s="906">
        <f t="shared" ref="KAS24" si="3872">$C$24*KAQ24</f>
        <v>100000</v>
      </c>
      <c r="KAU24" s="906">
        <f t="shared" ref="KAU24" si="3873">$C$24*KAS24</f>
        <v>100000</v>
      </c>
      <c r="KAW24" s="906">
        <f t="shared" ref="KAW24" si="3874">$C$24*KAU24</f>
        <v>100000</v>
      </c>
      <c r="KAY24" s="906">
        <f t="shared" ref="KAY24" si="3875">$C$24*KAW24</f>
        <v>100000</v>
      </c>
      <c r="KBA24" s="906">
        <f t="shared" ref="KBA24" si="3876">$C$24*KAY24</f>
        <v>100000</v>
      </c>
      <c r="KBC24" s="906">
        <f t="shared" ref="KBC24" si="3877">$C$24*KBA24</f>
        <v>100000</v>
      </c>
      <c r="KBE24" s="906">
        <f t="shared" ref="KBE24" si="3878">$C$24*KBC24</f>
        <v>100000</v>
      </c>
      <c r="KBG24" s="906">
        <f t="shared" ref="KBG24" si="3879">$C$24*KBE24</f>
        <v>100000</v>
      </c>
      <c r="KBI24" s="906">
        <f t="shared" ref="KBI24" si="3880">$C$24*KBG24</f>
        <v>100000</v>
      </c>
      <c r="KBK24" s="906">
        <f t="shared" ref="KBK24" si="3881">$C$24*KBI24</f>
        <v>100000</v>
      </c>
      <c r="KBM24" s="906">
        <f t="shared" ref="KBM24" si="3882">$C$24*KBK24</f>
        <v>100000</v>
      </c>
      <c r="KBO24" s="906">
        <f t="shared" ref="KBO24" si="3883">$C$24*KBM24</f>
        <v>100000</v>
      </c>
      <c r="KBQ24" s="906">
        <f t="shared" ref="KBQ24" si="3884">$C$24*KBO24</f>
        <v>100000</v>
      </c>
      <c r="KBS24" s="906">
        <f t="shared" ref="KBS24" si="3885">$C$24*KBQ24</f>
        <v>100000</v>
      </c>
      <c r="KBU24" s="906">
        <f t="shared" ref="KBU24" si="3886">$C$24*KBS24</f>
        <v>100000</v>
      </c>
      <c r="KBW24" s="906">
        <f t="shared" ref="KBW24" si="3887">$C$24*KBU24</f>
        <v>100000</v>
      </c>
      <c r="KBY24" s="906">
        <f t="shared" ref="KBY24" si="3888">$C$24*KBW24</f>
        <v>100000</v>
      </c>
      <c r="KCA24" s="906">
        <f t="shared" ref="KCA24" si="3889">$C$24*KBY24</f>
        <v>100000</v>
      </c>
      <c r="KCC24" s="906">
        <f t="shared" ref="KCC24" si="3890">$C$24*KCA24</f>
        <v>100000</v>
      </c>
      <c r="KCE24" s="906">
        <f t="shared" ref="KCE24" si="3891">$C$24*KCC24</f>
        <v>100000</v>
      </c>
      <c r="KCG24" s="906">
        <f t="shared" ref="KCG24" si="3892">$C$24*KCE24</f>
        <v>100000</v>
      </c>
      <c r="KCI24" s="906">
        <f t="shared" ref="KCI24" si="3893">$C$24*KCG24</f>
        <v>100000</v>
      </c>
      <c r="KCK24" s="906">
        <f t="shared" ref="KCK24" si="3894">$C$24*KCI24</f>
        <v>100000</v>
      </c>
      <c r="KCM24" s="906">
        <f t="shared" ref="KCM24" si="3895">$C$24*KCK24</f>
        <v>100000</v>
      </c>
      <c r="KCO24" s="906">
        <f t="shared" ref="KCO24" si="3896">$C$24*KCM24</f>
        <v>100000</v>
      </c>
      <c r="KCQ24" s="906">
        <f t="shared" ref="KCQ24" si="3897">$C$24*KCO24</f>
        <v>100000</v>
      </c>
      <c r="KCS24" s="906">
        <f t="shared" ref="KCS24" si="3898">$C$24*KCQ24</f>
        <v>100000</v>
      </c>
      <c r="KCU24" s="906">
        <f t="shared" ref="KCU24" si="3899">$C$24*KCS24</f>
        <v>100000</v>
      </c>
      <c r="KCW24" s="906">
        <f t="shared" ref="KCW24" si="3900">$C$24*KCU24</f>
        <v>100000</v>
      </c>
      <c r="KCY24" s="906">
        <f t="shared" ref="KCY24" si="3901">$C$24*KCW24</f>
        <v>100000</v>
      </c>
      <c r="KDA24" s="906">
        <f t="shared" ref="KDA24" si="3902">$C$24*KCY24</f>
        <v>100000</v>
      </c>
      <c r="KDC24" s="906">
        <f t="shared" ref="KDC24" si="3903">$C$24*KDA24</f>
        <v>100000</v>
      </c>
      <c r="KDE24" s="906">
        <f t="shared" ref="KDE24" si="3904">$C$24*KDC24</f>
        <v>100000</v>
      </c>
      <c r="KDG24" s="906">
        <f t="shared" ref="KDG24" si="3905">$C$24*KDE24</f>
        <v>100000</v>
      </c>
      <c r="KDI24" s="906">
        <f t="shared" ref="KDI24" si="3906">$C$24*KDG24</f>
        <v>100000</v>
      </c>
      <c r="KDK24" s="906">
        <f t="shared" ref="KDK24" si="3907">$C$24*KDI24</f>
        <v>100000</v>
      </c>
      <c r="KDM24" s="906">
        <f t="shared" ref="KDM24" si="3908">$C$24*KDK24</f>
        <v>100000</v>
      </c>
      <c r="KDO24" s="906">
        <f t="shared" ref="KDO24" si="3909">$C$24*KDM24</f>
        <v>100000</v>
      </c>
      <c r="KDQ24" s="906">
        <f t="shared" ref="KDQ24" si="3910">$C$24*KDO24</f>
        <v>100000</v>
      </c>
      <c r="KDS24" s="906">
        <f t="shared" ref="KDS24" si="3911">$C$24*KDQ24</f>
        <v>100000</v>
      </c>
      <c r="KDU24" s="906">
        <f t="shared" ref="KDU24" si="3912">$C$24*KDS24</f>
        <v>100000</v>
      </c>
      <c r="KDW24" s="906">
        <f t="shared" ref="KDW24" si="3913">$C$24*KDU24</f>
        <v>100000</v>
      </c>
      <c r="KDY24" s="906">
        <f t="shared" ref="KDY24" si="3914">$C$24*KDW24</f>
        <v>100000</v>
      </c>
      <c r="KEA24" s="906">
        <f t="shared" ref="KEA24" si="3915">$C$24*KDY24</f>
        <v>100000</v>
      </c>
      <c r="KEC24" s="906">
        <f t="shared" ref="KEC24" si="3916">$C$24*KEA24</f>
        <v>100000</v>
      </c>
      <c r="KEE24" s="906">
        <f t="shared" ref="KEE24" si="3917">$C$24*KEC24</f>
        <v>100000</v>
      </c>
      <c r="KEG24" s="906">
        <f t="shared" ref="KEG24" si="3918">$C$24*KEE24</f>
        <v>100000</v>
      </c>
      <c r="KEI24" s="906">
        <f t="shared" ref="KEI24" si="3919">$C$24*KEG24</f>
        <v>100000</v>
      </c>
      <c r="KEK24" s="906">
        <f t="shared" ref="KEK24" si="3920">$C$24*KEI24</f>
        <v>100000</v>
      </c>
      <c r="KEM24" s="906">
        <f t="shared" ref="KEM24" si="3921">$C$24*KEK24</f>
        <v>100000</v>
      </c>
      <c r="KEO24" s="906">
        <f t="shared" ref="KEO24" si="3922">$C$24*KEM24</f>
        <v>100000</v>
      </c>
      <c r="KEQ24" s="906">
        <f t="shared" ref="KEQ24" si="3923">$C$24*KEO24</f>
        <v>100000</v>
      </c>
      <c r="KES24" s="906">
        <f t="shared" ref="KES24" si="3924">$C$24*KEQ24</f>
        <v>100000</v>
      </c>
      <c r="KEU24" s="906">
        <f t="shared" ref="KEU24" si="3925">$C$24*KES24</f>
        <v>100000</v>
      </c>
      <c r="KEW24" s="906">
        <f t="shared" ref="KEW24" si="3926">$C$24*KEU24</f>
        <v>100000</v>
      </c>
      <c r="KEY24" s="906">
        <f t="shared" ref="KEY24" si="3927">$C$24*KEW24</f>
        <v>100000</v>
      </c>
      <c r="KFA24" s="906">
        <f t="shared" ref="KFA24" si="3928">$C$24*KEY24</f>
        <v>100000</v>
      </c>
      <c r="KFC24" s="906">
        <f t="shared" ref="KFC24" si="3929">$C$24*KFA24</f>
        <v>100000</v>
      </c>
      <c r="KFE24" s="906">
        <f t="shared" ref="KFE24" si="3930">$C$24*KFC24</f>
        <v>100000</v>
      </c>
      <c r="KFG24" s="906">
        <f t="shared" ref="KFG24" si="3931">$C$24*KFE24</f>
        <v>100000</v>
      </c>
      <c r="KFI24" s="906">
        <f t="shared" ref="KFI24" si="3932">$C$24*KFG24</f>
        <v>100000</v>
      </c>
      <c r="KFK24" s="906">
        <f t="shared" ref="KFK24" si="3933">$C$24*KFI24</f>
        <v>100000</v>
      </c>
      <c r="KFM24" s="906">
        <f t="shared" ref="KFM24" si="3934">$C$24*KFK24</f>
        <v>100000</v>
      </c>
      <c r="KFO24" s="906">
        <f t="shared" ref="KFO24" si="3935">$C$24*KFM24</f>
        <v>100000</v>
      </c>
      <c r="KFQ24" s="906">
        <f t="shared" ref="KFQ24" si="3936">$C$24*KFO24</f>
        <v>100000</v>
      </c>
      <c r="KFS24" s="906">
        <f t="shared" ref="KFS24" si="3937">$C$24*KFQ24</f>
        <v>100000</v>
      </c>
      <c r="KFU24" s="906">
        <f t="shared" ref="KFU24" si="3938">$C$24*KFS24</f>
        <v>100000</v>
      </c>
      <c r="KFW24" s="906">
        <f t="shared" ref="KFW24" si="3939">$C$24*KFU24</f>
        <v>100000</v>
      </c>
      <c r="KFY24" s="906">
        <f t="shared" ref="KFY24" si="3940">$C$24*KFW24</f>
        <v>100000</v>
      </c>
      <c r="KGA24" s="906">
        <f t="shared" ref="KGA24" si="3941">$C$24*KFY24</f>
        <v>100000</v>
      </c>
      <c r="KGC24" s="906">
        <f t="shared" ref="KGC24" si="3942">$C$24*KGA24</f>
        <v>100000</v>
      </c>
      <c r="KGE24" s="906">
        <f t="shared" ref="KGE24" si="3943">$C$24*KGC24</f>
        <v>100000</v>
      </c>
      <c r="KGG24" s="906">
        <f t="shared" ref="KGG24" si="3944">$C$24*KGE24</f>
        <v>100000</v>
      </c>
      <c r="KGI24" s="906">
        <f t="shared" ref="KGI24" si="3945">$C$24*KGG24</f>
        <v>100000</v>
      </c>
      <c r="KGK24" s="906">
        <f t="shared" ref="KGK24" si="3946">$C$24*KGI24</f>
        <v>100000</v>
      </c>
      <c r="KGM24" s="906">
        <f t="shared" ref="KGM24" si="3947">$C$24*KGK24</f>
        <v>100000</v>
      </c>
      <c r="KGO24" s="906">
        <f t="shared" ref="KGO24" si="3948">$C$24*KGM24</f>
        <v>100000</v>
      </c>
      <c r="KGQ24" s="906">
        <f t="shared" ref="KGQ24" si="3949">$C$24*KGO24</f>
        <v>100000</v>
      </c>
      <c r="KGS24" s="906">
        <f t="shared" ref="KGS24" si="3950">$C$24*KGQ24</f>
        <v>100000</v>
      </c>
      <c r="KGU24" s="906">
        <f t="shared" ref="KGU24" si="3951">$C$24*KGS24</f>
        <v>100000</v>
      </c>
      <c r="KGW24" s="906">
        <f t="shared" ref="KGW24" si="3952">$C$24*KGU24</f>
        <v>100000</v>
      </c>
      <c r="KGY24" s="906">
        <f t="shared" ref="KGY24" si="3953">$C$24*KGW24</f>
        <v>100000</v>
      </c>
      <c r="KHA24" s="906">
        <f t="shared" ref="KHA24" si="3954">$C$24*KGY24</f>
        <v>100000</v>
      </c>
      <c r="KHC24" s="906">
        <f t="shared" ref="KHC24" si="3955">$C$24*KHA24</f>
        <v>100000</v>
      </c>
      <c r="KHE24" s="906">
        <f t="shared" ref="KHE24" si="3956">$C$24*KHC24</f>
        <v>100000</v>
      </c>
      <c r="KHG24" s="906">
        <f t="shared" ref="KHG24" si="3957">$C$24*KHE24</f>
        <v>100000</v>
      </c>
      <c r="KHI24" s="906">
        <f t="shared" ref="KHI24" si="3958">$C$24*KHG24</f>
        <v>100000</v>
      </c>
      <c r="KHK24" s="906">
        <f t="shared" ref="KHK24" si="3959">$C$24*KHI24</f>
        <v>100000</v>
      </c>
      <c r="KHM24" s="906">
        <f t="shared" ref="KHM24" si="3960">$C$24*KHK24</f>
        <v>100000</v>
      </c>
      <c r="KHO24" s="906">
        <f t="shared" ref="KHO24" si="3961">$C$24*KHM24</f>
        <v>100000</v>
      </c>
      <c r="KHQ24" s="906">
        <f t="shared" ref="KHQ24" si="3962">$C$24*KHO24</f>
        <v>100000</v>
      </c>
      <c r="KHS24" s="906">
        <f t="shared" ref="KHS24" si="3963">$C$24*KHQ24</f>
        <v>100000</v>
      </c>
      <c r="KHU24" s="906">
        <f t="shared" ref="KHU24" si="3964">$C$24*KHS24</f>
        <v>100000</v>
      </c>
      <c r="KHW24" s="906">
        <f t="shared" ref="KHW24" si="3965">$C$24*KHU24</f>
        <v>100000</v>
      </c>
      <c r="KHY24" s="906">
        <f t="shared" ref="KHY24" si="3966">$C$24*KHW24</f>
        <v>100000</v>
      </c>
      <c r="KIA24" s="906">
        <f t="shared" ref="KIA24" si="3967">$C$24*KHY24</f>
        <v>100000</v>
      </c>
      <c r="KIC24" s="906">
        <f t="shared" ref="KIC24" si="3968">$C$24*KIA24</f>
        <v>100000</v>
      </c>
      <c r="KIE24" s="906">
        <f t="shared" ref="KIE24" si="3969">$C$24*KIC24</f>
        <v>100000</v>
      </c>
      <c r="KIG24" s="906">
        <f t="shared" ref="KIG24" si="3970">$C$24*KIE24</f>
        <v>100000</v>
      </c>
      <c r="KII24" s="906">
        <f t="shared" ref="KII24" si="3971">$C$24*KIG24</f>
        <v>100000</v>
      </c>
      <c r="KIK24" s="906">
        <f t="shared" ref="KIK24" si="3972">$C$24*KII24</f>
        <v>100000</v>
      </c>
      <c r="KIM24" s="906">
        <f t="shared" ref="KIM24" si="3973">$C$24*KIK24</f>
        <v>100000</v>
      </c>
      <c r="KIO24" s="906">
        <f t="shared" ref="KIO24" si="3974">$C$24*KIM24</f>
        <v>100000</v>
      </c>
      <c r="KIQ24" s="906">
        <f t="shared" ref="KIQ24" si="3975">$C$24*KIO24</f>
        <v>100000</v>
      </c>
      <c r="KIS24" s="906">
        <f t="shared" ref="KIS24" si="3976">$C$24*KIQ24</f>
        <v>100000</v>
      </c>
      <c r="KIU24" s="906">
        <f t="shared" ref="KIU24" si="3977">$C$24*KIS24</f>
        <v>100000</v>
      </c>
      <c r="KIW24" s="906">
        <f t="shared" ref="KIW24" si="3978">$C$24*KIU24</f>
        <v>100000</v>
      </c>
      <c r="KIY24" s="906">
        <f t="shared" ref="KIY24" si="3979">$C$24*KIW24</f>
        <v>100000</v>
      </c>
      <c r="KJA24" s="906">
        <f t="shared" ref="KJA24" si="3980">$C$24*KIY24</f>
        <v>100000</v>
      </c>
      <c r="KJC24" s="906">
        <f t="shared" ref="KJC24" si="3981">$C$24*KJA24</f>
        <v>100000</v>
      </c>
      <c r="KJE24" s="906">
        <f t="shared" ref="KJE24" si="3982">$C$24*KJC24</f>
        <v>100000</v>
      </c>
      <c r="KJG24" s="906">
        <f t="shared" ref="KJG24" si="3983">$C$24*KJE24</f>
        <v>100000</v>
      </c>
      <c r="KJI24" s="906">
        <f t="shared" ref="KJI24" si="3984">$C$24*KJG24</f>
        <v>100000</v>
      </c>
      <c r="KJK24" s="906">
        <f t="shared" ref="KJK24" si="3985">$C$24*KJI24</f>
        <v>100000</v>
      </c>
      <c r="KJM24" s="906">
        <f t="shared" ref="KJM24" si="3986">$C$24*KJK24</f>
        <v>100000</v>
      </c>
      <c r="KJO24" s="906">
        <f t="shared" ref="KJO24" si="3987">$C$24*KJM24</f>
        <v>100000</v>
      </c>
      <c r="KJQ24" s="906">
        <f t="shared" ref="KJQ24" si="3988">$C$24*KJO24</f>
        <v>100000</v>
      </c>
      <c r="KJS24" s="906">
        <f t="shared" ref="KJS24" si="3989">$C$24*KJQ24</f>
        <v>100000</v>
      </c>
      <c r="KJU24" s="906">
        <f t="shared" ref="KJU24" si="3990">$C$24*KJS24</f>
        <v>100000</v>
      </c>
      <c r="KJW24" s="906">
        <f t="shared" ref="KJW24" si="3991">$C$24*KJU24</f>
        <v>100000</v>
      </c>
      <c r="KJY24" s="906">
        <f t="shared" ref="KJY24" si="3992">$C$24*KJW24</f>
        <v>100000</v>
      </c>
      <c r="KKA24" s="906">
        <f t="shared" ref="KKA24" si="3993">$C$24*KJY24</f>
        <v>100000</v>
      </c>
      <c r="KKC24" s="906">
        <f t="shared" ref="KKC24" si="3994">$C$24*KKA24</f>
        <v>100000</v>
      </c>
      <c r="KKE24" s="906">
        <f t="shared" ref="KKE24" si="3995">$C$24*KKC24</f>
        <v>100000</v>
      </c>
      <c r="KKG24" s="906">
        <f t="shared" ref="KKG24" si="3996">$C$24*KKE24</f>
        <v>100000</v>
      </c>
      <c r="KKI24" s="906">
        <f t="shared" ref="KKI24" si="3997">$C$24*KKG24</f>
        <v>100000</v>
      </c>
      <c r="KKK24" s="906">
        <f t="shared" ref="KKK24" si="3998">$C$24*KKI24</f>
        <v>100000</v>
      </c>
      <c r="KKM24" s="906">
        <f t="shared" ref="KKM24" si="3999">$C$24*KKK24</f>
        <v>100000</v>
      </c>
      <c r="KKO24" s="906">
        <f t="shared" ref="KKO24" si="4000">$C$24*KKM24</f>
        <v>100000</v>
      </c>
      <c r="KKQ24" s="906">
        <f t="shared" ref="KKQ24" si="4001">$C$24*KKO24</f>
        <v>100000</v>
      </c>
      <c r="KKS24" s="906">
        <f t="shared" ref="KKS24" si="4002">$C$24*KKQ24</f>
        <v>100000</v>
      </c>
      <c r="KKU24" s="906">
        <f t="shared" ref="KKU24" si="4003">$C$24*KKS24</f>
        <v>100000</v>
      </c>
      <c r="KKW24" s="906">
        <f t="shared" ref="KKW24" si="4004">$C$24*KKU24</f>
        <v>100000</v>
      </c>
      <c r="KKY24" s="906">
        <f t="shared" ref="KKY24" si="4005">$C$24*KKW24</f>
        <v>100000</v>
      </c>
      <c r="KLA24" s="906">
        <f t="shared" ref="KLA24" si="4006">$C$24*KKY24</f>
        <v>100000</v>
      </c>
      <c r="KLC24" s="906">
        <f t="shared" ref="KLC24" si="4007">$C$24*KLA24</f>
        <v>100000</v>
      </c>
      <c r="KLE24" s="906">
        <f t="shared" ref="KLE24" si="4008">$C$24*KLC24</f>
        <v>100000</v>
      </c>
      <c r="KLG24" s="906">
        <f t="shared" ref="KLG24" si="4009">$C$24*KLE24</f>
        <v>100000</v>
      </c>
      <c r="KLI24" s="906">
        <f t="shared" ref="KLI24" si="4010">$C$24*KLG24</f>
        <v>100000</v>
      </c>
      <c r="KLK24" s="906">
        <f t="shared" ref="KLK24" si="4011">$C$24*KLI24</f>
        <v>100000</v>
      </c>
      <c r="KLM24" s="906">
        <f t="shared" ref="KLM24" si="4012">$C$24*KLK24</f>
        <v>100000</v>
      </c>
      <c r="KLO24" s="906">
        <f t="shared" ref="KLO24" si="4013">$C$24*KLM24</f>
        <v>100000</v>
      </c>
      <c r="KLQ24" s="906">
        <f t="shared" ref="KLQ24" si="4014">$C$24*KLO24</f>
        <v>100000</v>
      </c>
      <c r="KLS24" s="906">
        <f t="shared" ref="KLS24" si="4015">$C$24*KLQ24</f>
        <v>100000</v>
      </c>
      <c r="KLU24" s="906">
        <f t="shared" ref="KLU24" si="4016">$C$24*KLS24</f>
        <v>100000</v>
      </c>
      <c r="KLW24" s="906">
        <f t="shared" ref="KLW24" si="4017">$C$24*KLU24</f>
        <v>100000</v>
      </c>
      <c r="KLY24" s="906">
        <f t="shared" ref="KLY24" si="4018">$C$24*KLW24</f>
        <v>100000</v>
      </c>
      <c r="KMA24" s="906">
        <f t="shared" ref="KMA24" si="4019">$C$24*KLY24</f>
        <v>100000</v>
      </c>
      <c r="KMC24" s="906">
        <f t="shared" ref="KMC24" si="4020">$C$24*KMA24</f>
        <v>100000</v>
      </c>
      <c r="KME24" s="906">
        <f t="shared" ref="KME24" si="4021">$C$24*KMC24</f>
        <v>100000</v>
      </c>
      <c r="KMG24" s="906">
        <f t="shared" ref="KMG24" si="4022">$C$24*KME24</f>
        <v>100000</v>
      </c>
      <c r="KMI24" s="906">
        <f t="shared" ref="KMI24" si="4023">$C$24*KMG24</f>
        <v>100000</v>
      </c>
      <c r="KMK24" s="906">
        <f t="shared" ref="KMK24" si="4024">$C$24*KMI24</f>
        <v>100000</v>
      </c>
      <c r="KMM24" s="906">
        <f t="shared" ref="KMM24" si="4025">$C$24*KMK24</f>
        <v>100000</v>
      </c>
      <c r="KMO24" s="906">
        <f t="shared" ref="KMO24" si="4026">$C$24*KMM24</f>
        <v>100000</v>
      </c>
      <c r="KMQ24" s="906">
        <f t="shared" ref="KMQ24" si="4027">$C$24*KMO24</f>
        <v>100000</v>
      </c>
      <c r="KMS24" s="906">
        <f t="shared" ref="KMS24" si="4028">$C$24*KMQ24</f>
        <v>100000</v>
      </c>
      <c r="KMU24" s="906">
        <f t="shared" ref="KMU24" si="4029">$C$24*KMS24</f>
        <v>100000</v>
      </c>
      <c r="KMW24" s="906">
        <f t="shared" ref="KMW24" si="4030">$C$24*KMU24</f>
        <v>100000</v>
      </c>
      <c r="KMY24" s="906">
        <f t="shared" ref="KMY24" si="4031">$C$24*KMW24</f>
        <v>100000</v>
      </c>
      <c r="KNA24" s="906">
        <f t="shared" ref="KNA24" si="4032">$C$24*KMY24</f>
        <v>100000</v>
      </c>
      <c r="KNC24" s="906">
        <f t="shared" ref="KNC24" si="4033">$C$24*KNA24</f>
        <v>100000</v>
      </c>
      <c r="KNE24" s="906">
        <f t="shared" ref="KNE24" si="4034">$C$24*KNC24</f>
        <v>100000</v>
      </c>
      <c r="KNG24" s="906">
        <f t="shared" ref="KNG24" si="4035">$C$24*KNE24</f>
        <v>100000</v>
      </c>
      <c r="KNI24" s="906">
        <f t="shared" ref="KNI24" si="4036">$C$24*KNG24</f>
        <v>100000</v>
      </c>
      <c r="KNK24" s="906">
        <f t="shared" ref="KNK24" si="4037">$C$24*KNI24</f>
        <v>100000</v>
      </c>
      <c r="KNM24" s="906">
        <f t="shared" ref="KNM24" si="4038">$C$24*KNK24</f>
        <v>100000</v>
      </c>
      <c r="KNO24" s="906">
        <f t="shared" ref="KNO24" si="4039">$C$24*KNM24</f>
        <v>100000</v>
      </c>
      <c r="KNQ24" s="906">
        <f t="shared" ref="KNQ24" si="4040">$C$24*KNO24</f>
        <v>100000</v>
      </c>
      <c r="KNS24" s="906">
        <f t="shared" ref="KNS24" si="4041">$C$24*KNQ24</f>
        <v>100000</v>
      </c>
      <c r="KNU24" s="906">
        <f t="shared" ref="KNU24" si="4042">$C$24*KNS24</f>
        <v>100000</v>
      </c>
      <c r="KNW24" s="906">
        <f t="shared" ref="KNW24" si="4043">$C$24*KNU24</f>
        <v>100000</v>
      </c>
      <c r="KNY24" s="906">
        <f t="shared" ref="KNY24" si="4044">$C$24*KNW24</f>
        <v>100000</v>
      </c>
      <c r="KOA24" s="906">
        <f t="shared" ref="KOA24" si="4045">$C$24*KNY24</f>
        <v>100000</v>
      </c>
      <c r="KOC24" s="906">
        <f t="shared" ref="KOC24" si="4046">$C$24*KOA24</f>
        <v>100000</v>
      </c>
      <c r="KOE24" s="906">
        <f t="shared" ref="KOE24" si="4047">$C$24*KOC24</f>
        <v>100000</v>
      </c>
      <c r="KOG24" s="906">
        <f t="shared" ref="KOG24" si="4048">$C$24*KOE24</f>
        <v>100000</v>
      </c>
      <c r="KOI24" s="906">
        <f t="shared" ref="KOI24" si="4049">$C$24*KOG24</f>
        <v>100000</v>
      </c>
      <c r="KOK24" s="906">
        <f t="shared" ref="KOK24" si="4050">$C$24*KOI24</f>
        <v>100000</v>
      </c>
      <c r="KOM24" s="906">
        <f t="shared" ref="KOM24" si="4051">$C$24*KOK24</f>
        <v>100000</v>
      </c>
      <c r="KOO24" s="906">
        <f t="shared" ref="KOO24" si="4052">$C$24*KOM24</f>
        <v>100000</v>
      </c>
      <c r="KOQ24" s="906">
        <f t="shared" ref="KOQ24" si="4053">$C$24*KOO24</f>
        <v>100000</v>
      </c>
      <c r="KOS24" s="906">
        <f t="shared" ref="KOS24" si="4054">$C$24*KOQ24</f>
        <v>100000</v>
      </c>
      <c r="KOU24" s="906">
        <f t="shared" ref="KOU24" si="4055">$C$24*KOS24</f>
        <v>100000</v>
      </c>
      <c r="KOW24" s="906">
        <f t="shared" ref="KOW24" si="4056">$C$24*KOU24</f>
        <v>100000</v>
      </c>
      <c r="KOY24" s="906">
        <f t="shared" ref="KOY24" si="4057">$C$24*KOW24</f>
        <v>100000</v>
      </c>
      <c r="KPA24" s="906">
        <f t="shared" ref="KPA24" si="4058">$C$24*KOY24</f>
        <v>100000</v>
      </c>
      <c r="KPC24" s="906">
        <f t="shared" ref="KPC24" si="4059">$C$24*KPA24</f>
        <v>100000</v>
      </c>
      <c r="KPE24" s="906">
        <f t="shared" ref="KPE24" si="4060">$C$24*KPC24</f>
        <v>100000</v>
      </c>
      <c r="KPG24" s="906">
        <f t="shared" ref="KPG24" si="4061">$C$24*KPE24</f>
        <v>100000</v>
      </c>
      <c r="KPI24" s="906">
        <f t="shared" ref="KPI24" si="4062">$C$24*KPG24</f>
        <v>100000</v>
      </c>
      <c r="KPK24" s="906">
        <f t="shared" ref="KPK24" si="4063">$C$24*KPI24</f>
        <v>100000</v>
      </c>
      <c r="KPM24" s="906">
        <f t="shared" ref="KPM24" si="4064">$C$24*KPK24</f>
        <v>100000</v>
      </c>
      <c r="KPO24" s="906">
        <f t="shared" ref="KPO24" si="4065">$C$24*KPM24</f>
        <v>100000</v>
      </c>
      <c r="KPQ24" s="906">
        <f t="shared" ref="KPQ24" si="4066">$C$24*KPO24</f>
        <v>100000</v>
      </c>
      <c r="KPS24" s="906">
        <f t="shared" ref="KPS24" si="4067">$C$24*KPQ24</f>
        <v>100000</v>
      </c>
      <c r="KPU24" s="906">
        <f t="shared" ref="KPU24" si="4068">$C$24*KPS24</f>
        <v>100000</v>
      </c>
      <c r="KPW24" s="906">
        <f t="shared" ref="KPW24" si="4069">$C$24*KPU24</f>
        <v>100000</v>
      </c>
      <c r="KPY24" s="906">
        <f t="shared" ref="KPY24" si="4070">$C$24*KPW24</f>
        <v>100000</v>
      </c>
      <c r="KQA24" s="906">
        <f t="shared" ref="KQA24" si="4071">$C$24*KPY24</f>
        <v>100000</v>
      </c>
      <c r="KQC24" s="906">
        <f t="shared" ref="KQC24" si="4072">$C$24*KQA24</f>
        <v>100000</v>
      </c>
      <c r="KQE24" s="906">
        <f t="shared" ref="KQE24" si="4073">$C$24*KQC24</f>
        <v>100000</v>
      </c>
      <c r="KQG24" s="906">
        <f t="shared" ref="KQG24" si="4074">$C$24*KQE24</f>
        <v>100000</v>
      </c>
      <c r="KQI24" s="906">
        <f t="shared" ref="KQI24" si="4075">$C$24*KQG24</f>
        <v>100000</v>
      </c>
      <c r="KQK24" s="906">
        <f t="shared" ref="KQK24" si="4076">$C$24*KQI24</f>
        <v>100000</v>
      </c>
      <c r="KQM24" s="906">
        <f t="shared" ref="KQM24" si="4077">$C$24*KQK24</f>
        <v>100000</v>
      </c>
      <c r="KQO24" s="906">
        <f t="shared" ref="KQO24" si="4078">$C$24*KQM24</f>
        <v>100000</v>
      </c>
      <c r="KQQ24" s="906">
        <f t="shared" ref="KQQ24" si="4079">$C$24*KQO24</f>
        <v>100000</v>
      </c>
      <c r="KQS24" s="906">
        <f t="shared" ref="KQS24" si="4080">$C$24*KQQ24</f>
        <v>100000</v>
      </c>
      <c r="KQU24" s="906">
        <f t="shared" ref="KQU24" si="4081">$C$24*KQS24</f>
        <v>100000</v>
      </c>
      <c r="KQW24" s="906">
        <f t="shared" ref="KQW24" si="4082">$C$24*KQU24</f>
        <v>100000</v>
      </c>
      <c r="KQY24" s="906">
        <f t="shared" ref="KQY24" si="4083">$C$24*KQW24</f>
        <v>100000</v>
      </c>
      <c r="KRA24" s="906">
        <f t="shared" ref="KRA24" si="4084">$C$24*KQY24</f>
        <v>100000</v>
      </c>
      <c r="KRC24" s="906">
        <f t="shared" ref="KRC24" si="4085">$C$24*KRA24</f>
        <v>100000</v>
      </c>
      <c r="KRE24" s="906">
        <f t="shared" ref="KRE24" si="4086">$C$24*KRC24</f>
        <v>100000</v>
      </c>
      <c r="KRG24" s="906">
        <f t="shared" ref="KRG24" si="4087">$C$24*KRE24</f>
        <v>100000</v>
      </c>
      <c r="KRI24" s="906">
        <f t="shared" ref="KRI24" si="4088">$C$24*KRG24</f>
        <v>100000</v>
      </c>
      <c r="KRK24" s="906">
        <f t="shared" ref="KRK24" si="4089">$C$24*KRI24</f>
        <v>100000</v>
      </c>
      <c r="KRM24" s="906">
        <f t="shared" ref="KRM24" si="4090">$C$24*KRK24</f>
        <v>100000</v>
      </c>
      <c r="KRO24" s="906">
        <f t="shared" ref="KRO24" si="4091">$C$24*KRM24</f>
        <v>100000</v>
      </c>
      <c r="KRQ24" s="906">
        <f t="shared" ref="KRQ24" si="4092">$C$24*KRO24</f>
        <v>100000</v>
      </c>
      <c r="KRS24" s="906">
        <f t="shared" ref="KRS24" si="4093">$C$24*KRQ24</f>
        <v>100000</v>
      </c>
      <c r="KRU24" s="906">
        <f t="shared" ref="KRU24" si="4094">$C$24*KRS24</f>
        <v>100000</v>
      </c>
      <c r="KRW24" s="906">
        <f t="shared" ref="KRW24" si="4095">$C$24*KRU24</f>
        <v>100000</v>
      </c>
      <c r="KRY24" s="906">
        <f t="shared" ref="KRY24" si="4096">$C$24*KRW24</f>
        <v>100000</v>
      </c>
      <c r="KSA24" s="906">
        <f t="shared" ref="KSA24" si="4097">$C$24*KRY24</f>
        <v>100000</v>
      </c>
      <c r="KSC24" s="906">
        <f t="shared" ref="KSC24" si="4098">$C$24*KSA24</f>
        <v>100000</v>
      </c>
      <c r="KSE24" s="906">
        <f t="shared" ref="KSE24" si="4099">$C$24*KSC24</f>
        <v>100000</v>
      </c>
      <c r="KSG24" s="906">
        <f t="shared" ref="KSG24" si="4100">$C$24*KSE24</f>
        <v>100000</v>
      </c>
      <c r="KSI24" s="906">
        <f t="shared" ref="KSI24" si="4101">$C$24*KSG24</f>
        <v>100000</v>
      </c>
      <c r="KSK24" s="906">
        <f t="shared" ref="KSK24" si="4102">$C$24*KSI24</f>
        <v>100000</v>
      </c>
      <c r="KSM24" s="906">
        <f t="shared" ref="KSM24" si="4103">$C$24*KSK24</f>
        <v>100000</v>
      </c>
      <c r="KSO24" s="906">
        <f t="shared" ref="KSO24" si="4104">$C$24*KSM24</f>
        <v>100000</v>
      </c>
      <c r="KSQ24" s="906">
        <f t="shared" ref="KSQ24" si="4105">$C$24*KSO24</f>
        <v>100000</v>
      </c>
      <c r="KSS24" s="906">
        <f t="shared" ref="KSS24" si="4106">$C$24*KSQ24</f>
        <v>100000</v>
      </c>
      <c r="KSU24" s="906">
        <f t="shared" ref="KSU24" si="4107">$C$24*KSS24</f>
        <v>100000</v>
      </c>
      <c r="KSW24" s="906">
        <f t="shared" ref="KSW24" si="4108">$C$24*KSU24</f>
        <v>100000</v>
      </c>
      <c r="KSY24" s="906">
        <f t="shared" ref="KSY24" si="4109">$C$24*KSW24</f>
        <v>100000</v>
      </c>
      <c r="KTA24" s="906">
        <f t="shared" ref="KTA24" si="4110">$C$24*KSY24</f>
        <v>100000</v>
      </c>
      <c r="KTC24" s="906">
        <f t="shared" ref="KTC24" si="4111">$C$24*KTA24</f>
        <v>100000</v>
      </c>
      <c r="KTE24" s="906">
        <f t="shared" ref="KTE24" si="4112">$C$24*KTC24</f>
        <v>100000</v>
      </c>
      <c r="KTG24" s="906">
        <f t="shared" ref="KTG24" si="4113">$C$24*KTE24</f>
        <v>100000</v>
      </c>
      <c r="KTI24" s="906">
        <f t="shared" ref="KTI24" si="4114">$C$24*KTG24</f>
        <v>100000</v>
      </c>
      <c r="KTK24" s="906">
        <f t="shared" ref="KTK24" si="4115">$C$24*KTI24</f>
        <v>100000</v>
      </c>
      <c r="KTM24" s="906">
        <f t="shared" ref="KTM24" si="4116">$C$24*KTK24</f>
        <v>100000</v>
      </c>
      <c r="KTO24" s="906">
        <f t="shared" ref="KTO24" si="4117">$C$24*KTM24</f>
        <v>100000</v>
      </c>
      <c r="KTQ24" s="906">
        <f t="shared" ref="KTQ24" si="4118">$C$24*KTO24</f>
        <v>100000</v>
      </c>
      <c r="KTS24" s="906">
        <f t="shared" ref="KTS24" si="4119">$C$24*KTQ24</f>
        <v>100000</v>
      </c>
      <c r="KTU24" s="906">
        <f t="shared" ref="KTU24" si="4120">$C$24*KTS24</f>
        <v>100000</v>
      </c>
      <c r="KTW24" s="906">
        <f t="shared" ref="KTW24" si="4121">$C$24*KTU24</f>
        <v>100000</v>
      </c>
      <c r="KTY24" s="906">
        <f t="shared" ref="KTY24" si="4122">$C$24*KTW24</f>
        <v>100000</v>
      </c>
      <c r="KUA24" s="906">
        <f t="shared" ref="KUA24" si="4123">$C$24*KTY24</f>
        <v>100000</v>
      </c>
      <c r="KUC24" s="906">
        <f t="shared" ref="KUC24" si="4124">$C$24*KUA24</f>
        <v>100000</v>
      </c>
      <c r="KUE24" s="906">
        <f t="shared" ref="KUE24" si="4125">$C$24*KUC24</f>
        <v>100000</v>
      </c>
      <c r="KUG24" s="906">
        <f t="shared" ref="KUG24" si="4126">$C$24*KUE24</f>
        <v>100000</v>
      </c>
      <c r="KUI24" s="906">
        <f t="shared" ref="KUI24" si="4127">$C$24*KUG24</f>
        <v>100000</v>
      </c>
      <c r="KUK24" s="906">
        <f t="shared" ref="KUK24" si="4128">$C$24*KUI24</f>
        <v>100000</v>
      </c>
      <c r="KUM24" s="906">
        <f t="shared" ref="KUM24" si="4129">$C$24*KUK24</f>
        <v>100000</v>
      </c>
      <c r="KUO24" s="906">
        <f t="shared" ref="KUO24" si="4130">$C$24*KUM24</f>
        <v>100000</v>
      </c>
      <c r="KUQ24" s="906">
        <f t="shared" ref="KUQ24" si="4131">$C$24*KUO24</f>
        <v>100000</v>
      </c>
      <c r="KUS24" s="906">
        <f t="shared" ref="KUS24" si="4132">$C$24*KUQ24</f>
        <v>100000</v>
      </c>
      <c r="KUU24" s="906">
        <f t="shared" ref="KUU24" si="4133">$C$24*KUS24</f>
        <v>100000</v>
      </c>
      <c r="KUW24" s="906">
        <f t="shared" ref="KUW24" si="4134">$C$24*KUU24</f>
        <v>100000</v>
      </c>
      <c r="KUY24" s="906">
        <f t="shared" ref="KUY24" si="4135">$C$24*KUW24</f>
        <v>100000</v>
      </c>
      <c r="KVA24" s="906">
        <f t="shared" ref="KVA24" si="4136">$C$24*KUY24</f>
        <v>100000</v>
      </c>
      <c r="KVC24" s="906">
        <f t="shared" ref="KVC24" si="4137">$C$24*KVA24</f>
        <v>100000</v>
      </c>
      <c r="KVE24" s="906">
        <f t="shared" ref="KVE24" si="4138">$C$24*KVC24</f>
        <v>100000</v>
      </c>
      <c r="KVG24" s="906">
        <f t="shared" ref="KVG24" si="4139">$C$24*KVE24</f>
        <v>100000</v>
      </c>
      <c r="KVI24" s="906">
        <f t="shared" ref="KVI24" si="4140">$C$24*KVG24</f>
        <v>100000</v>
      </c>
      <c r="KVK24" s="906">
        <f t="shared" ref="KVK24" si="4141">$C$24*KVI24</f>
        <v>100000</v>
      </c>
      <c r="KVM24" s="906">
        <f t="shared" ref="KVM24" si="4142">$C$24*KVK24</f>
        <v>100000</v>
      </c>
      <c r="KVO24" s="906">
        <f t="shared" ref="KVO24" si="4143">$C$24*KVM24</f>
        <v>100000</v>
      </c>
      <c r="KVQ24" s="906">
        <f t="shared" ref="KVQ24" si="4144">$C$24*KVO24</f>
        <v>100000</v>
      </c>
      <c r="KVS24" s="906">
        <f t="shared" ref="KVS24" si="4145">$C$24*KVQ24</f>
        <v>100000</v>
      </c>
      <c r="KVU24" s="906">
        <f t="shared" ref="KVU24" si="4146">$C$24*KVS24</f>
        <v>100000</v>
      </c>
      <c r="KVW24" s="906">
        <f t="shared" ref="KVW24" si="4147">$C$24*KVU24</f>
        <v>100000</v>
      </c>
      <c r="KVY24" s="906">
        <f t="shared" ref="KVY24" si="4148">$C$24*KVW24</f>
        <v>100000</v>
      </c>
      <c r="KWA24" s="906">
        <f t="shared" ref="KWA24" si="4149">$C$24*KVY24</f>
        <v>100000</v>
      </c>
      <c r="KWC24" s="906">
        <f t="shared" ref="KWC24" si="4150">$C$24*KWA24</f>
        <v>100000</v>
      </c>
      <c r="KWE24" s="906">
        <f t="shared" ref="KWE24" si="4151">$C$24*KWC24</f>
        <v>100000</v>
      </c>
      <c r="KWG24" s="906">
        <f t="shared" ref="KWG24" si="4152">$C$24*KWE24</f>
        <v>100000</v>
      </c>
      <c r="KWI24" s="906">
        <f t="shared" ref="KWI24" si="4153">$C$24*KWG24</f>
        <v>100000</v>
      </c>
      <c r="KWK24" s="906">
        <f t="shared" ref="KWK24" si="4154">$C$24*KWI24</f>
        <v>100000</v>
      </c>
      <c r="KWM24" s="906">
        <f t="shared" ref="KWM24" si="4155">$C$24*KWK24</f>
        <v>100000</v>
      </c>
      <c r="KWO24" s="906">
        <f t="shared" ref="KWO24" si="4156">$C$24*KWM24</f>
        <v>100000</v>
      </c>
      <c r="KWQ24" s="906">
        <f t="shared" ref="KWQ24" si="4157">$C$24*KWO24</f>
        <v>100000</v>
      </c>
      <c r="KWS24" s="906">
        <f t="shared" ref="KWS24" si="4158">$C$24*KWQ24</f>
        <v>100000</v>
      </c>
      <c r="KWU24" s="906">
        <f t="shared" ref="KWU24" si="4159">$C$24*KWS24</f>
        <v>100000</v>
      </c>
      <c r="KWW24" s="906">
        <f t="shared" ref="KWW24" si="4160">$C$24*KWU24</f>
        <v>100000</v>
      </c>
      <c r="KWY24" s="906">
        <f t="shared" ref="KWY24" si="4161">$C$24*KWW24</f>
        <v>100000</v>
      </c>
      <c r="KXA24" s="906">
        <f t="shared" ref="KXA24" si="4162">$C$24*KWY24</f>
        <v>100000</v>
      </c>
      <c r="KXC24" s="906">
        <f t="shared" ref="KXC24" si="4163">$C$24*KXA24</f>
        <v>100000</v>
      </c>
      <c r="KXE24" s="906">
        <f t="shared" ref="KXE24" si="4164">$C$24*KXC24</f>
        <v>100000</v>
      </c>
      <c r="KXG24" s="906">
        <f t="shared" ref="KXG24" si="4165">$C$24*KXE24</f>
        <v>100000</v>
      </c>
      <c r="KXI24" s="906">
        <f t="shared" ref="KXI24" si="4166">$C$24*KXG24</f>
        <v>100000</v>
      </c>
      <c r="KXK24" s="906">
        <f t="shared" ref="KXK24" si="4167">$C$24*KXI24</f>
        <v>100000</v>
      </c>
      <c r="KXM24" s="906">
        <f t="shared" ref="KXM24" si="4168">$C$24*KXK24</f>
        <v>100000</v>
      </c>
      <c r="KXO24" s="906">
        <f t="shared" ref="KXO24" si="4169">$C$24*KXM24</f>
        <v>100000</v>
      </c>
      <c r="KXQ24" s="906">
        <f t="shared" ref="KXQ24" si="4170">$C$24*KXO24</f>
        <v>100000</v>
      </c>
      <c r="KXS24" s="906">
        <f t="shared" ref="KXS24" si="4171">$C$24*KXQ24</f>
        <v>100000</v>
      </c>
      <c r="KXU24" s="906">
        <f t="shared" ref="KXU24" si="4172">$C$24*KXS24</f>
        <v>100000</v>
      </c>
      <c r="KXW24" s="906">
        <f t="shared" ref="KXW24" si="4173">$C$24*KXU24</f>
        <v>100000</v>
      </c>
      <c r="KXY24" s="906">
        <f t="shared" ref="KXY24" si="4174">$C$24*KXW24</f>
        <v>100000</v>
      </c>
      <c r="KYA24" s="906">
        <f t="shared" ref="KYA24" si="4175">$C$24*KXY24</f>
        <v>100000</v>
      </c>
      <c r="KYC24" s="906">
        <f t="shared" ref="KYC24" si="4176">$C$24*KYA24</f>
        <v>100000</v>
      </c>
      <c r="KYE24" s="906">
        <f t="shared" ref="KYE24" si="4177">$C$24*KYC24</f>
        <v>100000</v>
      </c>
      <c r="KYG24" s="906">
        <f t="shared" ref="KYG24" si="4178">$C$24*KYE24</f>
        <v>100000</v>
      </c>
      <c r="KYI24" s="906">
        <f t="shared" ref="KYI24" si="4179">$C$24*KYG24</f>
        <v>100000</v>
      </c>
      <c r="KYK24" s="906">
        <f t="shared" ref="KYK24" si="4180">$C$24*KYI24</f>
        <v>100000</v>
      </c>
      <c r="KYM24" s="906">
        <f t="shared" ref="KYM24" si="4181">$C$24*KYK24</f>
        <v>100000</v>
      </c>
      <c r="KYO24" s="906">
        <f t="shared" ref="KYO24" si="4182">$C$24*KYM24</f>
        <v>100000</v>
      </c>
      <c r="KYQ24" s="906">
        <f t="shared" ref="KYQ24" si="4183">$C$24*KYO24</f>
        <v>100000</v>
      </c>
      <c r="KYS24" s="906">
        <f t="shared" ref="KYS24" si="4184">$C$24*KYQ24</f>
        <v>100000</v>
      </c>
      <c r="KYU24" s="906">
        <f t="shared" ref="KYU24" si="4185">$C$24*KYS24</f>
        <v>100000</v>
      </c>
      <c r="KYW24" s="906">
        <f t="shared" ref="KYW24" si="4186">$C$24*KYU24</f>
        <v>100000</v>
      </c>
      <c r="KYY24" s="906">
        <f t="shared" ref="KYY24" si="4187">$C$24*KYW24</f>
        <v>100000</v>
      </c>
      <c r="KZA24" s="906">
        <f t="shared" ref="KZA24" si="4188">$C$24*KYY24</f>
        <v>100000</v>
      </c>
      <c r="KZC24" s="906">
        <f t="shared" ref="KZC24" si="4189">$C$24*KZA24</f>
        <v>100000</v>
      </c>
      <c r="KZE24" s="906">
        <f t="shared" ref="KZE24" si="4190">$C$24*KZC24</f>
        <v>100000</v>
      </c>
      <c r="KZG24" s="906">
        <f t="shared" ref="KZG24" si="4191">$C$24*KZE24</f>
        <v>100000</v>
      </c>
      <c r="KZI24" s="906">
        <f t="shared" ref="KZI24" si="4192">$C$24*KZG24</f>
        <v>100000</v>
      </c>
      <c r="KZK24" s="906">
        <f t="shared" ref="KZK24" si="4193">$C$24*KZI24</f>
        <v>100000</v>
      </c>
      <c r="KZM24" s="906">
        <f t="shared" ref="KZM24" si="4194">$C$24*KZK24</f>
        <v>100000</v>
      </c>
      <c r="KZO24" s="906">
        <f t="shared" ref="KZO24" si="4195">$C$24*KZM24</f>
        <v>100000</v>
      </c>
      <c r="KZQ24" s="906">
        <f t="shared" ref="KZQ24" si="4196">$C$24*KZO24</f>
        <v>100000</v>
      </c>
      <c r="KZS24" s="906">
        <f t="shared" ref="KZS24" si="4197">$C$24*KZQ24</f>
        <v>100000</v>
      </c>
      <c r="KZU24" s="906">
        <f t="shared" ref="KZU24" si="4198">$C$24*KZS24</f>
        <v>100000</v>
      </c>
      <c r="KZW24" s="906">
        <f t="shared" ref="KZW24" si="4199">$C$24*KZU24</f>
        <v>100000</v>
      </c>
      <c r="KZY24" s="906">
        <f t="shared" ref="KZY24" si="4200">$C$24*KZW24</f>
        <v>100000</v>
      </c>
      <c r="LAA24" s="906">
        <f t="shared" ref="LAA24" si="4201">$C$24*KZY24</f>
        <v>100000</v>
      </c>
      <c r="LAC24" s="906">
        <f t="shared" ref="LAC24" si="4202">$C$24*LAA24</f>
        <v>100000</v>
      </c>
      <c r="LAE24" s="906">
        <f t="shared" ref="LAE24" si="4203">$C$24*LAC24</f>
        <v>100000</v>
      </c>
      <c r="LAG24" s="906">
        <f t="shared" ref="LAG24" si="4204">$C$24*LAE24</f>
        <v>100000</v>
      </c>
      <c r="LAI24" s="906">
        <f t="shared" ref="LAI24" si="4205">$C$24*LAG24</f>
        <v>100000</v>
      </c>
      <c r="LAK24" s="906">
        <f t="shared" ref="LAK24" si="4206">$C$24*LAI24</f>
        <v>100000</v>
      </c>
      <c r="LAM24" s="906">
        <f t="shared" ref="LAM24" si="4207">$C$24*LAK24</f>
        <v>100000</v>
      </c>
      <c r="LAO24" s="906">
        <f t="shared" ref="LAO24" si="4208">$C$24*LAM24</f>
        <v>100000</v>
      </c>
      <c r="LAQ24" s="906">
        <f t="shared" ref="LAQ24" si="4209">$C$24*LAO24</f>
        <v>100000</v>
      </c>
      <c r="LAS24" s="906">
        <f t="shared" ref="LAS24" si="4210">$C$24*LAQ24</f>
        <v>100000</v>
      </c>
      <c r="LAU24" s="906">
        <f t="shared" ref="LAU24" si="4211">$C$24*LAS24</f>
        <v>100000</v>
      </c>
      <c r="LAW24" s="906">
        <f t="shared" ref="LAW24" si="4212">$C$24*LAU24</f>
        <v>100000</v>
      </c>
      <c r="LAY24" s="906">
        <f t="shared" ref="LAY24" si="4213">$C$24*LAW24</f>
        <v>100000</v>
      </c>
      <c r="LBA24" s="906">
        <f t="shared" ref="LBA24" si="4214">$C$24*LAY24</f>
        <v>100000</v>
      </c>
      <c r="LBC24" s="906">
        <f t="shared" ref="LBC24" si="4215">$C$24*LBA24</f>
        <v>100000</v>
      </c>
      <c r="LBE24" s="906">
        <f t="shared" ref="LBE24" si="4216">$C$24*LBC24</f>
        <v>100000</v>
      </c>
      <c r="LBG24" s="906">
        <f t="shared" ref="LBG24" si="4217">$C$24*LBE24</f>
        <v>100000</v>
      </c>
      <c r="LBI24" s="906">
        <f t="shared" ref="LBI24" si="4218">$C$24*LBG24</f>
        <v>100000</v>
      </c>
      <c r="LBK24" s="906">
        <f t="shared" ref="LBK24" si="4219">$C$24*LBI24</f>
        <v>100000</v>
      </c>
      <c r="LBM24" s="906">
        <f t="shared" ref="LBM24" si="4220">$C$24*LBK24</f>
        <v>100000</v>
      </c>
      <c r="LBO24" s="906">
        <f t="shared" ref="LBO24" si="4221">$C$24*LBM24</f>
        <v>100000</v>
      </c>
      <c r="LBQ24" s="906">
        <f t="shared" ref="LBQ24" si="4222">$C$24*LBO24</f>
        <v>100000</v>
      </c>
      <c r="LBS24" s="906">
        <f t="shared" ref="LBS24" si="4223">$C$24*LBQ24</f>
        <v>100000</v>
      </c>
      <c r="LBU24" s="906">
        <f t="shared" ref="LBU24" si="4224">$C$24*LBS24</f>
        <v>100000</v>
      </c>
      <c r="LBW24" s="906">
        <f t="shared" ref="LBW24" si="4225">$C$24*LBU24</f>
        <v>100000</v>
      </c>
      <c r="LBY24" s="906">
        <f t="shared" ref="LBY24" si="4226">$C$24*LBW24</f>
        <v>100000</v>
      </c>
      <c r="LCA24" s="906">
        <f t="shared" ref="LCA24" si="4227">$C$24*LBY24</f>
        <v>100000</v>
      </c>
      <c r="LCC24" s="906">
        <f t="shared" ref="LCC24" si="4228">$C$24*LCA24</f>
        <v>100000</v>
      </c>
      <c r="LCE24" s="906">
        <f t="shared" ref="LCE24" si="4229">$C$24*LCC24</f>
        <v>100000</v>
      </c>
      <c r="LCG24" s="906">
        <f t="shared" ref="LCG24" si="4230">$C$24*LCE24</f>
        <v>100000</v>
      </c>
      <c r="LCI24" s="906">
        <f t="shared" ref="LCI24" si="4231">$C$24*LCG24</f>
        <v>100000</v>
      </c>
      <c r="LCK24" s="906">
        <f t="shared" ref="LCK24" si="4232">$C$24*LCI24</f>
        <v>100000</v>
      </c>
      <c r="LCM24" s="906">
        <f t="shared" ref="LCM24" si="4233">$C$24*LCK24</f>
        <v>100000</v>
      </c>
      <c r="LCO24" s="906">
        <f t="shared" ref="LCO24" si="4234">$C$24*LCM24</f>
        <v>100000</v>
      </c>
      <c r="LCQ24" s="906">
        <f t="shared" ref="LCQ24" si="4235">$C$24*LCO24</f>
        <v>100000</v>
      </c>
      <c r="LCS24" s="906">
        <f t="shared" ref="LCS24" si="4236">$C$24*LCQ24</f>
        <v>100000</v>
      </c>
      <c r="LCU24" s="906">
        <f t="shared" ref="LCU24" si="4237">$C$24*LCS24</f>
        <v>100000</v>
      </c>
      <c r="LCW24" s="906">
        <f t="shared" ref="LCW24" si="4238">$C$24*LCU24</f>
        <v>100000</v>
      </c>
      <c r="LCY24" s="906">
        <f t="shared" ref="LCY24" si="4239">$C$24*LCW24</f>
        <v>100000</v>
      </c>
      <c r="LDA24" s="906">
        <f t="shared" ref="LDA24" si="4240">$C$24*LCY24</f>
        <v>100000</v>
      </c>
      <c r="LDC24" s="906">
        <f t="shared" ref="LDC24" si="4241">$C$24*LDA24</f>
        <v>100000</v>
      </c>
      <c r="LDE24" s="906">
        <f t="shared" ref="LDE24" si="4242">$C$24*LDC24</f>
        <v>100000</v>
      </c>
      <c r="LDG24" s="906">
        <f t="shared" ref="LDG24" si="4243">$C$24*LDE24</f>
        <v>100000</v>
      </c>
      <c r="LDI24" s="906">
        <f t="shared" ref="LDI24" si="4244">$C$24*LDG24</f>
        <v>100000</v>
      </c>
      <c r="LDK24" s="906">
        <f t="shared" ref="LDK24" si="4245">$C$24*LDI24</f>
        <v>100000</v>
      </c>
      <c r="LDM24" s="906">
        <f t="shared" ref="LDM24" si="4246">$C$24*LDK24</f>
        <v>100000</v>
      </c>
      <c r="LDO24" s="906">
        <f t="shared" ref="LDO24" si="4247">$C$24*LDM24</f>
        <v>100000</v>
      </c>
      <c r="LDQ24" s="906">
        <f t="shared" ref="LDQ24" si="4248">$C$24*LDO24</f>
        <v>100000</v>
      </c>
      <c r="LDS24" s="906">
        <f t="shared" ref="LDS24" si="4249">$C$24*LDQ24</f>
        <v>100000</v>
      </c>
      <c r="LDU24" s="906">
        <f t="shared" ref="LDU24" si="4250">$C$24*LDS24</f>
        <v>100000</v>
      </c>
      <c r="LDW24" s="906">
        <f t="shared" ref="LDW24" si="4251">$C$24*LDU24</f>
        <v>100000</v>
      </c>
      <c r="LDY24" s="906">
        <f t="shared" ref="LDY24" si="4252">$C$24*LDW24</f>
        <v>100000</v>
      </c>
      <c r="LEA24" s="906">
        <f t="shared" ref="LEA24" si="4253">$C$24*LDY24</f>
        <v>100000</v>
      </c>
      <c r="LEC24" s="906">
        <f t="shared" ref="LEC24" si="4254">$C$24*LEA24</f>
        <v>100000</v>
      </c>
      <c r="LEE24" s="906">
        <f t="shared" ref="LEE24" si="4255">$C$24*LEC24</f>
        <v>100000</v>
      </c>
      <c r="LEG24" s="906">
        <f t="shared" ref="LEG24" si="4256">$C$24*LEE24</f>
        <v>100000</v>
      </c>
      <c r="LEI24" s="906">
        <f t="shared" ref="LEI24" si="4257">$C$24*LEG24</f>
        <v>100000</v>
      </c>
      <c r="LEK24" s="906">
        <f t="shared" ref="LEK24" si="4258">$C$24*LEI24</f>
        <v>100000</v>
      </c>
      <c r="LEM24" s="906">
        <f t="shared" ref="LEM24" si="4259">$C$24*LEK24</f>
        <v>100000</v>
      </c>
      <c r="LEO24" s="906">
        <f t="shared" ref="LEO24" si="4260">$C$24*LEM24</f>
        <v>100000</v>
      </c>
      <c r="LEQ24" s="906">
        <f t="shared" ref="LEQ24" si="4261">$C$24*LEO24</f>
        <v>100000</v>
      </c>
      <c r="LES24" s="906">
        <f t="shared" ref="LES24" si="4262">$C$24*LEQ24</f>
        <v>100000</v>
      </c>
      <c r="LEU24" s="906">
        <f t="shared" ref="LEU24" si="4263">$C$24*LES24</f>
        <v>100000</v>
      </c>
      <c r="LEW24" s="906">
        <f t="shared" ref="LEW24" si="4264">$C$24*LEU24</f>
        <v>100000</v>
      </c>
      <c r="LEY24" s="906">
        <f t="shared" ref="LEY24" si="4265">$C$24*LEW24</f>
        <v>100000</v>
      </c>
      <c r="LFA24" s="906">
        <f t="shared" ref="LFA24" si="4266">$C$24*LEY24</f>
        <v>100000</v>
      </c>
      <c r="LFC24" s="906">
        <f t="shared" ref="LFC24" si="4267">$C$24*LFA24</f>
        <v>100000</v>
      </c>
      <c r="LFE24" s="906">
        <f t="shared" ref="LFE24" si="4268">$C$24*LFC24</f>
        <v>100000</v>
      </c>
      <c r="LFG24" s="906">
        <f t="shared" ref="LFG24" si="4269">$C$24*LFE24</f>
        <v>100000</v>
      </c>
      <c r="LFI24" s="906">
        <f t="shared" ref="LFI24" si="4270">$C$24*LFG24</f>
        <v>100000</v>
      </c>
      <c r="LFK24" s="906">
        <f t="shared" ref="LFK24" si="4271">$C$24*LFI24</f>
        <v>100000</v>
      </c>
      <c r="LFM24" s="906">
        <f t="shared" ref="LFM24" si="4272">$C$24*LFK24</f>
        <v>100000</v>
      </c>
      <c r="LFO24" s="906">
        <f t="shared" ref="LFO24" si="4273">$C$24*LFM24</f>
        <v>100000</v>
      </c>
      <c r="LFQ24" s="906">
        <f t="shared" ref="LFQ24" si="4274">$C$24*LFO24</f>
        <v>100000</v>
      </c>
      <c r="LFS24" s="906">
        <f t="shared" ref="LFS24" si="4275">$C$24*LFQ24</f>
        <v>100000</v>
      </c>
      <c r="LFU24" s="906">
        <f t="shared" ref="LFU24" si="4276">$C$24*LFS24</f>
        <v>100000</v>
      </c>
      <c r="LFW24" s="906">
        <f t="shared" ref="LFW24" si="4277">$C$24*LFU24</f>
        <v>100000</v>
      </c>
      <c r="LFY24" s="906">
        <f t="shared" ref="LFY24" si="4278">$C$24*LFW24</f>
        <v>100000</v>
      </c>
      <c r="LGA24" s="906">
        <f t="shared" ref="LGA24" si="4279">$C$24*LFY24</f>
        <v>100000</v>
      </c>
      <c r="LGC24" s="906">
        <f t="shared" ref="LGC24" si="4280">$C$24*LGA24</f>
        <v>100000</v>
      </c>
      <c r="LGE24" s="906">
        <f t="shared" ref="LGE24" si="4281">$C$24*LGC24</f>
        <v>100000</v>
      </c>
      <c r="LGG24" s="906">
        <f t="shared" ref="LGG24" si="4282">$C$24*LGE24</f>
        <v>100000</v>
      </c>
      <c r="LGI24" s="906">
        <f t="shared" ref="LGI24" si="4283">$C$24*LGG24</f>
        <v>100000</v>
      </c>
      <c r="LGK24" s="906">
        <f t="shared" ref="LGK24" si="4284">$C$24*LGI24</f>
        <v>100000</v>
      </c>
      <c r="LGM24" s="906">
        <f t="shared" ref="LGM24" si="4285">$C$24*LGK24</f>
        <v>100000</v>
      </c>
      <c r="LGO24" s="906">
        <f t="shared" ref="LGO24" si="4286">$C$24*LGM24</f>
        <v>100000</v>
      </c>
      <c r="LGQ24" s="906">
        <f t="shared" ref="LGQ24" si="4287">$C$24*LGO24</f>
        <v>100000</v>
      </c>
      <c r="LGS24" s="906">
        <f t="shared" ref="LGS24" si="4288">$C$24*LGQ24</f>
        <v>100000</v>
      </c>
      <c r="LGU24" s="906">
        <f t="shared" ref="LGU24" si="4289">$C$24*LGS24</f>
        <v>100000</v>
      </c>
      <c r="LGW24" s="906">
        <f t="shared" ref="LGW24" si="4290">$C$24*LGU24</f>
        <v>100000</v>
      </c>
      <c r="LGY24" s="906">
        <f t="shared" ref="LGY24" si="4291">$C$24*LGW24</f>
        <v>100000</v>
      </c>
      <c r="LHA24" s="906">
        <f t="shared" ref="LHA24" si="4292">$C$24*LGY24</f>
        <v>100000</v>
      </c>
      <c r="LHC24" s="906">
        <f t="shared" ref="LHC24" si="4293">$C$24*LHA24</f>
        <v>100000</v>
      </c>
      <c r="LHE24" s="906">
        <f t="shared" ref="LHE24" si="4294">$C$24*LHC24</f>
        <v>100000</v>
      </c>
      <c r="LHG24" s="906">
        <f t="shared" ref="LHG24" si="4295">$C$24*LHE24</f>
        <v>100000</v>
      </c>
      <c r="LHI24" s="906">
        <f t="shared" ref="LHI24" si="4296">$C$24*LHG24</f>
        <v>100000</v>
      </c>
      <c r="LHK24" s="906">
        <f t="shared" ref="LHK24" si="4297">$C$24*LHI24</f>
        <v>100000</v>
      </c>
      <c r="LHM24" s="906">
        <f t="shared" ref="LHM24" si="4298">$C$24*LHK24</f>
        <v>100000</v>
      </c>
      <c r="LHO24" s="906">
        <f t="shared" ref="LHO24" si="4299">$C$24*LHM24</f>
        <v>100000</v>
      </c>
      <c r="LHQ24" s="906">
        <f t="shared" ref="LHQ24" si="4300">$C$24*LHO24</f>
        <v>100000</v>
      </c>
      <c r="LHS24" s="906">
        <f t="shared" ref="LHS24" si="4301">$C$24*LHQ24</f>
        <v>100000</v>
      </c>
      <c r="LHU24" s="906">
        <f t="shared" ref="LHU24" si="4302">$C$24*LHS24</f>
        <v>100000</v>
      </c>
      <c r="LHW24" s="906">
        <f t="shared" ref="LHW24" si="4303">$C$24*LHU24</f>
        <v>100000</v>
      </c>
      <c r="LHY24" s="906">
        <f t="shared" ref="LHY24" si="4304">$C$24*LHW24</f>
        <v>100000</v>
      </c>
      <c r="LIA24" s="906">
        <f t="shared" ref="LIA24" si="4305">$C$24*LHY24</f>
        <v>100000</v>
      </c>
      <c r="LIC24" s="906">
        <f t="shared" ref="LIC24" si="4306">$C$24*LIA24</f>
        <v>100000</v>
      </c>
      <c r="LIE24" s="906">
        <f t="shared" ref="LIE24" si="4307">$C$24*LIC24</f>
        <v>100000</v>
      </c>
      <c r="LIG24" s="906">
        <f t="shared" ref="LIG24" si="4308">$C$24*LIE24</f>
        <v>100000</v>
      </c>
      <c r="LII24" s="906">
        <f t="shared" ref="LII24" si="4309">$C$24*LIG24</f>
        <v>100000</v>
      </c>
      <c r="LIK24" s="906">
        <f t="shared" ref="LIK24" si="4310">$C$24*LII24</f>
        <v>100000</v>
      </c>
      <c r="LIM24" s="906">
        <f t="shared" ref="LIM24" si="4311">$C$24*LIK24</f>
        <v>100000</v>
      </c>
      <c r="LIO24" s="906">
        <f t="shared" ref="LIO24" si="4312">$C$24*LIM24</f>
        <v>100000</v>
      </c>
      <c r="LIQ24" s="906">
        <f t="shared" ref="LIQ24" si="4313">$C$24*LIO24</f>
        <v>100000</v>
      </c>
      <c r="LIS24" s="906">
        <f t="shared" ref="LIS24" si="4314">$C$24*LIQ24</f>
        <v>100000</v>
      </c>
      <c r="LIU24" s="906">
        <f t="shared" ref="LIU24" si="4315">$C$24*LIS24</f>
        <v>100000</v>
      </c>
      <c r="LIW24" s="906">
        <f t="shared" ref="LIW24" si="4316">$C$24*LIU24</f>
        <v>100000</v>
      </c>
      <c r="LIY24" s="906">
        <f t="shared" ref="LIY24" si="4317">$C$24*LIW24</f>
        <v>100000</v>
      </c>
      <c r="LJA24" s="906">
        <f t="shared" ref="LJA24" si="4318">$C$24*LIY24</f>
        <v>100000</v>
      </c>
      <c r="LJC24" s="906">
        <f t="shared" ref="LJC24" si="4319">$C$24*LJA24</f>
        <v>100000</v>
      </c>
      <c r="LJE24" s="906">
        <f t="shared" ref="LJE24" si="4320">$C$24*LJC24</f>
        <v>100000</v>
      </c>
      <c r="LJG24" s="906">
        <f t="shared" ref="LJG24" si="4321">$C$24*LJE24</f>
        <v>100000</v>
      </c>
      <c r="LJI24" s="906">
        <f t="shared" ref="LJI24" si="4322">$C$24*LJG24</f>
        <v>100000</v>
      </c>
      <c r="LJK24" s="906">
        <f t="shared" ref="LJK24" si="4323">$C$24*LJI24</f>
        <v>100000</v>
      </c>
      <c r="LJM24" s="906">
        <f t="shared" ref="LJM24" si="4324">$C$24*LJK24</f>
        <v>100000</v>
      </c>
      <c r="LJO24" s="906">
        <f t="shared" ref="LJO24" si="4325">$C$24*LJM24</f>
        <v>100000</v>
      </c>
      <c r="LJQ24" s="906">
        <f t="shared" ref="LJQ24" si="4326">$C$24*LJO24</f>
        <v>100000</v>
      </c>
      <c r="LJS24" s="906">
        <f t="shared" ref="LJS24" si="4327">$C$24*LJQ24</f>
        <v>100000</v>
      </c>
      <c r="LJU24" s="906">
        <f t="shared" ref="LJU24" si="4328">$C$24*LJS24</f>
        <v>100000</v>
      </c>
      <c r="LJW24" s="906">
        <f t="shared" ref="LJW24" si="4329">$C$24*LJU24</f>
        <v>100000</v>
      </c>
      <c r="LJY24" s="906">
        <f t="shared" ref="LJY24" si="4330">$C$24*LJW24</f>
        <v>100000</v>
      </c>
      <c r="LKA24" s="906">
        <f t="shared" ref="LKA24" si="4331">$C$24*LJY24</f>
        <v>100000</v>
      </c>
      <c r="LKC24" s="906">
        <f t="shared" ref="LKC24" si="4332">$C$24*LKA24</f>
        <v>100000</v>
      </c>
      <c r="LKE24" s="906">
        <f t="shared" ref="LKE24" si="4333">$C$24*LKC24</f>
        <v>100000</v>
      </c>
      <c r="LKG24" s="906">
        <f t="shared" ref="LKG24" si="4334">$C$24*LKE24</f>
        <v>100000</v>
      </c>
      <c r="LKI24" s="906">
        <f t="shared" ref="LKI24" si="4335">$C$24*LKG24</f>
        <v>100000</v>
      </c>
      <c r="LKK24" s="906">
        <f t="shared" ref="LKK24" si="4336">$C$24*LKI24</f>
        <v>100000</v>
      </c>
      <c r="LKM24" s="906">
        <f t="shared" ref="LKM24" si="4337">$C$24*LKK24</f>
        <v>100000</v>
      </c>
      <c r="LKO24" s="906">
        <f t="shared" ref="LKO24" si="4338">$C$24*LKM24</f>
        <v>100000</v>
      </c>
      <c r="LKQ24" s="906">
        <f t="shared" ref="LKQ24" si="4339">$C$24*LKO24</f>
        <v>100000</v>
      </c>
      <c r="LKS24" s="906">
        <f t="shared" ref="LKS24" si="4340">$C$24*LKQ24</f>
        <v>100000</v>
      </c>
      <c r="LKU24" s="906">
        <f t="shared" ref="LKU24" si="4341">$C$24*LKS24</f>
        <v>100000</v>
      </c>
      <c r="LKW24" s="906">
        <f t="shared" ref="LKW24" si="4342">$C$24*LKU24</f>
        <v>100000</v>
      </c>
      <c r="LKY24" s="906">
        <f t="shared" ref="LKY24" si="4343">$C$24*LKW24</f>
        <v>100000</v>
      </c>
      <c r="LLA24" s="906">
        <f t="shared" ref="LLA24" si="4344">$C$24*LKY24</f>
        <v>100000</v>
      </c>
      <c r="LLC24" s="906">
        <f t="shared" ref="LLC24" si="4345">$C$24*LLA24</f>
        <v>100000</v>
      </c>
      <c r="LLE24" s="906">
        <f t="shared" ref="LLE24" si="4346">$C$24*LLC24</f>
        <v>100000</v>
      </c>
      <c r="LLG24" s="906">
        <f t="shared" ref="LLG24" si="4347">$C$24*LLE24</f>
        <v>100000</v>
      </c>
      <c r="LLI24" s="906">
        <f t="shared" ref="LLI24" si="4348">$C$24*LLG24</f>
        <v>100000</v>
      </c>
      <c r="LLK24" s="906">
        <f t="shared" ref="LLK24" si="4349">$C$24*LLI24</f>
        <v>100000</v>
      </c>
      <c r="LLM24" s="906">
        <f t="shared" ref="LLM24" si="4350">$C$24*LLK24</f>
        <v>100000</v>
      </c>
      <c r="LLO24" s="906">
        <f t="shared" ref="LLO24" si="4351">$C$24*LLM24</f>
        <v>100000</v>
      </c>
      <c r="LLQ24" s="906">
        <f t="shared" ref="LLQ24" si="4352">$C$24*LLO24</f>
        <v>100000</v>
      </c>
      <c r="LLS24" s="906">
        <f t="shared" ref="LLS24" si="4353">$C$24*LLQ24</f>
        <v>100000</v>
      </c>
      <c r="LLU24" s="906">
        <f t="shared" ref="LLU24" si="4354">$C$24*LLS24</f>
        <v>100000</v>
      </c>
      <c r="LLW24" s="906">
        <f t="shared" ref="LLW24" si="4355">$C$24*LLU24</f>
        <v>100000</v>
      </c>
      <c r="LLY24" s="906">
        <f t="shared" ref="LLY24" si="4356">$C$24*LLW24</f>
        <v>100000</v>
      </c>
      <c r="LMA24" s="906">
        <f t="shared" ref="LMA24" si="4357">$C$24*LLY24</f>
        <v>100000</v>
      </c>
      <c r="LMC24" s="906">
        <f t="shared" ref="LMC24" si="4358">$C$24*LMA24</f>
        <v>100000</v>
      </c>
      <c r="LME24" s="906">
        <f t="shared" ref="LME24" si="4359">$C$24*LMC24</f>
        <v>100000</v>
      </c>
      <c r="LMG24" s="906">
        <f t="shared" ref="LMG24" si="4360">$C$24*LME24</f>
        <v>100000</v>
      </c>
      <c r="LMI24" s="906">
        <f t="shared" ref="LMI24" si="4361">$C$24*LMG24</f>
        <v>100000</v>
      </c>
      <c r="LMK24" s="906">
        <f t="shared" ref="LMK24" si="4362">$C$24*LMI24</f>
        <v>100000</v>
      </c>
      <c r="LMM24" s="906">
        <f t="shared" ref="LMM24" si="4363">$C$24*LMK24</f>
        <v>100000</v>
      </c>
      <c r="LMO24" s="906">
        <f t="shared" ref="LMO24" si="4364">$C$24*LMM24</f>
        <v>100000</v>
      </c>
      <c r="LMQ24" s="906">
        <f t="shared" ref="LMQ24" si="4365">$C$24*LMO24</f>
        <v>100000</v>
      </c>
      <c r="LMS24" s="906">
        <f t="shared" ref="LMS24" si="4366">$C$24*LMQ24</f>
        <v>100000</v>
      </c>
      <c r="LMU24" s="906">
        <f t="shared" ref="LMU24" si="4367">$C$24*LMS24</f>
        <v>100000</v>
      </c>
      <c r="LMW24" s="906">
        <f t="shared" ref="LMW24" si="4368">$C$24*LMU24</f>
        <v>100000</v>
      </c>
      <c r="LMY24" s="906">
        <f t="shared" ref="LMY24" si="4369">$C$24*LMW24</f>
        <v>100000</v>
      </c>
      <c r="LNA24" s="906">
        <f t="shared" ref="LNA24" si="4370">$C$24*LMY24</f>
        <v>100000</v>
      </c>
      <c r="LNC24" s="906">
        <f t="shared" ref="LNC24" si="4371">$C$24*LNA24</f>
        <v>100000</v>
      </c>
      <c r="LNE24" s="906">
        <f t="shared" ref="LNE24" si="4372">$C$24*LNC24</f>
        <v>100000</v>
      </c>
      <c r="LNG24" s="906">
        <f t="shared" ref="LNG24" si="4373">$C$24*LNE24</f>
        <v>100000</v>
      </c>
      <c r="LNI24" s="906">
        <f t="shared" ref="LNI24" si="4374">$C$24*LNG24</f>
        <v>100000</v>
      </c>
      <c r="LNK24" s="906">
        <f t="shared" ref="LNK24" si="4375">$C$24*LNI24</f>
        <v>100000</v>
      </c>
      <c r="LNM24" s="906">
        <f t="shared" ref="LNM24" si="4376">$C$24*LNK24</f>
        <v>100000</v>
      </c>
      <c r="LNO24" s="906">
        <f t="shared" ref="LNO24" si="4377">$C$24*LNM24</f>
        <v>100000</v>
      </c>
      <c r="LNQ24" s="906">
        <f t="shared" ref="LNQ24" si="4378">$C$24*LNO24</f>
        <v>100000</v>
      </c>
      <c r="LNS24" s="906">
        <f t="shared" ref="LNS24" si="4379">$C$24*LNQ24</f>
        <v>100000</v>
      </c>
      <c r="LNU24" s="906">
        <f t="shared" ref="LNU24" si="4380">$C$24*LNS24</f>
        <v>100000</v>
      </c>
      <c r="LNW24" s="906">
        <f t="shared" ref="LNW24" si="4381">$C$24*LNU24</f>
        <v>100000</v>
      </c>
      <c r="LNY24" s="906">
        <f t="shared" ref="LNY24" si="4382">$C$24*LNW24</f>
        <v>100000</v>
      </c>
      <c r="LOA24" s="906">
        <f t="shared" ref="LOA24" si="4383">$C$24*LNY24</f>
        <v>100000</v>
      </c>
      <c r="LOC24" s="906">
        <f t="shared" ref="LOC24" si="4384">$C$24*LOA24</f>
        <v>100000</v>
      </c>
      <c r="LOE24" s="906">
        <f t="shared" ref="LOE24" si="4385">$C$24*LOC24</f>
        <v>100000</v>
      </c>
      <c r="LOG24" s="906">
        <f t="shared" ref="LOG24" si="4386">$C$24*LOE24</f>
        <v>100000</v>
      </c>
      <c r="LOI24" s="906">
        <f t="shared" ref="LOI24" si="4387">$C$24*LOG24</f>
        <v>100000</v>
      </c>
      <c r="LOK24" s="906">
        <f t="shared" ref="LOK24" si="4388">$C$24*LOI24</f>
        <v>100000</v>
      </c>
      <c r="LOM24" s="906">
        <f t="shared" ref="LOM24" si="4389">$C$24*LOK24</f>
        <v>100000</v>
      </c>
      <c r="LOO24" s="906">
        <f t="shared" ref="LOO24" si="4390">$C$24*LOM24</f>
        <v>100000</v>
      </c>
      <c r="LOQ24" s="906">
        <f t="shared" ref="LOQ24" si="4391">$C$24*LOO24</f>
        <v>100000</v>
      </c>
      <c r="LOS24" s="906">
        <f t="shared" ref="LOS24" si="4392">$C$24*LOQ24</f>
        <v>100000</v>
      </c>
      <c r="LOU24" s="906">
        <f t="shared" ref="LOU24" si="4393">$C$24*LOS24</f>
        <v>100000</v>
      </c>
      <c r="LOW24" s="906">
        <f t="shared" ref="LOW24" si="4394">$C$24*LOU24</f>
        <v>100000</v>
      </c>
      <c r="LOY24" s="906">
        <f t="shared" ref="LOY24" si="4395">$C$24*LOW24</f>
        <v>100000</v>
      </c>
      <c r="LPA24" s="906">
        <f t="shared" ref="LPA24" si="4396">$C$24*LOY24</f>
        <v>100000</v>
      </c>
      <c r="LPC24" s="906">
        <f t="shared" ref="LPC24" si="4397">$C$24*LPA24</f>
        <v>100000</v>
      </c>
      <c r="LPE24" s="906">
        <f t="shared" ref="LPE24" si="4398">$C$24*LPC24</f>
        <v>100000</v>
      </c>
      <c r="LPG24" s="906">
        <f t="shared" ref="LPG24" si="4399">$C$24*LPE24</f>
        <v>100000</v>
      </c>
      <c r="LPI24" s="906">
        <f t="shared" ref="LPI24" si="4400">$C$24*LPG24</f>
        <v>100000</v>
      </c>
      <c r="LPK24" s="906">
        <f t="shared" ref="LPK24" si="4401">$C$24*LPI24</f>
        <v>100000</v>
      </c>
      <c r="LPM24" s="906">
        <f t="shared" ref="LPM24" si="4402">$C$24*LPK24</f>
        <v>100000</v>
      </c>
      <c r="LPO24" s="906">
        <f t="shared" ref="LPO24" si="4403">$C$24*LPM24</f>
        <v>100000</v>
      </c>
      <c r="LPQ24" s="906">
        <f t="shared" ref="LPQ24" si="4404">$C$24*LPO24</f>
        <v>100000</v>
      </c>
      <c r="LPS24" s="906">
        <f t="shared" ref="LPS24" si="4405">$C$24*LPQ24</f>
        <v>100000</v>
      </c>
      <c r="LPU24" s="906">
        <f t="shared" ref="LPU24" si="4406">$C$24*LPS24</f>
        <v>100000</v>
      </c>
      <c r="LPW24" s="906">
        <f t="shared" ref="LPW24" si="4407">$C$24*LPU24</f>
        <v>100000</v>
      </c>
      <c r="LPY24" s="906">
        <f t="shared" ref="LPY24" si="4408">$C$24*LPW24</f>
        <v>100000</v>
      </c>
      <c r="LQA24" s="906">
        <f t="shared" ref="LQA24" si="4409">$C$24*LPY24</f>
        <v>100000</v>
      </c>
      <c r="LQC24" s="906">
        <f t="shared" ref="LQC24" si="4410">$C$24*LQA24</f>
        <v>100000</v>
      </c>
      <c r="LQE24" s="906">
        <f t="shared" ref="LQE24" si="4411">$C$24*LQC24</f>
        <v>100000</v>
      </c>
      <c r="LQG24" s="906">
        <f t="shared" ref="LQG24" si="4412">$C$24*LQE24</f>
        <v>100000</v>
      </c>
      <c r="LQI24" s="906">
        <f t="shared" ref="LQI24" si="4413">$C$24*LQG24</f>
        <v>100000</v>
      </c>
      <c r="LQK24" s="906">
        <f t="shared" ref="LQK24" si="4414">$C$24*LQI24</f>
        <v>100000</v>
      </c>
      <c r="LQM24" s="906">
        <f t="shared" ref="LQM24" si="4415">$C$24*LQK24</f>
        <v>100000</v>
      </c>
      <c r="LQO24" s="906">
        <f t="shared" ref="LQO24" si="4416">$C$24*LQM24</f>
        <v>100000</v>
      </c>
      <c r="LQQ24" s="906">
        <f t="shared" ref="LQQ24" si="4417">$C$24*LQO24</f>
        <v>100000</v>
      </c>
      <c r="LQS24" s="906">
        <f t="shared" ref="LQS24" si="4418">$C$24*LQQ24</f>
        <v>100000</v>
      </c>
      <c r="LQU24" s="906">
        <f t="shared" ref="LQU24" si="4419">$C$24*LQS24</f>
        <v>100000</v>
      </c>
      <c r="LQW24" s="906">
        <f t="shared" ref="LQW24" si="4420">$C$24*LQU24</f>
        <v>100000</v>
      </c>
      <c r="LQY24" s="906">
        <f t="shared" ref="LQY24" si="4421">$C$24*LQW24</f>
        <v>100000</v>
      </c>
      <c r="LRA24" s="906">
        <f t="shared" ref="LRA24" si="4422">$C$24*LQY24</f>
        <v>100000</v>
      </c>
      <c r="LRC24" s="906">
        <f t="shared" ref="LRC24" si="4423">$C$24*LRA24</f>
        <v>100000</v>
      </c>
      <c r="LRE24" s="906">
        <f t="shared" ref="LRE24" si="4424">$C$24*LRC24</f>
        <v>100000</v>
      </c>
      <c r="LRG24" s="906">
        <f t="shared" ref="LRG24" si="4425">$C$24*LRE24</f>
        <v>100000</v>
      </c>
      <c r="LRI24" s="906">
        <f t="shared" ref="LRI24" si="4426">$C$24*LRG24</f>
        <v>100000</v>
      </c>
      <c r="LRK24" s="906">
        <f t="shared" ref="LRK24" si="4427">$C$24*LRI24</f>
        <v>100000</v>
      </c>
      <c r="LRM24" s="906">
        <f t="shared" ref="LRM24" si="4428">$C$24*LRK24</f>
        <v>100000</v>
      </c>
      <c r="LRO24" s="906">
        <f t="shared" ref="LRO24" si="4429">$C$24*LRM24</f>
        <v>100000</v>
      </c>
      <c r="LRQ24" s="906">
        <f t="shared" ref="LRQ24" si="4430">$C$24*LRO24</f>
        <v>100000</v>
      </c>
      <c r="LRS24" s="906">
        <f t="shared" ref="LRS24" si="4431">$C$24*LRQ24</f>
        <v>100000</v>
      </c>
      <c r="LRU24" s="906">
        <f t="shared" ref="LRU24" si="4432">$C$24*LRS24</f>
        <v>100000</v>
      </c>
      <c r="LRW24" s="906">
        <f t="shared" ref="LRW24" si="4433">$C$24*LRU24</f>
        <v>100000</v>
      </c>
      <c r="LRY24" s="906">
        <f t="shared" ref="LRY24" si="4434">$C$24*LRW24</f>
        <v>100000</v>
      </c>
      <c r="LSA24" s="906">
        <f t="shared" ref="LSA24" si="4435">$C$24*LRY24</f>
        <v>100000</v>
      </c>
      <c r="LSC24" s="906">
        <f t="shared" ref="LSC24" si="4436">$C$24*LSA24</f>
        <v>100000</v>
      </c>
      <c r="LSE24" s="906">
        <f t="shared" ref="LSE24" si="4437">$C$24*LSC24</f>
        <v>100000</v>
      </c>
      <c r="LSG24" s="906">
        <f t="shared" ref="LSG24" si="4438">$C$24*LSE24</f>
        <v>100000</v>
      </c>
      <c r="LSI24" s="906">
        <f t="shared" ref="LSI24" si="4439">$C$24*LSG24</f>
        <v>100000</v>
      </c>
      <c r="LSK24" s="906">
        <f t="shared" ref="LSK24" si="4440">$C$24*LSI24</f>
        <v>100000</v>
      </c>
      <c r="LSM24" s="906">
        <f t="shared" ref="LSM24" si="4441">$C$24*LSK24</f>
        <v>100000</v>
      </c>
      <c r="LSO24" s="906">
        <f t="shared" ref="LSO24" si="4442">$C$24*LSM24</f>
        <v>100000</v>
      </c>
      <c r="LSQ24" s="906">
        <f t="shared" ref="LSQ24" si="4443">$C$24*LSO24</f>
        <v>100000</v>
      </c>
      <c r="LSS24" s="906">
        <f t="shared" ref="LSS24" si="4444">$C$24*LSQ24</f>
        <v>100000</v>
      </c>
      <c r="LSU24" s="906">
        <f t="shared" ref="LSU24" si="4445">$C$24*LSS24</f>
        <v>100000</v>
      </c>
      <c r="LSW24" s="906">
        <f t="shared" ref="LSW24" si="4446">$C$24*LSU24</f>
        <v>100000</v>
      </c>
      <c r="LSY24" s="906">
        <f t="shared" ref="LSY24" si="4447">$C$24*LSW24</f>
        <v>100000</v>
      </c>
      <c r="LTA24" s="906">
        <f t="shared" ref="LTA24" si="4448">$C$24*LSY24</f>
        <v>100000</v>
      </c>
      <c r="LTC24" s="906">
        <f t="shared" ref="LTC24" si="4449">$C$24*LTA24</f>
        <v>100000</v>
      </c>
      <c r="LTE24" s="906">
        <f t="shared" ref="LTE24" si="4450">$C$24*LTC24</f>
        <v>100000</v>
      </c>
      <c r="LTG24" s="906">
        <f t="shared" ref="LTG24" si="4451">$C$24*LTE24</f>
        <v>100000</v>
      </c>
      <c r="LTI24" s="906">
        <f t="shared" ref="LTI24" si="4452">$C$24*LTG24</f>
        <v>100000</v>
      </c>
      <c r="LTK24" s="906">
        <f t="shared" ref="LTK24" si="4453">$C$24*LTI24</f>
        <v>100000</v>
      </c>
      <c r="LTM24" s="906">
        <f t="shared" ref="LTM24" si="4454">$C$24*LTK24</f>
        <v>100000</v>
      </c>
      <c r="LTO24" s="906">
        <f t="shared" ref="LTO24" si="4455">$C$24*LTM24</f>
        <v>100000</v>
      </c>
      <c r="LTQ24" s="906">
        <f t="shared" ref="LTQ24" si="4456">$C$24*LTO24</f>
        <v>100000</v>
      </c>
      <c r="LTS24" s="906">
        <f t="shared" ref="LTS24" si="4457">$C$24*LTQ24</f>
        <v>100000</v>
      </c>
      <c r="LTU24" s="906">
        <f t="shared" ref="LTU24" si="4458">$C$24*LTS24</f>
        <v>100000</v>
      </c>
      <c r="LTW24" s="906">
        <f t="shared" ref="LTW24" si="4459">$C$24*LTU24</f>
        <v>100000</v>
      </c>
      <c r="LTY24" s="906">
        <f t="shared" ref="LTY24" si="4460">$C$24*LTW24</f>
        <v>100000</v>
      </c>
      <c r="LUA24" s="906">
        <f t="shared" ref="LUA24" si="4461">$C$24*LTY24</f>
        <v>100000</v>
      </c>
      <c r="LUC24" s="906">
        <f t="shared" ref="LUC24" si="4462">$C$24*LUA24</f>
        <v>100000</v>
      </c>
      <c r="LUE24" s="906">
        <f t="shared" ref="LUE24" si="4463">$C$24*LUC24</f>
        <v>100000</v>
      </c>
      <c r="LUG24" s="906">
        <f t="shared" ref="LUG24" si="4464">$C$24*LUE24</f>
        <v>100000</v>
      </c>
      <c r="LUI24" s="906">
        <f t="shared" ref="LUI24" si="4465">$C$24*LUG24</f>
        <v>100000</v>
      </c>
      <c r="LUK24" s="906">
        <f t="shared" ref="LUK24" si="4466">$C$24*LUI24</f>
        <v>100000</v>
      </c>
      <c r="LUM24" s="906">
        <f t="shared" ref="LUM24" si="4467">$C$24*LUK24</f>
        <v>100000</v>
      </c>
      <c r="LUO24" s="906">
        <f t="shared" ref="LUO24" si="4468">$C$24*LUM24</f>
        <v>100000</v>
      </c>
      <c r="LUQ24" s="906">
        <f t="shared" ref="LUQ24" si="4469">$C$24*LUO24</f>
        <v>100000</v>
      </c>
      <c r="LUS24" s="906">
        <f t="shared" ref="LUS24" si="4470">$C$24*LUQ24</f>
        <v>100000</v>
      </c>
      <c r="LUU24" s="906">
        <f t="shared" ref="LUU24" si="4471">$C$24*LUS24</f>
        <v>100000</v>
      </c>
      <c r="LUW24" s="906">
        <f t="shared" ref="LUW24" si="4472">$C$24*LUU24</f>
        <v>100000</v>
      </c>
      <c r="LUY24" s="906">
        <f t="shared" ref="LUY24" si="4473">$C$24*LUW24</f>
        <v>100000</v>
      </c>
      <c r="LVA24" s="906">
        <f t="shared" ref="LVA24" si="4474">$C$24*LUY24</f>
        <v>100000</v>
      </c>
      <c r="LVC24" s="906">
        <f t="shared" ref="LVC24" si="4475">$C$24*LVA24</f>
        <v>100000</v>
      </c>
      <c r="LVE24" s="906">
        <f t="shared" ref="LVE24" si="4476">$C$24*LVC24</f>
        <v>100000</v>
      </c>
      <c r="LVG24" s="906">
        <f t="shared" ref="LVG24" si="4477">$C$24*LVE24</f>
        <v>100000</v>
      </c>
      <c r="LVI24" s="906">
        <f t="shared" ref="LVI24" si="4478">$C$24*LVG24</f>
        <v>100000</v>
      </c>
      <c r="LVK24" s="906">
        <f t="shared" ref="LVK24" si="4479">$C$24*LVI24</f>
        <v>100000</v>
      </c>
      <c r="LVM24" s="906">
        <f t="shared" ref="LVM24" si="4480">$C$24*LVK24</f>
        <v>100000</v>
      </c>
      <c r="LVO24" s="906">
        <f t="shared" ref="LVO24" si="4481">$C$24*LVM24</f>
        <v>100000</v>
      </c>
      <c r="LVQ24" s="906">
        <f t="shared" ref="LVQ24" si="4482">$C$24*LVO24</f>
        <v>100000</v>
      </c>
      <c r="LVS24" s="906">
        <f t="shared" ref="LVS24" si="4483">$C$24*LVQ24</f>
        <v>100000</v>
      </c>
      <c r="LVU24" s="906">
        <f t="shared" ref="LVU24" si="4484">$C$24*LVS24</f>
        <v>100000</v>
      </c>
      <c r="LVW24" s="906">
        <f t="shared" ref="LVW24" si="4485">$C$24*LVU24</f>
        <v>100000</v>
      </c>
      <c r="LVY24" s="906">
        <f t="shared" ref="LVY24" si="4486">$C$24*LVW24</f>
        <v>100000</v>
      </c>
      <c r="LWA24" s="906">
        <f t="shared" ref="LWA24" si="4487">$C$24*LVY24</f>
        <v>100000</v>
      </c>
      <c r="LWC24" s="906">
        <f t="shared" ref="LWC24" si="4488">$C$24*LWA24</f>
        <v>100000</v>
      </c>
      <c r="LWE24" s="906">
        <f t="shared" ref="LWE24" si="4489">$C$24*LWC24</f>
        <v>100000</v>
      </c>
      <c r="LWG24" s="906">
        <f t="shared" ref="LWG24" si="4490">$C$24*LWE24</f>
        <v>100000</v>
      </c>
      <c r="LWI24" s="906">
        <f t="shared" ref="LWI24" si="4491">$C$24*LWG24</f>
        <v>100000</v>
      </c>
      <c r="LWK24" s="906">
        <f t="shared" ref="LWK24" si="4492">$C$24*LWI24</f>
        <v>100000</v>
      </c>
      <c r="LWM24" s="906">
        <f t="shared" ref="LWM24" si="4493">$C$24*LWK24</f>
        <v>100000</v>
      </c>
      <c r="LWO24" s="906">
        <f t="shared" ref="LWO24" si="4494">$C$24*LWM24</f>
        <v>100000</v>
      </c>
      <c r="LWQ24" s="906">
        <f t="shared" ref="LWQ24" si="4495">$C$24*LWO24</f>
        <v>100000</v>
      </c>
      <c r="LWS24" s="906">
        <f t="shared" ref="LWS24" si="4496">$C$24*LWQ24</f>
        <v>100000</v>
      </c>
      <c r="LWU24" s="906">
        <f t="shared" ref="LWU24" si="4497">$C$24*LWS24</f>
        <v>100000</v>
      </c>
      <c r="LWW24" s="906">
        <f t="shared" ref="LWW24" si="4498">$C$24*LWU24</f>
        <v>100000</v>
      </c>
      <c r="LWY24" s="906">
        <f t="shared" ref="LWY24" si="4499">$C$24*LWW24</f>
        <v>100000</v>
      </c>
      <c r="LXA24" s="906">
        <f t="shared" ref="LXA24" si="4500">$C$24*LWY24</f>
        <v>100000</v>
      </c>
      <c r="LXC24" s="906">
        <f t="shared" ref="LXC24" si="4501">$C$24*LXA24</f>
        <v>100000</v>
      </c>
      <c r="LXE24" s="906">
        <f t="shared" ref="LXE24" si="4502">$C$24*LXC24</f>
        <v>100000</v>
      </c>
      <c r="LXG24" s="906">
        <f t="shared" ref="LXG24" si="4503">$C$24*LXE24</f>
        <v>100000</v>
      </c>
      <c r="LXI24" s="906">
        <f t="shared" ref="LXI24" si="4504">$C$24*LXG24</f>
        <v>100000</v>
      </c>
      <c r="LXK24" s="906">
        <f t="shared" ref="LXK24" si="4505">$C$24*LXI24</f>
        <v>100000</v>
      </c>
      <c r="LXM24" s="906">
        <f t="shared" ref="LXM24" si="4506">$C$24*LXK24</f>
        <v>100000</v>
      </c>
      <c r="LXO24" s="906">
        <f t="shared" ref="LXO24" si="4507">$C$24*LXM24</f>
        <v>100000</v>
      </c>
      <c r="LXQ24" s="906">
        <f t="shared" ref="LXQ24" si="4508">$C$24*LXO24</f>
        <v>100000</v>
      </c>
      <c r="LXS24" s="906">
        <f t="shared" ref="LXS24" si="4509">$C$24*LXQ24</f>
        <v>100000</v>
      </c>
      <c r="LXU24" s="906">
        <f t="shared" ref="LXU24" si="4510">$C$24*LXS24</f>
        <v>100000</v>
      </c>
      <c r="LXW24" s="906">
        <f t="shared" ref="LXW24" si="4511">$C$24*LXU24</f>
        <v>100000</v>
      </c>
      <c r="LXY24" s="906">
        <f t="shared" ref="LXY24" si="4512">$C$24*LXW24</f>
        <v>100000</v>
      </c>
      <c r="LYA24" s="906">
        <f t="shared" ref="LYA24" si="4513">$C$24*LXY24</f>
        <v>100000</v>
      </c>
      <c r="LYC24" s="906">
        <f t="shared" ref="LYC24" si="4514">$C$24*LYA24</f>
        <v>100000</v>
      </c>
      <c r="LYE24" s="906">
        <f t="shared" ref="LYE24" si="4515">$C$24*LYC24</f>
        <v>100000</v>
      </c>
      <c r="LYG24" s="906">
        <f t="shared" ref="LYG24" si="4516">$C$24*LYE24</f>
        <v>100000</v>
      </c>
      <c r="LYI24" s="906">
        <f t="shared" ref="LYI24" si="4517">$C$24*LYG24</f>
        <v>100000</v>
      </c>
      <c r="LYK24" s="906">
        <f t="shared" ref="LYK24" si="4518">$C$24*LYI24</f>
        <v>100000</v>
      </c>
      <c r="LYM24" s="906">
        <f t="shared" ref="LYM24" si="4519">$C$24*LYK24</f>
        <v>100000</v>
      </c>
      <c r="LYO24" s="906">
        <f t="shared" ref="LYO24" si="4520">$C$24*LYM24</f>
        <v>100000</v>
      </c>
      <c r="LYQ24" s="906">
        <f t="shared" ref="LYQ24" si="4521">$C$24*LYO24</f>
        <v>100000</v>
      </c>
      <c r="LYS24" s="906">
        <f t="shared" ref="LYS24" si="4522">$C$24*LYQ24</f>
        <v>100000</v>
      </c>
      <c r="LYU24" s="906">
        <f t="shared" ref="LYU24" si="4523">$C$24*LYS24</f>
        <v>100000</v>
      </c>
      <c r="LYW24" s="906">
        <f t="shared" ref="LYW24" si="4524">$C$24*LYU24</f>
        <v>100000</v>
      </c>
      <c r="LYY24" s="906">
        <f t="shared" ref="LYY24" si="4525">$C$24*LYW24</f>
        <v>100000</v>
      </c>
      <c r="LZA24" s="906">
        <f t="shared" ref="LZA24" si="4526">$C$24*LYY24</f>
        <v>100000</v>
      </c>
      <c r="LZC24" s="906">
        <f t="shared" ref="LZC24" si="4527">$C$24*LZA24</f>
        <v>100000</v>
      </c>
      <c r="LZE24" s="906">
        <f t="shared" ref="LZE24" si="4528">$C$24*LZC24</f>
        <v>100000</v>
      </c>
      <c r="LZG24" s="906">
        <f t="shared" ref="LZG24" si="4529">$C$24*LZE24</f>
        <v>100000</v>
      </c>
      <c r="LZI24" s="906">
        <f t="shared" ref="LZI24" si="4530">$C$24*LZG24</f>
        <v>100000</v>
      </c>
      <c r="LZK24" s="906">
        <f t="shared" ref="LZK24" si="4531">$C$24*LZI24</f>
        <v>100000</v>
      </c>
      <c r="LZM24" s="906">
        <f t="shared" ref="LZM24" si="4532">$C$24*LZK24</f>
        <v>100000</v>
      </c>
      <c r="LZO24" s="906">
        <f t="shared" ref="LZO24" si="4533">$C$24*LZM24</f>
        <v>100000</v>
      </c>
      <c r="LZQ24" s="906">
        <f t="shared" ref="LZQ24" si="4534">$C$24*LZO24</f>
        <v>100000</v>
      </c>
      <c r="LZS24" s="906">
        <f t="shared" ref="LZS24" si="4535">$C$24*LZQ24</f>
        <v>100000</v>
      </c>
      <c r="LZU24" s="906">
        <f t="shared" ref="LZU24" si="4536">$C$24*LZS24</f>
        <v>100000</v>
      </c>
      <c r="LZW24" s="906">
        <f t="shared" ref="LZW24" si="4537">$C$24*LZU24</f>
        <v>100000</v>
      </c>
      <c r="LZY24" s="906">
        <f t="shared" ref="LZY24" si="4538">$C$24*LZW24</f>
        <v>100000</v>
      </c>
      <c r="MAA24" s="906">
        <f t="shared" ref="MAA24" si="4539">$C$24*LZY24</f>
        <v>100000</v>
      </c>
      <c r="MAC24" s="906">
        <f t="shared" ref="MAC24" si="4540">$C$24*MAA24</f>
        <v>100000</v>
      </c>
      <c r="MAE24" s="906">
        <f t="shared" ref="MAE24" si="4541">$C$24*MAC24</f>
        <v>100000</v>
      </c>
      <c r="MAG24" s="906">
        <f t="shared" ref="MAG24" si="4542">$C$24*MAE24</f>
        <v>100000</v>
      </c>
      <c r="MAI24" s="906">
        <f t="shared" ref="MAI24" si="4543">$C$24*MAG24</f>
        <v>100000</v>
      </c>
      <c r="MAK24" s="906">
        <f t="shared" ref="MAK24" si="4544">$C$24*MAI24</f>
        <v>100000</v>
      </c>
      <c r="MAM24" s="906">
        <f t="shared" ref="MAM24" si="4545">$C$24*MAK24</f>
        <v>100000</v>
      </c>
      <c r="MAO24" s="906">
        <f t="shared" ref="MAO24" si="4546">$C$24*MAM24</f>
        <v>100000</v>
      </c>
      <c r="MAQ24" s="906">
        <f t="shared" ref="MAQ24" si="4547">$C$24*MAO24</f>
        <v>100000</v>
      </c>
      <c r="MAS24" s="906">
        <f t="shared" ref="MAS24" si="4548">$C$24*MAQ24</f>
        <v>100000</v>
      </c>
      <c r="MAU24" s="906">
        <f t="shared" ref="MAU24" si="4549">$C$24*MAS24</f>
        <v>100000</v>
      </c>
      <c r="MAW24" s="906">
        <f t="shared" ref="MAW24" si="4550">$C$24*MAU24</f>
        <v>100000</v>
      </c>
      <c r="MAY24" s="906">
        <f t="shared" ref="MAY24" si="4551">$C$24*MAW24</f>
        <v>100000</v>
      </c>
      <c r="MBA24" s="906">
        <f t="shared" ref="MBA24" si="4552">$C$24*MAY24</f>
        <v>100000</v>
      </c>
      <c r="MBC24" s="906">
        <f t="shared" ref="MBC24" si="4553">$C$24*MBA24</f>
        <v>100000</v>
      </c>
      <c r="MBE24" s="906">
        <f t="shared" ref="MBE24" si="4554">$C$24*MBC24</f>
        <v>100000</v>
      </c>
      <c r="MBG24" s="906">
        <f t="shared" ref="MBG24" si="4555">$C$24*MBE24</f>
        <v>100000</v>
      </c>
      <c r="MBI24" s="906">
        <f t="shared" ref="MBI24" si="4556">$C$24*MBG24</f>
        <v>100000</v>
      </c>
      <c r="MBK24" s="906">
        <f t="shared" ref="MBK24" si="4557">$C$24*MBI24</f>
        <v>100000</v>
      </c>
      <c r="MBM24" s="906">
        <f t="shared" ref="MBM24" si="4558">$C$24*MBK24</f>
        <v>100000</v>
      </c>
      <c r="MBO24" s="906">
        <f t="shared" ref="MBO24" si="4559">$C$24*MBM24</f>
        <v>100000</v>
      </c>
      <c r="MBQ24" s="906">
        <f t="shared" ref="MBQ24" si="4560">$C$24*MBO24</f>
        <v>100000</v>
      </c>
      <c r="MBS24" s="906">
        <f t="shared" ref="MBS24" si="4561">$C$24*MBQ24</f>
        <v>100000</v>
      </c>
      <c r="MBU24" s="906">
        <f t="shared" ref="MBU24" si="4562">$C$24*MBS24</f>
        <v>100000</v>
      </c>
      <c r="MBW24" s="906">
        <f t="shared" ref="MBW24" si="4563">$C$24*MBU24</f>
        <v>100000</v>
      </c>
      <c r="MBY24" s="906">
        <f t="shared" ref="MBY24" si="4564">$C$24*MBW24</f>
        <v>100000</v>
      </c>
      <c r="MCA24" s="906">
        <f t="shared" ref="MCA24" si="4565">$C$24*MBY24</f>
        <v>100000</v>
      </c>
      <c r="MCC24" s="906">
        <f t="shared" ref="MCC24" si="4566">$C$24*MCA24</f>
        <v>100000</v>
      </c>
      <c r="MCE24" s="906">
        <f t="shared" ref="MCE24" si="4567">$C$24*MCC24</f>
        <v>100000</v>
      </c>
      <c r="MCG24" s="906">
        <f t="shared" ref="MCG24" si="4568">$C$24*MCE24</f>
        <v>100000</v>
      </c>
      <c r="MCI24" s="906">
        <f t="shared" ref="MCI24" si="4569">$C$24*MCG24</f>
        <v>100000</v>
      </c>
      <c r="MCK24" s="906">
        <f t="shared" ref="MCK24" si="4570">$C$24*MCI24</f>
        <v>100000</v>
      </c>
      <c r="MCM24" s="906">
        <f t="shared" ref="MCM24" si="4571">$C$24*MCK24</f>
        <v>100000</v>
      </c>
      <c r="MCO24" s="906">
        <f t="shared" ref="MCO24" si="4572">$C$24*MCM24</f>
        <v>100000</v>
      </c>
      <c r="MCQ24" s="906">
        <f t="shared" ref="MCQ24" si="4573">$C$24*MCO24</f>
        <v>100000</v>
      </c>
      <c r="MCS24" s="906">
        <f t="shared" ref="MCS24" si="4574">$C$24*MCQ24</f>
        <v>100000</v>
      </c>
      <c r="MCU24" s="906">
        <f t="shared" ref="MCU24" si="4575">$C$24*MCS24</f>
        <v>100000</v>
      </c>
      <c r="MCW24" s="906">
        <f t="shared" ref="MCW24" si="4576">$C$24*MCU24</f>
        <v>100000</v>
      </c>
      <c r="MCY24" s="906">
        <f t="shared" ref="MCY24" si="4577">$C$24*MCW24</f>
        <v>100000</v>
      </c>
      <c r="MDA24" s="906">
        <f t="shared" ref="MDA24" si="4578">$C$24*MCY24</f>
        <v>100000</v>
      </c>
      <c r="MDC24" s="906">
        <f t="shared" ref="MDC24" si="4579">$C$24*MDA24</f>
        <v>100000</v>
      </c>
      <c r="MDE24" s="906">
        <f t="shared" ref="MDE24" si="4580">$C$24*MDC24</f>
        <v>100000</v>
      </c>
      <c r="MDG24" s="906">
        <f t="shared" ref="MDG24" si="4581">$C$24*MDE24</f>
        <v>100000</v>
      </c>
      <c r="MDI24" s="906">
        <f t="shared" ref="MDI24" si="4582">$C$24*MDG24</f>
        <v>100000</v>
      </c>
      <c r="MDK24" s="906">
        <f t="shared" ref="MDK24" si="4583">$C$24*MDI24</f>
        <v>100000</v>
      </c>
      <c r="MDM24" s="906">
        <f t="shared" ref="MDM24" si="4584">$C$24*MDK24</f>
        <v>100000</v>
      </c>
      <c r="MDO24" s="906">
        <f t="shared" ref="MDO24" si="4585">$C$24*MDM24</f>
        <v>100000</v>
      </c>
      <c r="MDQ24" s="906">
        <f t="shared" ref="MDQ24" si="4586">$C$24*MDO24</f>
        <v>100000</v>
      </c>
      <c r="MDS24" s="906">
        <f t="shared" ref="MDS24" si="4587">$C$24*MDQ24</f>
        <v>100000</v>
      </c>
      <c r="MDU24" s="906">
        <f t="shared" ref="MDU24" si="4588">$C$24*MDS24</f>
        <v>100000</v>
      </c>
      <c r="MDW24" s="906">
        <f t="shared" ref="MDW24" si="4589">$C$24*MDU24</f>
        <v>100000</v>
      </c>
      <c r="MDY24" s="906">
        <f t="shared" ref="MDY24" si="4590">$C$24*MDW24</f>
        <v>100000</v>
      </c>
      <c r="MEA24" s="906">
        <f t="shared" ref="MEA24" si="4591">$C$24*MDY24</f>
        <v>100000</v>
      </c>
      <c r="MEC24" s="906">
        <f t="shared" ref="MEC24" si="4592">$C$24*MEA24</f>
        <v>100000</v>
      </c>
      <c r="MEE24" s="906">
        <f t="shared" ref="MEE24" si="4593">$C$24*MEC24</f>
        <v>100000</v>
      </c>
      <c r="MEG24" s="906">
        <f t="shared" ref="MEG24" si="4594">$C$24*MEE24</f>
        <v>100000</v>
      </c>
      <c r="MEI24" s="906">
        <f t="shared" ref="MEI24" si="4595">$C$24*MEG24</f>
        <v>100000</v>
      </c>
      <c r="MEK24" s="906">
        <f t="shared" ref="MEK24" si="4596">$C$24*MEI24</f>
        <v>100000</v>
      </c>
      <c r="MEM24" s="906">
        <f t="shared" ref="MEM24" si="4597">$C$24*MEK24</f>
        <v>100000</v>
      </c>
      <c r="MEO24" s="906">
        <f t="shared" ref="MEO24" si="4598">$C$24*MEM24</f>
        <v>100000</v>
      </c>
      <c r="MEQ24" s="906">
        <f t="shared" ref="MEQ24" si="4599">$C$24*MEO24</f>
        <v>100000</v>
      </c>
      <c r="MES24" s="906">
        <f t="shared" ref="MES24" si="4600">$C$24*MEQ24</f>
        <v>100000</v>
      </c>
      <c r="MEU24" s="906">
        <f t="shared" ref="MEU24" si="4601">$C$24*MES24</f>
        <v>100000</v>
      </c>
      <c r="MEW24" s="906">
        <f t="shared" ref="MEW24" si="4602">$C$24*MEU24</f>
        <v>100000</v>
      </c>
      <c r="MEY24" s="906">
        <f t="shared" ref="MEY24" si="4603">$C$24*MEW24</f>
        <v>100000</v>
      </c>
      <c r="MFA24" s="906">
        <f t="shared" ref="MFA24" si="4604">$C$24*MEY24</f>
        <v>100000</v>
      </c>
      <c r="MFC24" s="906">
        <f t="shared" ref="MFC24" si="4605">$C$24*MFA24</f>
        <v>100000</v>
      </c>
      <c r="MFE24" s="906">
        <f t="shared" ref="MFE24" si="4606">$C$24*MFC24</f>
        <v>100000</v>
      </c>
      <c r="MFG24" s="906">
        <f t="shared" ref="MFG24" si="4607">$C$24*MFE24</f>
        <v>100000</v>
      </c>
      <c r="MFI24" s="906">
        <f t="shared" ref="MFI24" si="4608">$C$24*MFG24</f>
        <v>100000</v>
      </c>
      <c r="MFK24" s="906">
        <f t="shared" ref="MFK24" si="4609">$C$24*MFI24</f>
        <v>100000</v>
      </c>
      <c r="MFM24" s="906">
        <f t="shared" ref="MFM24" si="4610">$C$24*MFK24</f>
        <v>100000</v>
      </c>
      <c r="MFO24" s="906">
        <f t="shared" ref="MFO24" si="4611">$C$24*MFM24</f>
        <v>100000</v>
      </c>
      <c r="MFQ24" s="906">
        <f t="shared" ref="MFQ24" si="4612">$C$24*MFO24</f>
        <v>100000</v>
      </c>
      <c r="MFS24" s="906">
        <f t="shared" ref="MFS24" si="4613">$C$24*MFQ24</f>
        <v>100000</v>
      </c>
      <c r="MFU24" s="906">
        <f t="shared" ref="MFU24" si="4614">$C$24*MFS24</f>
        <v>100000</v>
      </c>
      <c r="MFW24" s="906">
        <f t="shared" ref="MFW24" si="4615">$C$24*MFU24</f>
        <v>100000</v>
      </c>
      <c r="MFY24" s="906">
        <f t="shared" ref="MFY24" si="4616">$C$24*MFW24</f>
        <v>100000</v>
      </c>
      <c r="MGA24" s="906">
        <f t="shared" ref="MGA24" si="4617">$C$24*MFY24</f>
        <v>100000</v>
      </c>
      <c r="MGC24" s="906">
        <f t="shared" ref="MGC24" si="4618">$C$24*MGA24</f>
        <v>100000</v>
      </c>
      <c r="MGE24" s="906">
        <f t="shared" ref="MGE24" si="4619">$C$24*MGC24</f>
        <v>100000</v>
      </c>
      <c r="MGG24" s="906">
        <f t="shared" ref="MGG24" si="4620">$C$24*MGE24</f>
        <v>100000</v>
      </c>
      <c r="MGI24" s="906">
        <f t="shared" ref="MGI24" si="4621">$C$24*MGG24</f>
        <v>100000</v>
      </c>
      <c r="MGK24" s="906">
        <f t="shared" ref="MGK24" si="4622">$C$24*MGI24</f>
        <v>100000</v>
      </c>
      <c r="MGM24" s="906">
        <f t="shared" ref="MGM24" si="4623">$C$24*MGK24</f>
        <v>100000</v>
      </c>
      <c r="MGO24" s="906">
        <f t="shared" ref="MGO24" si="4624">$C$24*MGM24</f>
        <v>100000</v>
      </c>
      <c r="MGQ24" s="906">
        <f t="shared" ref="MGQ24" si="4625">$C$24*MGO24</f>
        <v>100000</v>
      </c>
      <c r="MGS24" s="906">
        <f t="shared" ref="MGS24" si="4626">$C$24*MGQ24</f>
        <v>100000</v>
      </c>
      <c r="MGU24" s="906">
        <f t="shared" ref="MGU24" si="4627">$C$24*MGS24</f>
        <v>100000</v>
      </c>
      <c r="MGW24" s="906">
        <f t="shared" ref="MGW24" si="4628">$C$24*MGU24</f>
        <v>100000</v>
      </c>
      <c r="MGY24" s="906">
        <f t="shared" ref="MGY24" si="4629">$C$24*MGW24</f>
        <v>100000</v>
      </c>
      <c r="MHA24" s="906">
        <f t="shared" ref="MHA24" si="4630">$C$24*MGY24</f>
        <v>100000</v>
      </c>
      <c r="MHC24" s="906">
        <f t="shared" ref="MHC24" si="4631">$C$24*MHA24</f>
        <v>100000</v>
      </c>
      <c r="MHE24" s="906">
        <f t="shared" ref="MHE24" si="4632">$C$24*MHC24</f>
        <v>100000</v>
      </c>
      <c r="MHG24" s="906">
        <f t="shared" ref="MHG24" si="4633">$C$24*MHE24</f>
        <v>100000</v>
      </c>
      <c r="MHI24" s="906">
        <f t="shared" ref="MHI24" si="4634">$C$24*MHG24</f>
        <v>100000</v>
      </c>
      <c r="MHK24" s="906">
        <f t="shared" ref="MHK24" si="4635">$C$24*MHI24</f>
        <v>100000</v>
      </c>
      <c r="MHM24" s="906">
        <f t="shared" ref="MHM24" si="4636">$C$24*MHK24</f>
        <v>100000</v>
      </c>
      <c r="MHO24" s="906">
        <f t="shared" ref="MHO24" si="4637">$C$24*MHM24</f>
        <v>100000</v>
      </c>
      <c r="MHQ24" s="906">
        <f t="shared" ref="MHQ24" si="4638">$C$24*MHO24</f>
        <v>100000</v>
      </c>
      <c r="MHS24" s="906">
        <f t="shared" ref="MHS24" si="4639">$C$24*MHQ24</f>
        <v>100000</v>
      </c>
      <c r="MHU24" s="906">
        <f t="shared" ref="MHU24" si="4640">$C$24*MHS24</f>
        <v>100000</v>
      </c>
      <c r="MHW24" s="906">
        <f t="shared" ref="MHW24" si="4641">$C$24*MHU24</f>
        <v>100000</v>
      </c>
      <c r="MHY24" s="906">
        <f t="shared" ref="MHY24" si="4642">$C$24*MHW24</f>
        <v>100000</v>
      </c>
      <c r="MIA24" s="906">
        <f t="shared" ref="MIA24" si="4643">$C$24*MHY24</f>
        <v>100000</v>
      </c>
      <c r="MIC24" s="906">
        <f t="shared" ref="MIC24" si="4644">$C$24*MIA24</f>
        <v>100000</v>
      </c>
      <c r="MIE24" s="906">
        <f t="shared" ref="MIE24" si="4645">$C$24*MIC24</f>
        <v>100000</v>
      </c>
      <c r="MIG24" s="906">
        <f t="shared" ref="MIG24" si="4646">$C$24*MIE24</f>
        <v>100000</v>
      </c>
      <c r="MII24" s="906">
        <f t="shared" ref="MII24" si="4647">$C$24*MIG24</f>
        <v>100000</v>
      </c>
      <c r="MIK24" s="906">
        <f t="shared" ref="MIK24" si="4648">$C$24*MII24</f>
        <v>100000</v>
      </c>
      <c r="MIM24" s="906">
        <f t="shared" ref="MIM24" si="4649">$C$24*MIK24</f>
        <v>100000</v>
      </c>
      <c r="MIO24" s="906">
        <f t="shared" ref="MIO24" si="4650">$C$24*MIM24</f>
        <v>100000</v>
      </c>
      <c r="MIQ24" s="906">
        <f t="shared" ref="MIQ24" si="4651">$C$24*MIO24</f>
        <v>100000</v>
      </c>
      <c r="MIS24" s="906">
        <f t="shared" ref="MIS24" si="4652">$C$24*MIQ24</f>
        <v>100000</v>
      </c>
      <c r="MIU24" s="906">
        <f t="shared" ref="MIU24" si="4653">$C$24*MIS24</f>
        <v>100000</v>
      </c>
      <c r="MIW24" s="906">
        <f t="shared" ref="MIW24" si="4654">$C$24*MIU24</f>
        <v>100000</v>
      </c>
      <c r="MIY24" s="906">
        <f t="shared" ref="MIY24" si="4655">$C$24*MIW24</f>
        <v>100000</v>
      </c>
      <c r="MJA24" s="906">
        <f t="shared" ref="MJA24" si="4656">$C$24*MIY24</f>
        <v>100000</v>
      </c>
      <c r="MJC24" s="906">
        <f t="shared" ref="MJC24" si="4657">$C$24*MJA24</f>
        <v>100000</v>
      </c>
      <c r="MJE24" s="906">
        <f t="shared" ref="MJE24" si="4658">$C$24*MJC24</f>
        <v>100000</v>
      </c>
      <c r="MJG24" s="906">
        <f t="shared" ref="MJG24" si="4659">$C$24*MJE24</f>
        <v>100000</v>
      </c>
      <c r="MJI24" s="906">
        <f t="shared" ref="MJI24" si="4660">$C$24*MJG24</f>
        <v>100000</v>
      </c>
      <c r="MJK24" s="906">
        <f t="shared" ref="MJK24" si="4661">$C$24*MJI24</f>
        <v>100000</v>
      </c>
      <c r="MJM24" s="906">
        <f t="shared" ref="MJM24" si="4662">$C$24*MJK24</f>
        <v>100000</v>
      </c>
      <c r="MJO24" s="906">
        <f t="shared" ref="MJO24" si="4663">$C$24*MJM24</f>
        <v>100000</v>
      </c>
      <c r="MJQ24" s="906">
        <f t="shared" ref="MJQ24" si="4664">$C$24*MJO24</f>
        <v>100000</v>
      </c>
      <c r="MJS24" s="906">
        <f t="shared" ref="MJS24" si="4665">$C$24*MJQ24</f>
        <v>100000</v>
      </c>
      <c r="MJU24" s="906">
        <f t="shared" ref="MJU24" si="4666">$C$24*MJS24</f>
        <v>100000</v>
      </c>
      <c r="MJW24" s="906">
        <f t="shared" ref="MJW24" si="4667">$C$24*MJU24</f>
        <v>100000</v>
      </c>
      <c r="MJY24" s="906">
        <f t="shared" ref="MJY24" si="4668">$C$24*MJW24</f>
        <v>100000</v>
      </c>
      <c r="MKA24" s="906">
        <f t="shared" ref="MKA24" si="4669">$C$24*MJY24</f>
        <v>100000</v>
      </c>
      <c r="MKC24" s="906">
        <f t="shared" ref="MKC24" si="4670">$C$24*MKA24</f>
        <v>100000</v>
      </c>
      <c r="MKE24" s="906">
        <f t="shared" ref="MKE24" si="4671">$C$24*MKC24</f>
        <v>100000</v>
      </c>
      <c r="MKG24" s="906">
        <f t="shared" ref="MKG24" si="4672">$C$24*MKE24</f>
        <v>100000</v>
      </c>
      <c r="MKI24" s="906">
        <f t="shared" ref="MKI24" si="4673">$C$24*MKG24</f>
        <v>100000</v>
      </c>
      <c r="MKK24" s="906">
        <f t="shared" ref="MKK24" si="4674">$C$24*MKI24</f>
        <v>100000</v>
      </c>
      <c r="MKM24" s="906">
        <f t="shared" ref="MKM24" si="4675">$C$24*MKK24</f>
        <v>100000</v>
      </c>
      <c r="MKO24" s="906">
        <f t="shared" ref="MKO24" si="4676">$C$24*MKM24</f>
        <v>100000</v>
      </c>
      <c r="MKQ24" s="906">
        <f t="shared" ref="MKQ24" si="4677">$C$24*MKO24</f>
        <v>100000</v>
      </c>
      <c r="MKS24" s="906">
        <f t="shared" ref="MKS24" si="4678">$C$24*MKQ24</f>
        <v>100000</v>
      </c>
      <c r="MKU24" s="906">
        <f t="shared" ref="MKU24" si="4679">$C$24*MKS24</f>
        <v>100000</v>
      </c>
      <c r="MKW24" s="906">
        <f t="shared" ref="MKW24" si="4680">$C$24*MKU24</f>
        <v>100000</v>
      </c>
      <c r="MKY24" s="906">
        <f t="shared" ref="MKY24" si="4681">$C$24*MKW24</f>
        <v>100000</v>
      </c>
      <c r="MLA24" s="906">
        <f t="shared" ref="MLA24" si="4682">$C$24*MKY24</f>
        <v>100000</v>
      </c>
      <c r="MLC24" s="906">
        <f t="shared" ref="MLC24" si="4683">$C$24*MLA24</f>
        <v>100000</v>
      </c>
      <c r="MLE24" s="906">
        <f t="shared" ref="MLE24" si="4684">$C$24*MLC24</f>
        <v>100000</v>
      </c>
      <c r="MLG24" s="906">
        <f t="shared" ref="MLG24" si="4685">$C$24*MLE24</f>
        <v>100000</v>
      </c>
      <c r="MLI24" s="906">
        <f t="shared" ref="MLI24" si="4686">$C$24*MLG24</f>
        <v>100000</v>
      </c>
      <c r="MLK24" s="906">
        <f t="shared" ref="MLK24" si="4687">$C$24*MLI24</f>
        <v>100000</v>
      </c>
      <c r="MLM24" s="906">
        <f t="shared" ref="MLM24" si="4688">$C$24*MLK24</f>
        <v>100000</v>
      </c>
      <c r="MLO24" s="906">
        <f t="shared" ref="MLO24" si="4689">$C$24*MLM24</f>
        <v>100000</v>
      </c>
      <c r="MLQ24" s="906">
        <f t="shared" ref="MLQ24" si="4690">$C$24*MLO24</f>
        <v>100000</v>
      </c>
      <c r="MLS24" s="906">
        <f t="shared" ref="MLS24" si="4691">$C$24*MLQ24</f>
        <v>100000</v>
      </c>
      <c r="MLU24" s="906">
        <f t="shared" ref="MLU24" si="4692">$C$24*MLS24</f>
        <v>100000</v>
      </c>
      <c r="MLW24" s="906">
        <f t="shared" ref="MLW24" si="4693">$C$24*MLU24</f>
        <v>100000</v>
      </c>
      <c r="MLY24" s="906">
        <f t="shared" ref="MLY24" si="4694">$C$24*MLW24</f>
        <v>100000</v>
      </c>
      <c r="MMA24" s="906">
        <f t="shared" ref="MMA24" si="4695">$C$24*MLY24</f>
        <v>100000</v>
      </c>
      <c r="MMC24" s="906">
        <f t="shared" ref="MMC24" si="4696">$C$24*MMA24</f>
        <v>100000</v>
      </c>
      <c r="MME24" s="906">
        <f t="shared" ref="MME24" si="4697">$C$24*MMC24</f>
        <v>100000</v>
      </c>
      <c r="MMG24" s="906">
        <f t="shared" ref="MMG24" si="4698">$C$24*MME24</f>
        <v>100000</v>
      </c>
      <c r="MMI24" s="906">
        <f t="shared" ref="MMI24" si="4699">$C$24*MMG24</f>
        <v>100000</v>
      </c>
      <c r="MMK24" s="906">
        <f t="shared" ref="MMK24" si="4700">$C$24*MMI24</f>
        <v>100000</v>
      </c>
      <c r="MMM24" s="906">
        <f t="shared" ref="MMM24" si="4701">$C$24*MMK24</f>
        <v>100000</v>
      </c>
      <c r="MMO24" s="906">
        <f t="shared" ref="MMO24" si="4702">$C$24*MMM24</f>
        <v>100000</v>
      </c>
      <c r="MMQ24" s="906">
        <f t="shared" ref="MMQ24" si="4703">$C$24*MMO24</f>
        <v>100000</v>
      </c>
      <c r="MMS24" s="906">
        <f t="shared" ref="MMS24" si="4704">$C$24*MMQ24</f>
        <v>100000</v>
      </c>
      <c r="MMU24" s="906">
        <f t="shared" ref="MMU24" si="4705">$C$24*MMS24</f>
        <v>100000</v>
      </c>
      <c r="MMW24" s="906">
        <f t="shared" ref="MMW24" si="4706">$C$24*MMU24</f>
        <v>100000</v>
      </c>
      <c r="MMY24" s="906">
        <f t="shared" ref="MMY24" si="4707">$C$24*MMW24</f>
        <v>100000</v>
      </c>
      <c r="MNA24" s="906">
        <f t="shared" ref="MNA24" si="4708">$C$24*MMY24</f>
        <v>100000</v>
      </c>
      <c r="MNC24" s="906">
        <f t="shared" ref="MNC24" si="4709">$C$24*MNA24</f>
        <v>100000</v>
      </c>
      <c r="MNE24" s="906">
        <f t="shared" ref="MNE24" si="4710">$C$24*MNC24</f>
        <v>100000</v>
      </c>
      <c r="MNG24" s="906">
        <f t="shared" ref="MNG24" si="4711">$C$24*MNE24</f>
        <v>100000</v>
      </c>
      <c r="MNI24" s="906">
        <f t="shared" ref="MNI24" si="4712">$C$24*MNG24</f>
        <v>100000</v>
      </c>
      <c r="MNK24" s="906">
        <f t="shared" ref="MNK24" si="4713">$C$24*MNI24</f>
        <v>100000</v>
      </c>
      <c r="MNM24" s="906">
        <f t="shared" ref="MNM24" si="4714">$C$24*MNK24</f>
        <v>100000</v>
      </c>
      <c r="MNO24" s="906">
        <f t="shared" ref="MNO24" si="4715">$C$24*MNM24</f>
        <v>100000</v>
      </c>
      <c r="MNQ24" s="906">
        <f t="shared" ref="MNQ24" si="4716">$C$24*MNO24</f>
        <v>100000</v>
      </c>
      <c r="MNS24" s="906">
        <f t="shared" ref="MNS24" si="4717">$C$24*MNQ24</f>
        <v>100000</v>
      </c>
      <c r="MNU24" s="906">
        <f t="shared" ref="MNU24" si="4718">$C$24*MNS24</f>
        <v>100000</v>
      </c>
      <c r="MNW24" s="906">
        <f t="shared" ref="MNW24" si="4719">$C$24*MNU24</f>
        <v>100000</v>
      </c>
      <c r="MNY24" s="906">
        <f t="shared" ref="MNY24" si="4720">$C$24*MNW24</f>
        <v>100000</v>
      </c>
      <c r="MOA24" s="906">
        <f t="shared" ref="MOA24" si="4721">$C$24*MNY24</f>
        <v>100000</v>
      </c>
      <c r="MOC24" s="906">
        <f t="shared" ref="MOC24" si="4722">$C$24*MOA24</f>
        <v>100000</v>
      </c>
      <c r="MOE24" s="906">
        <f t="shared" ref="MOE24" si="4723">$C$24*MOC24</f>
        <v>100000</v>
      </c>
      <c r="MOG24" s="906">
        <f t="shared" ref="MOG24" si="4724">$C$24*MOE24</f>
        <v>100000</v>
      </c>
      <c r="MOI24" s="906">
        <f t="shared" ref="MOI24" si="4725">$C$24*MOG24</f>
        <v>100000</v>
      </c>
      <c r="MOK24" s="906">
        <f t="shared" ref="MOK24" si="4726">$C$24*MOI24</f>
        <v>100000</v>
      </c>
      <c r="MOM24" s="906">
        <f t="shared" ref="MOM24" si="4727">$C$24*MOK24</f>
        <v>100000</v>
      </c>
      <c r="MOO24" s="906">
        <f t="shared" ref="MOO24" si="4728">$C$24*MOM24</f>
        <v>100000</v>
      </c>
      <c r="MOQ24" s="906">
        <f t="shared" ref="MOQ24" si="4729">$C$24*MOO24</f>
        <v>100000</v>
      </c>
      <c r="MOS24" s="906">
        <f t="shared" ref="MOS24" si="4730">$C$24*MOQ24</f>
        <v>100000</v>
      </c>
      <c r="MOU24" s="906">
        <f t="shared" ref="MOU24" si="4731">$C$24*MOS24</f>
        <v>100000</v>
      </c>
      <c r="MOW24" s="906">
        <f t="shared" ref="MOW24" si="4732">$C$24*MOU24</f>
        <v>100000</v>
      </c>
      <c r="MOY24" s="906">
        <f t="shared" ref="MOY24" si="4733">$C$24*MOW24</f>
        <v>100000</v>
      </c>
      <c r="MPA24" s="906">
        <f t="shared" ref="MPA24" si="4734">$C$24*MOY24</f>
        <v>100000</v>
      </c>
      <c r="MPC24" s="906">
        <f t="shared" ref="MPC24" si="4735">$C$24*MPA24</f>
        <v>100000</v>
      </c>
      <c r="MPE24" s="906">
        <f t="shared" ref="MPE24" si="4736">$C$24*MPC24</f>
        <v>100000</v>
      </c>
      <c r="MPG24" s="906">
        <f t="shared" ref="MPG24" si="4737">$C$24*MPE24</f>
        <v>100000</v>
      </c>
      <c r="MPI24" s="906">
        <f t="shared" ref="MPI24" si="4738">$C$24*MPG24</f>
        <v>100000</v>
      </c>
      <c r="MPK24" s="906">
        <f t="shared" ref="MPK24" si="4739">$C$24*MPI24</f>
        <v>100000</v>
      </c>
      <c r="MPM24" s="906">
        <f t="shared" ref="MPM24" si="4740">$C$24*MPK24</f>
        <v>100000</v>
      </c>
      <c r="MPO24" s="906">
        <f t="shared" ref="MPO24" si="4741">$C$24*MPM24</f>
        <v>100000</v>
      </c>
      <c r="MPQ24" s="906">
        <f t="shared" ref="MPQ24" si="4742">$C$24*MPO24</f>
        <v>100000</v>
      </c>
      <c r="MPS24" s="906">
        <f t="shared" ref="MPS24" si="4743">$C$24*MPQ24</f>
        <v>100000</v>
      </c>
      <c r="MPU24" s="906">
        <f t="shared" ref="MPU24" si="4744">$C$24*MPS24</f>
        <v>100000</v>
      </c>
      <c r="MPW24" s="906">
        <f t="shared" ref="MPW24" si="4745">$C$24*MPU24</f>
        <v>100000</v>
      </c>
      <c r="MPY24" s="906">
        <f t="shared" ref="MPY24" si="4746">$C$24*MPW24</f>
        <v>100000</v>
      </c>
      <c r="MQA24" s="906">
        <f t="shared" ref="MQA24" si="4747">$C$24*MPY24</f>
        <v>100000</v>
      </c>
      <c r="MQC24" s="906">
        <f t="shared" ref="MQC24" si="4748">$C$24*MQA24</f>
        <v>100000</v>
      </c>
      <c r="MQE24" s="906">
        <f t="shared" ref="MQE24" si="4749">$C$24*MQC24</f>
        <v>100000</v>
      </c>
      <c r="MQG24" s="906">
        <f t="shared" ref="MQG24" si="4750">$C$24*MQE24</f>
        <v>100000</v>
      </c>
      <c r="MQI24" s="906">
        <f t="shared" ref="MQI24" si="4751">$C$24*MQG24</f>
        <v>100000</v>
      </c>
      <c r="MQK24" s="906">
        <f t="shared" ref="MQK24" si="4752">$C$24*MQI24</f>
        <v>100000</v>
      </c>
      <c r="MQM24" s="906">
        <f t="shared" ref="MQM24" si="4753">$C$24*MQK24</f>
        <v>100000</v>
      </c>
      <c r="MQO24" s="906">
        <f t="shared" ref="MQO24" si="4754">$C$24*MQM24</f>
        <v>100000</v>
      </c>
      <c r="MQQ24" s="906">
        <f t="shared" ref="MQQ24" si="4755">$C$24*MQO24</f>
        <v>100000</v>
      </c>
      <c r="MQS24" s="906">
        <f t="shared" ref="MQS24" si="4756">$C$24*MQQ24</f>
        <v>100000</v>
      </c>
      <c r="MQU24" s="906">
        <f t="shared" ref="MQU24" si="4757">$C$24*MQS24</f>
        <v>100000</v>
      </c>
      <c r="MQW24" s="906">
        <f t="shared" ref="MQW24" si="4758">$C$24*MQU24</f>
        <v>100000</v>
      </c>
      <c r="MQY24" s="906">
        <f t="shared" ref="MQY24" si="4759">$C$24*MQW24</f>
        <v>100000</v>
      </c>
      <c r="MRA24" s="906">
        <f t="shared" ref="MRA24" si="4760">$C$24*MQY24</f>
        <v>100000</v>
      </c>
      <c r="MRC24" s="906">
        <f t="shared" ref="MRC24" si="4761">$C$24*MRA24</f>
        <v>100000</v>
      </c>
      <c r="MRE24" s="906">
        <f t="shared" ref="MRE24" si="4762">$C$24*MRC24</f>
        <v>100000</v>
      </c>
      <c r="MRG24" s="906">
        <f t="shared" ref="MRG24" si="4763">$C$24*MRE24</f>
        <v>100000</v>
      </c>
      <c r="MRI24" s="906">
        <f t="shared" ref="MRI24" si="4764">$C$24*MRG24</f>
        <v>100000</v>
      </c>
      <c r="MRK24" s="906">
        <f t="shared" ref="MRK24" si="4765">$C$24*MRI24</f>
        <v>100000</v>
      </c>
      <c r="MRM24" s="906">
        <f t="shared" ref="MRM24" si="4766">$C$24*MRK24</f>
        <v>100000</v>
      </c>
      <c r="MRO24" s="906">
        <f t="shared" ref="MRO24" si="4767">$C$24*MRM24</f>
        <v>100000</v>
      </c>
      <c r="MRQ24" s="906">
        <f t="shared" ref="MRQ24" si="4768">$C$24*MRO24</f>
        <v>100000</v>
      </c>
      <c r="MRS24" s="906">
        <f t="shared" ref="MRS24" si="4769">$C$24*MRQ24</f>
        <v>100000</v>
      </c>
      <c r="MRU24" s="906">
        <f t="shared" ref="MRU24" si="4770">$C$24*MRS24</f>
        <v>100000</v>
      </c>
      <c r="MRW24" s="906">
        <f t="shared" ref="MRW24" si="4771">$C$24*MRU24</f>
        <v>100000</v>
      </c>
      <c r="MRY24" s="906">
        <f t="shared" ref="MRY24" si="4772">$C$24*MRW24</f>
        <v>100000</v>
      </c>
      <c r="MSA24" s="906">
        <f t="shared" ref="MSA24" si="4773">$C$24*MRY24</f>
        <v>100000</v>
      </c>
      <c r="MSC24" s="906">
        <f t="shared" ref="MSC24" si="4774">$C$24*MSA24</f>
        <v>100000</v>
      </c>
      <c r="MSE24" s="906">
        <f t="shared" ref="MSE24" si="4775">$C$24*MSC24</f>
        <v>100000</v>
      </c>
      <c r="MSG24" s="906">
        <f t="shared" ref="MSG24" si="4776">$C$24*MSE24</f>
        <v>100000</v>
      </c>
      <c r="MSI24" s="906">
        <f t="shared" ref="MSI24" si="4777">$C$24*MSG24</f>
        <v>100000</v>
      </c>
      <c r="MSK24" s="906">
        <f t="shared" ref="MSK24" si="4778">$C$24*MSI24</f>
        <v>100000</v>
      </c>
      <c r="MSM24" s="906">
        <f t="shared" ref="MSM24" si="4779">$C$24*MSK24</f>
        <v>100000</v>
      </c>
      <c r="MSO24" s="906">
        <f t="shared" ref="MSO24" si="4780">$C$24*MSM24</f>
        <v>100000</v>
      </c>
      <c r="MSQ24" s="906">
        <f t="shared" ref="MSQ24" si="4781">$C$24*MSO24</f>
        <v>100000</v>
      </c>
      <c r="MSS24" s="906">
        <f t="shared" ref="MSS24" si="4782">$C$24*MSQ24</f>
        <v>100000</v>
      </c>
      <c r="MSU24" s="906">
        <f t="shared" ref="MSU24" si="4783">$C$24*MSS24</f>
        <v>100000</v>
      </c>
      <c r="MSW24" s="906">
        <f t="shared" ref="MSW24" si="4784">$C$24*MSU24</f>
        <v>100000</v>
      </c>
      <c r="MSY24" s="906">
        <f t="shared" ref="MSY24" si="4785">$C$24*MSW24</f>
        <v>100000</v>
      </c>
      <c r="MTA24" s="906">
        <f t="shared" ref="MTA24" si="4786">$C$24*MSY24</f>
        <v>100000</v>
      </c>
      <c r="MTC24" s="906">
        <f t="shared" ref="MTC24" si="4787">$C$24*MTA24</f>
        <v>100000</v>
      </c>
      <c r="MTE24" s="906">
        <f t="shared" ref="MTE24" si="4788">$C$24*MTC24</f>
        <v>100000</v>
      </c>
      <c r="MTG24" s="906">
        <f t="shared" ref="MTG24" si="4789">$C$24*MTE24</f>
        <v>100000</v>
      </c>
      <c r="MTI24" s="906">
        <f t="shared" ref="MTI24" si="4790">$C$24*MTG24</f>
        <v>100000</v>
      </c>
      <c r="MTK24" s="906">
        <f t="shared" ref="MTK24" si="4791">$C$24*MTI24</f>
        <v>100000</v>
      </c>
      <c r="MTM24" s="906">
        <f t="shared" ref="MTM24" si="4792">$C$24*MTK24</f>
        <v>100000</v>
      </c>
      <c r="MTO24" s="906">
        <f t="shared" ref="MTO24" si="4793">$C$24*MTM24</f>
        <v>100000</v>
      </c>
      <c r="MTQ24" s="906">
        <f t="shared" ref="MTQ24" si="4794">$C$24*MTO24</f>
        <v>100000</v>
      </c>
      <c r="MTS24" s="906">
        <f t="shared" ref="MTS24" si="4795">$C$24*MTQ24</f>
        <v>100000</v>
      </c>
      <c r="MTU24" s="906">
        <f t="shared" ref="MTU24" si="4796">$C$24*MTS24</f>
        <v>100000</v>
      </c>
      <c r="MTW24" s="906">
        <f t="shared" ref="MTW24" si="4797">$C$24*MTU24</f>
        <v>100000</v>
      </c>
      <c r="MTY24" s="906">
        <f t="shared" ref="MTY24" si="4798">$C$24*MTW24</f>
        <v>100000</v>
      </c>
      <c r="MUA24" s="906">
        <f t="shared" ref="MUA24" si="4799">$C$24*MTY24</f>
        <v>100000</v>
      </c>
      <c r="MUC24" s="906">
        <f t="shared" ref="MUC24" si="4800">$C$24*MUA24</f>
        <v>100000</v>
      </c>
      <c r="MUE24" s="906">
        <f t="shared" ref="MUE24" si="4801">$C$24*MUC24</f>
        <v>100000</v>
      </c>
      <c r="MUG24" s="906">
        <f t="shared" ref="MUG24" si="4802">$C$24*MUE24</f>
        <v>100000</v>
      </c>
      <c r="MUI24" s="906">
        <f t="shared" ref="MUI24" si="4803">$C$24*MUG24</f>
        <v>100000</v>
      </c>
      <c r="MUK24" s="906">
        <f t="shared" ref="MUK24" si="4804">$C$24*MUI24</f>
        <v>100000</v>
      </c>
      <c r="MUM24" s="906">
        <f t="shared" ref="MUM24" si="4805">$C$24*MUK24</f>
        <v>100000</v>
      </c>
      <c r="MUO24" s="906">
        <f t="shared" ref="MUO24" si="4806">$C$24*MUM24</f>
        <v>100000</v>
      </c>
      <c r="MUQ24" s="906">
        <f t="shared" ref="MUQ24" si="4807">$C$24*MUO24</f>
        <v>100000</v>
      </c>
      <c r="MUS24" s="906">
        <f t="shared" ref="MUS24" si="4808">$C$24*MUQ24</f>
        <v>100000</v>
      </c>
      <c r="MUU24" s="906">
        <f t="shared" ref="MUU24" si="4809">$C$24*MUS24</f>
        <v>100000</v>
      </c>
      <c r="MUW24" s="906">
        <f t="shared" ref="MUW24" si="4810">$C$24*MUU24</f>
        <v>100000</v>
      </c>
      <c r="MUY24" s="906">
        <f t="shared" ref="MUY24" si="4811">$C$24*MUW24</f>
        <v>100000</v>
      </c>
      <c r="MVA24" s="906">
        <f t="shared" ref="MVA24" si="4812">$C$24*MUY24</f>
        <v>100000</v>
      </c>
      <c r="MVC24" s="906">
        <f t="shared" ref="MVC24" si="4813">$C$24*MVA24</f>
        <v>100000</v>
      </c>
      <c r="MVE24" s="906">
        <f t="shared" ref="MVE24" si="4814">$C$24*MVC24</f>
        <v>100000</v>
      </c>
      <c r="MVG24" s="906">
        <f t="shared" ref="MVG24" si="4815">$C$24*MVE24</f>
        <v>100000</v>
      </c>
      <c r="MVI24" s="906">
        <f t="shared" ref="MVI24" si="4816">$C$24*MVG24</f>
        <v>100000</v>
      </c>
      <c r="MVK24" s="906">
        <f t="shared" ref="MVK24" si="4817">$C$24*MVI24</f>
        <v>100000</v>
      </c>
      <c r="MVM24" s="906">
        <f t="shared" ref="MVM24" si="4818">$C$24*MVK24</f>
        <v>100000</v>
      </c>
      <c r="MVO24" s="906">
        <f t="shared" ref="MVO24" si="4819">$C$24*MVM24</f>
        <v>100000</v>
      </c>
      <c r="MVQ24" s="906">
        <f t="shared" ref="MVQ24" si="4820">$C$24*MVO24</f>
        <v>100000</v>
      </c>
      <c r="MVS24" s="906">
        <f t="shared" ref="MVS24" si="4821">$C$24*MVQ24</f>
        <v>100000</v>
      </c>
      <c r="MVU24" s="906">
        <f t="shared" ref="MVU24" si="4822">$C$24*MVS24</f>
        <v>100000</v>
      </c>
      <c r="MVW24" s="906">
        <f t="shared" ref="MVW24" si="4823">$C$24*MVU24</f>
        <v>100000</v>
      </c>
      <c r="MVY24" s="906">
        <f t="shared" ref="MVY24" si="4824">$C$24*MVW24</f>
        <v>100000</v>
      </c>
      <c r="MWA24" s="906">
        <f t="shared" ref="MWA24" si="4825">$C$24*MVY24</f>
        <v>100000</v>
      </c>
      <c r="MWC24" s="906">
        <f t="shared" ref="MWC24" si="4826">$C$24*MWA24</f>
        <v>100000</v>
      </c>
      <c r="MWE24" s="906">
        <f t="shared" ref="MWE24" si="4827">$C$24*MWC24</f>
        <v>100000</v>
      </c>
      <c r="MWG24" s="906">
        <f t="shared" ref="MWG24" si="4828">$C$24*MWE24</f>
        <v>100000</v>
      </c>
      <c r="MWI24" s="906">
        <f t="shared" ref="MWI24" si="4829">$C$24*MWG24</f>
        <v>100000</v>
      </c>
      <c r="MWK24" s="906">
        <f t="shared" ref="MWK24" si="4830">$C$24*MWI24</f>
        <v>100000</v>
      </c>
      <c r="MWM24" s="906">
        <f t="shared" ref="MWM24" si="4831">$C$24*MWK24</f>
        <v>100000</v>
      </c>
      <c r="MWO24" s="906">
        <f t="shared" ref="MWO24" si="4832">$C$24*MWM24</f>
        <v>100000</v>
      </c>
      <c r="MWQ24" s="906">
        <f t="shared" ref="MWQ24" si="4833">$C$24*MWO24</f>
        <v>100000</v>
      </c>
      <c r="MWS24" s="906">
        <f t="shared" ref="MWS24" si="4834">$C$24*MWQ24</f>
        <v>100000</v>
      </c>
      <c r="MWU24" s="906">
        <f t="shared" ref="MWU24" si="4835">$C$24*MWS24</f>
        <v>100000</v>
      </c>
      <c r="MWW24" s="906">
        <f t="shared" ref="MWW24" si="4836">$C$24*MWU24</f>
        <v>100000</v>
      </c>
      <c r="MWY24" s="906">
        <f t="shared" ref="MWY24" si="4837">$C$24*MWW24</f>
        <v>100000</v>
      </c>
      <c r="MXA24" s="906">
        <f t="shared" ref="MXA24" si="4838">$C$24*MWY24</f>
        <v>100000</v>
      </c>
      <c r="MXC24" s="906">
        <f t="shared" ref="MXC24" si="4839">$C$24*MXA24</f>
        <v>100000</v>
      </c>
      <c r="MXE24" s="906">
        <f t="shared" ref="MXE24" si="4840">$C$24*MXC24</f>
        <v>100000</v>
      </c>
      <c r="MXG24" s="906">
        <f t="shared" ref="MXG24" si="4841">$C$24*MXE24</f>
        <v>100000</v>
      </c>
      <c r="MXI24" s="906">
        <f t="shared" ref="MXI24" si="4842">$C$24*MXG24</f>
        <v>100000</v>
      </c>
      <c r="MXK24" s="906">
        <f t="shared" ref="MXK24" si="4843">$C$24*MXI24</f>
        <v>100000</v>
      </c>
      <c r="MXM24" s="906">
        <f t="shared" ref="MXM24" si="4844">$C$24*MXK24</f>
        <v>100000</v>
      </c>
      <c r="MXO24" s="906">
        <f t="shared" ref="MXO24" si="4845">$C$24*MXM24</f>
        <v>100000</v>
      </c>
      <c r="MXQ24" s="906">
        <f t="shared" ref="MXQ24" si="4846">$C$24*MXO24</f>
        <v>100000</v>
      </c>
      <c r="MXS24" s="906">
        <f t="shared" ref="MXS24" si="4847">$C$24*MXQ24</f>
        <v>100000</v>
      </c>
      <c r="MXU24" s="906">
        <f t="shared" ref="MXU24" si="4848">$C$24*MXS24</f>
        <v>100000</v>
      </c>
      <c r="MXW24" s="906">
        <f t="shared" ref="MXW24" si="4849">$C$24*MXU24</f>
        <v>100000</v>
      </c>
      <c r="MXY24" s="906">
        <f t="shared" ref="MXY24" si="4850">$C$24*MXW24</f>
        <v>100000</v>
      </c>
      <c r="MYA24" s="906">
        <f t="shared" ref="MYA24" si="4851">$C$24*MXY24</f>
        <v>100000</v>
      </c>
      <c r="MYC24" s="906">
        <f t="shared" ref="MYC24" si="4852">$C$24*MYA24</f>
        <v>100000</v>
      </c>
      <c r="MYE24" s="906">
        <f t="shared" ref="MYE24" si="4853">$C$24*MYC24</f>
        <v>100000</v>
      </c>
      <c r="MYG24" s="906">
        <f t="shared" ref="MYG24" si="4854">$C$24*MYE24</f>
        <v>100000</v>
      </c>
      <c r="MYI24" s="906">
        <f t="shared" ref="MYI24" si="4855">$C$24*MYG24</f>
        <v>100000</v>
      </c>
      <c r="MYK24" s="906">
        <f t="shared" ref="MYK24" si="4856">$C$24*MYI24</f>
        <v>100000</v>
      </c>
      <c r="MYM24" s="906">
        <f t="shared" ref="MYM24" si="4857">$C$24*MYK24</f>
        <v>100000</v>
      </c>
      <c r="MYO24" s="906">
        <f t="shared" ref="MYO24" si="4858">$C$24*MYM24</f>
        <v>100000</v>
      </c>
      <c r="MYQ24" s="906">
        <f t="shared" ref="MYQ24" si="4859">$C$24*MYO24</f>
        <v>100000</v>
      </c>
      <c r="MYS24" s="906">
        <f t="shared" ref="MYS24" si="4860">$C$24*MYQ24</f>
        <v>100000</v>
      </c>
      <c r="MYU24" s="906">
        <f t="shared" ref="MYU24" si="4861">$C$24*MYS24</f>
        <v>100000</v>
      </c>
      <c r="MYW24" s="906">
        <f t="shared" ref="MYW24" si="4862">$C$24*MYU24</f>
        <v>100000</v>
      </c>
      <c r="MYY24" s="906">
        <f t="shared" ref="MYY24" si="4863">$C$24*MYW24</f>
        <v>100000</v>
      </c>
      <c r="MZA24" s="906">
        <f t="shared" ref="MZA24" si="4864">$C$24*MYY24</f>
        <v>100000</v>
      </c>
      <c r="MZC24" s="906">
        <f t="shared" ref="MZC24" si="4865">$C$24*MZA24</f>
        <v>100000</v>
      </c>
      <c r="MZE24" s="906">
        <f t="shared" ref="MZE24" si="4866">$C$24*MZC24</f>
        <v>100000</v>
      </c>
      <c r="MZG24" s="906">
        <f t="shared" ref="MZG24" si="4867">$C$24*MZE24</f>
        <v>100000</v>
      </c>
      <c r="MZI24" s="906">
        <f t="shared" ref="MZI24" si="4868">$C$24*MZG24</f>
        <v>100000</v>
      </c>
      <c r="MZK24" s="906">
        <f t="shared" ref="MZK24" si="4869">$C$24*MZI24</f>
        <v>100000</v>
      </c>
      <c r="MZM24" s="906">
        <f t="shared" ref="MZM24" si="4870">$C$24*MZK24</f>
        <v>100000</v>
      </c>
      <c r="MZO24" s="906">
        <f t="shared" ref="MZO24" si="4871">$C$24*MZM24</f>
        <v>100000</v>
      </c>
      <c r="MZQ24" s="906">
        <f t="shared" ref="MZQ24" si="4872">$C$24*MZO24</f>
        <v>100000</v>
      </c>
      <c r="MZS24" s="906">
        <f t="shared" ref="MZS24" si="4873">$C$24*MZQ24</f>
        <v>100000</v>
      </c>
      <c r="MZU24" s="906">
        <f t="shared" ref="MZU24" si="4874">$C$24*MZS24</f>
        <v>100000</v>
      </c>
      <c r="MZW24" s="906">
        <f t="shared" ref="MZW24" si="4875">$C$24*MZU24</f>
        <v>100000</v>
      </c>
      <c r="MZY24" s="906">
        <f t="shared" ref="MZY24" si="4876">$C$24*MZW24</f>
        <v>100000</v>
      </c>
      <c r="NAA24" s="906">
        <f t="shared" ref="NAA24" si="4877">$C$24*MZY24</f>
        <v>100000</v>
      </c>
      <c r="NAC24" s="906">
        <f t="shared" ref="NAC24" si="4878">$C$24*NAA24</f>
        <v>100000</v>
      </c>
      <c r="NAE24" s="906">
        <f t="shared" ref="NAE24" si="4879">$C$24*NAC24</f>
        <v>100000</v>
      </c>
      <c r="NAG24" s="906">
        <f t="shared" ref="NAG24" si="4880">$C$24*NAE24</f>
        <v>100000</v>
      </c>
      <c r="NAI24" s="906">
        <f t="shared" ref="NAI24" si="4881">$C$24*NAG24</f>
        <v>100000</v>
      </c>
      <c r="NAK24" s="906">
        <f t="shared" ref="NAK24" si="4882">$C$24*NAI24</f>
        <v>100000</v>
      </c>
      <c r="NAM24" s="906">
        <f t="shared" ref="NAM24" si="4883">$C$24*NAK24</f>
        <v>100000</v>
      </c>
      <c r="NAO24" s="906">
        <f t="shared" ref="NAO24" si="4884">$C$24*NAM24</f>
        <v>100000</v>
      </c>
      <c r="NAQ24" s="906">
        <f t="shared" ref="NAQ24" si="4885">$C$24*NAO24</f>
        <v>100000</v>
      </c>
      <c r="NAS24" s="906">
        <f t="shared" ref="NAS24" si="4886">$C$24*NAQ24</f>
        <v>100000</v>
      </c>
      <c r="NAU24" s="906">
        <f t="shared" ref="NAU24" si="4887">$C$24*NAS24</f>
        <v>100000</v>
      </c>
      <c r="NAW24" s="906">
        <f t="shared" ref="NAW24" si="4888">$C$24*NAU24</f>
        <v>100000</v>
      </c>
      <c r="NAY24" s="906">
        <f t="shared" ref="NAY24" si="4889">$C$24*NAW24</f>
        <v>100000</v>
      </c>
      <c r="NBA24" s="906">
        <f t="shared" ref="NBA24" si="4890">$C$24*NAY24</f>
        <v>100000</v>
      </c>
      <c r="NBC24" s="906">
        <f t="shared" ref="NBC24" si="4891">$C$24*NBA24</f>
        <v>100000</v>
      </c>
      <c r="NBE24" s="906">
        <f t="shared" ref="NBE24" si="4892">$C$24*NBC24</f>
        <v>100000</v>
      </c>
      <c r="NBG24" s="906">
        <f t="shared" ref="NBG24" si="4893">$C$24*NBE24</f>
        <v>100000</v>
      </c>
      <c r="NBI24" s="906">
        <f t="shared" ref="NBI24" si="4894">$C$24*NBG24</f>
        <v>100000</v>
      </c>
      <c r="NBK24" s="906">
        <f t="shared" ref="NBK24" si="4895">$C$24*NBI24</f>
        <v>100000</v>
      </c>
      <c r="NBM24" s="906">
        <f t="shared" ref="NBM24" si="4896">$C$24*NBK24</f>
        <v>100000</v>
      </c>
      <c r="NBO24" s="906">
        <f t="shared" ref="NBO24" si="4897">$C$24*NBM24</f>
        <v>100000</v>
      </c>
      <c r="NBQ24" s="906">
        <f t="shared" ref="NBQ24" si="4898">$C$24*NBO24</f>
        <v>100000</v>
      </c>
      <c r="NBS24" s="906">
        <f t="shared" ref="NBS24" si="4899">$C$24*NBQ24</f>
        <v>100000</v>
      </c>
      <c r="NBU24" s="906">
        <f t="shared" ref="NBU24" si="4900">$C$24*NBS24</f>
        <v>100000</v>
      </c>
      <c r="NBW24" s="906">
        <f t="shared" ref="NBW24" si="4901">$C$24*NBU24</f>
        <v>100000</v>
      </c>
      <c r="NBY24" s="906">
        <f t="shared" ref="NBY24" si="4902">$C$24*NBW24</f>
        <v>100000</v>
      </c>
      <c r="NCA24" s="906">
        <f t="shared" ref="NCA24" si="4903">$C$24*NBY24</f>
        <v>100000</v>
      </c>
      <c r="NCC24" s="906">
        <f t="shared" ref="NCC24" si="4904">$C$24*NCA24</f>
        <v>100000</v>
      </c>
      <c r="NCE24" s="906">
        <f t="shared" ref="NCE24" si="4905">$C$24*NCC24</f>
        <v>100000</v>
      </c>
      <c r="NCG24" s="906">
        <f t="shared" ref="NCG24" si="4906">$C$24*NCE24</f>
        <v>100000</v>
      </c>
      <c r="NCI24" s="906">
        <f t="shared" ref="NCI24" si="4907">$C$24*NCG24</f>
        <v>100000</v>
      </c>
      <c r="NCK24" s="906">
        <f t="shared" ref="NCK24" si="4908">$C$24*NCI24</f>
        <v>100000</v>
      </c>
      <c r="NCM24" s="906">
        <f t="shared" ref="NCM24" si="4909">$C$24*NCK24</f>
        <v>100000</v>
      </c>
      <c r="NCO24" s="906">
        <f t="shared" ref="NCO24" si="4910">$C$24*NCM24</f>
        <v>100000</v>
      </c>
      <c r="NCQ24" s="906">
        <f t="shared" ref="NCQ24" si="4911">$C$24*NCO24</f>
        <v>100000</v>
      </c>
      <c r="NCS24" s="906">
        <f t="shared" ref="NCS24" si="4912">$C$24*NCQ24</f>
        <v>100000</v>
      </c>
      <c r="NCU24" s="906">
        <f t="shared" ref="NCU24" si="4913">$C$24*NCS24</f>
        <v>100000</v>
      </c>
      <c r="NCW24" s="906">
        <f t="shared" ref="NCW24" si="4914">$C$24*NCU24</f>
        <v>100000</v>
      </c>
      <c r="NCY24" s="906">
        <f t="shared" ref="NCY24" si="4915">$C$24*NCW24</f>
        <v>100000</v>
      </c>
      <c r="NDA24" s="906">
        <f t="shared" ref="NDA24" si="4916">$C$24*NCY24</f>
        <v>100000</v>
      </c>
      <c r="NDC24" s="906">
        <f t="shared" ref="NDC24" si="4917">$C$24*NDA24</f>
        <v>100000</v>
      </c>
      <c r="NDE24" s="906">
        <f t="shared" ref="NDE24" si="4918">$C$24*NDC24</f>
        <v>100000</v>
      </c>
      <c r="NDG24" s="906">
        <f t="shared" ref="NDG24" si="4919">$C$24*NDE24</f>
        <v>100000</v>
      </c>
      <c r="NDI24" s="906">
        <f t="shared" ref="NDI24" si="4920">$C$24*NDG24</f>
        <v>100000</v>
      </c>
      <c r="NDK24" s="906">
        <f t="shared" ref="NDK24" si="4921">$C$24*NDI24</f>
        <v>100000</v>
      </c>
      <c r="NDM24" s="906">
        <f t="shared" ref="NDM24" si="4922">$C$24*NDK24</f>
        <v>100000</v>
      </c>
      <c r="NDO24" s="906">
        <f t="shared" ref="NDO24" si="4923">$C$24*NDM24</f>
        <v>100000</v>
      </c>
      <c r="NDQ24" s="906">
        <f t="shared" ref="NDQ24" si="4924">$C$24*NDO24</f>
        <v>100000</v>
      </c>
      <c r="NDS24" s="906">
        <f t="shared" ref="NDS24" si="4925">$C$24*NDQ24</f>
        <v>100000</v>
      </c>
      <c r="NDU24" s="906">
        <f t="shared" ref="NDU24" si="4926">$C$24*NDS24</f>
        <v>100000</v>
      </c>
      <c r="NDW24" s="906">
        <f t="shared" ref="NDW24" si="4927">$C$24*NDU24</f>
        <v>100000</v>
      </c>
      <c r="NDY24" s="906">
        <f t="shared" ref="NDY24" si="4928">$C$24*NDW24</f>
        <v>100000</v>
      </c>
      <c r="NEA24" s="906">
        <f t="shared" ref="NEA24" si="4929">$C$24*NDY24</f>
        <v>100000</v>
      </c>
      <c r="NEC24" s="906">
        <f t="shared" ref="NEC24" si="4930">$C$24*NEA24</f>
        <v>100000</v>
      </c>
      <c r="NEE24" s="906">
        <f t="shared" ref="NEE24" si="4931">$C$24*NEC24</f>
        <v>100000</v>
      </c>
      <c r="NEG24" s="906">
        <f t="shared" ref="NEG24" si="4932">$C$24*NEE24</f>
        <v>100000</v>
      </c>
      <c r="NEI24" s="906">
        <f t="shared" ref="NEI24" si="4933">$C$24*NEG24</f>
        <v>100000</v>
      </c>
      <c r="NEK24" s="906">
        <f t="shared" ref="NEK24" si="4934">$C$24*NEI24</f>
        <v>100000</v>
      </c>
      <c r="NEM24" s="906">
        <f t="shared" ref="NEM24" si="4935">$C$24*NEK24</f>
        <v>100000</v>
      </c>
      <c r="NEO24" s="906">
        <f t="shared" ref="NEO24" si="4936">$C$24*NEM24</f>
        <v>100000</v>
      </c>
      <c r="NEQ24" s="906">
        <f t="shared" ref="NEQ24" si="4937">$C$24*NEO24</f>
        <v>100000</v>
      </c>
      <c r="NES24" s="906">
        <f t="shared" ref="NES24" si="4938">$C$24*NEQ24</f>
        <v>100000</v>
      </c>
      <c r="NEU24" s="906">
        <f t="shared" ref="NEU24" si="4939">$C$24*NES24</f>
        <v>100000</v>
      </c>
      <c r="NEW24" s="906">
        <f t="shared" ref="NEW24" si="4940">$C$24*NEU24</f>
        <v>100000</v>
      </c>
      <c r="NEY24" s="906">
        <f t="shared" ref="NEY24" si="4941">$C$24*NEW24</f>
        <v>100000</v>
      </c>
      <c r="NFA24" s="906">
        <f t="shared" ref="NFA24" si="4942">$C$24*NEY24</f>
        <v>100000</v>
      </c>
      <c r="NFC24" s="906">
        <f t="shared" ref="NFC24" si="4943">$C$24*NFA24</f>
        <v>100000</v>
      </c>
      <c r="NFE24" s="906">
        <f t="shared" ref="NFE24" si="4944">$C$24*NFC24</f>
        <v>100000</v>
      </c>
      <c r="NFG24" s="906">
        <f t="shared" ref="NFG24" si="4945">$C$24*NFE24</f>
        <v>100000</v>
      </c>
      <c r="NFI24" s="906">
        <f t="shared" ref="NFI24" si="4946">$C$24*NFG24</f>
        <v>100000</v>
      </c>
      <c r="NFK24" s="906">
        <f t="shared" ref="NFK24" si="4947">$C$24*NFI24</f>
        <v>100000</v>
      </c>
      <c r="NFM24" s="906">
        <f t="shared" ref="NFM24" si="4948">$C$24*NFK24</f>
        <v>100000</v>
      </c>
      <c r="NFO24" s="906">
        <f t="shared" ref="NFO24" si="4949">$C$24*NFM24</f>
        <v>100000</v>
      </c>
      <c r="NFQ24" s="906">
        <f t="shared" ref="NFQ24" si="4950">$C$24*NFO24</f>
        <v>100000</v>
      </c>
      <c r="NFS24" s="906">
        <f t="shared" ref="NFS24" si="4951">$C$24*NFQ24</f>
        <v>100000</v>
      </c>
      <c r="NFU24" s="906">
        <f t="shared" ref="NFU24" si="4952">$C$24*NFS24</f>
        <v>100000</v>
      </c>
      <c r="NFW24" s="906">
        <f t="shared" ref="NFW24" si="4953">$C$24*NFU24</f>
        <v>100000</v>
      </c>
      <c r="NFY24" s="906">
        <f t="shared" ref="NFY24" si="4954">$C$24*NFW24</f>
        <v>100000</v>
      </c>
      <c r="NGA24" s="906">
        <f t="shared" ref="NGA24" si="4955">$C$24*NFY24</f>
        <v>100000</v>
      </c>
      <c r="NGC24" s="906">
        <f t="shared" ref="NGC24" si="4956">$C$24*NGA24</f>
        <v>100000</v>
      </c>
      <c r="NGE24" s="906">
        <f t="shared" ref="NGE24" si="4957">$C$24*NGC24</f>
        <v>100000</v>
      </c>
      <c r="NGG24" s="906">
        <f t="shared" ref="NGG24" si="4958">$C$24*NGE24</f>
        <v>100000</v>
      </c>
      <c r="NGI24" s="906">
        <f t="shared" ref="NGI24" si="4959">$C$24*NGG24</f>
        <v>100000</v>
      </c>
      <c r="NGK24" s="906">
        <f t="shared" ref="NGK24" si="4960">$C$24*NGI24</f>
        <v>100000</v>
      </c>
      <c r="NGM24" s="906">
        <f t="shared" ref="NGM24" si="4961">$C$24*NGK24</f>
        <v>100000</v>
      </c>
      <c r="NGO24" s="906">
        <f t="shared" ref="NGO24" si="4962">$C$24*NGM24</f>
        <v>100000</v>
      </c>
      <c r="NGQ24" s="906">
        <f t="shared" ref="NGQ24" si="4963">$C$24*NGO24</f>
        <v>100000</v>
      </c>
      <c r="NGS24" s="906">
        <f t="shared" ref="NGS24" si="4964">$C$24*NGQ24</f>
        <v>100000</v>
      </c>
      <c r="NGU24" s="906">
        <f t="shared" ref="NGU24" si="4965">$C$24*NGS24</f>
        <v>100000</v>
      </c>
      <c r="NGW24" s="906">
        <f t="shared" ref="NGW24" si="4966">$C$24*NGU24</f>
        <v>100000</v>
      </c>
      <c r="NGY24" s="906">
        <f t="shared" ref="NGY24" si="4967">$C$24*NGW24</f>
        <v>100000</v>
      </c>
      <c r="NHA24" s="906">
        <f t="shared" ref="NHA24" si="4968">$C$24*NGY24</f>
        <v>100000</v>
      </c>
      <c r="NHC24" s="906">
        <f t="shared" ref="NHC24" si="4969">$C$24*NHA24</f>
        <v>100000</v>
      </c>
      <c r="NHE24" s="906">
        <f t="shared" ref="NHE24" si="4970">$C$24*NHC24</f>
        <v>100000</v>
      </c>
      <c r="NHG24" s="906">
        <f t="shared" ref="NHG24" si="4971">$C$24*NHE24</f>
        <v>100000</v>
      </c>
      <c r="NHI24" s="906">
        <f t="shared" ref="NHI24" si="4972">$C$24*NHG24</f>
        <v>100000</v>
      </c>
      <c r="NHK24" s="906">
        <f t="shared" ref="NHK24" si="4973">$C$24*NHI24</f>
        <v>100000</v>
      </c>
      <c r="NHM24" s="906">
        <f t="shared" ref="NHM24" si="4974">$C$24*NHK24</f>
        <v>100000</v>
      </c>
      <c r="NHO24" s="906">
        <f t="shared" ref="NHO24" si="4975">$C$24*NHM24</f>
        <v>100000</v>
      </c>
      <c r="NHQ24" s="906">
        <f t="shared" ref="NHQ24" si="4976">$C$24*NHO24</f>
        <v>100000</v>
      </c>
      <c r="NHS24" s="906">
        <f t="shared" ref="NHS24" si="4977">$C$24*NHQ24</f>
        <v>100000</v>
      </c>
      <c r="NHU24" s="906">
        <f t="shared" ref="NHU24" si="4978">$C$24*NHS24</f>
        <v>100000</v>
      </c>
      <c r="NHW24" s="906">
        <f t="shared" ref="NHW24" si="4979">$C$24*NHU24</f>
        <v>100000</v>
      </c>
      <c r="NHY24" s="906">
        <f t="shared" ref="NHY24" si="4980">$C$24*NHW24</f>
        <v>100000</v>
      </c>
      <c r="NIA24" s="906">
        <f t="shared" ref="NIA24" si="4981">$C$24*NHY24</f>
        <v>100000</v>
      </c>
      <c r="NIC24" s="906">
        <f t="shared" ref="NIC24" si="4982">$C$24*NIA24</f>
        <v>100000</v>
      </c>
      <c r="NIE24" s="906">
        <f t="shared" ref="NIE24" si="4983">$C$24*NIC24</f>
        <v>100000</v>
      </c>
      <c r="NIG24" s="906">
        <f t="shared" ref="NIG24" si="4984">$C$24*NIE24</f>
        <v>100000</v>
      </c>
      <c r="NII24" s="906">
        <f t="shared" ref="NII24" si="4985">$C$24*NIG24</f>
        <v>100000</v>
      </c>
      <c r="NIK24" s="906">
        <f t="shared" ref="NIK24" si="4986">$C$24*NII24</f>
        <v>100000</v>
      </c>
      <c r="NIM24" s="906">
        <f t="shared" ref="NIM24" si="4987">$C$24*NIK24</f>
        <v>100000</v>
      </c>
      <c r="NIO24" s="906">
        <f t="shared" ref="NIO24" si="4988">$C$24*NIM24</f>
        <v>100000</v>
      </c>
      <c r="NIQ24" s="906">
        <f t="shared" ref="NIQ24" si="4989">$C$24*NIO24</f>
        <v>100000</v>
      </c>
      <c r="NIS24" s="906">
        <f t="shared" ref="NIS24" si="4990">$C$24*NIQ24</f>
        <v>100000</v>
      </c>
      <c r="NIU24" s="906">
        <f t="shared" ref="NIU24" si="4991">$C$24*NIS24</f>
        <v>100000</v>
      </c>
      <c r="NIW24" s="906">
        <f t="shared" ref="NIW24" si="4992">$C$24*NIU24</f>
        <v>100000</v>
      </c>
      <c r="NIY24" s="906">
        <f t="shared" ref="NIY24" si="4993">$C$24*NIW24</f>
        <v>100000</v>
      </c>
      <c r="NJA24" s="906">
        <f t="shared" ref="NJA24" si="4994">$C$24*NIY24</f>
        <v>100000</v>
      </c>
      <c r="NJC24" s="906">
        <f t="shared" ref="NJC24" si="4995">$C$24*NJA24</f>
        <v>100000</v>
      </c>
      <c r="NJE24" s="906">
        <f t="shared" ref="NJE24" si="4996">$C$24*NJC24</f>
        <v>100000</v>
      </c>
      <c r="NJG24" s="906">
        <f t="shared" ref="NJG24" si="4997">$C$24*NJE24</f>
        <v>100000</v>
      </c>
      <c r="NJI24" s="906">
        <f t="shared" ref="NJI24" si="4998">$C$24*NJG24</f>
        <v>100000</v>
      </c>
      <c r="NJK24" s="906">
        <f t="shared" ref="NJK24" si="4999">$C$24*NJI24</f>
        <v>100000</v>
      </c>
      <c r="NJM24" s="906">
        <f t="shared" ref="NJM24" si="5000">$C$24*NJK24</f>
        <v>100000</v>
      </c>
      <c r="NJO24" s="906">
        <f t="shared" ref="NJO24" si="5001">$C$24*NJM24</f>
        <v>100000</v>
      </c>
      <c r="NJQ24" s="906">
        <f t="shared" ref="NJQ24" si="5002">$C$24*NJO24</f>
        <v>100000</v>
      </c>
      <c r="NJS24" s="906">
        <f t="shared" ref="NJS24" si="5003">$C$24*NJQ24</f>
        <v>100000</v>
      </c>
      <c r="NJU24" s="906">
        <f t="shared" ref="NJU24" si="5004">$C$24*NJS24</f>
        <v>100000</v>
      </c>
      <c r="NJW24" s="906">
        <f t="shared" ref="NJW24" si="5005">$C$24*NJU24</f>
        <v>100000</v>
      </c>
      <c r="NJY24" s="906">
        <f t="shared" ref="NJY24" si="5006">$C$24*NJW24</f>
        <v>100000</v>
      </c>
      <c r="NKA24" s="906">
        <f t="shared" ref="NKA24" si="5007">$C$24*NJY24</f>
        <v>100000</v>
      </c>
      <c r="NKC24" s="906">
        <f t="shared" ref="NKC24" si="5008">$C$24*NKA24</f>
        <v>100000</v>
      </c>
      <c r="NKE24" s="906">
        <f t="shared" ref="NKE24" si="5009">$C$24*NKC24</f>
        <v>100000</v>
      </c>
      <c r="NKG24" s="906">
        <f t="shared" ref="NKG24" si="5010">$C$24*NKE24</f>
        <v>100000</v>
      </c>
      <c r="NKI24" s="906">
        <f t="shared" ref="NKI24" si="5011">$C$24*NKG24</f>
        <v>100000</v>
      </c>
      <c r="NKK24" s="906">
        <f t="shared" ref="NKK24" si="5012">$C$24*NKI24</f>
        <v>100000</v>
      </c>
      <c r="NKM24" s="906">
        <f t="shared" ref="NKM24" si="5013">$C$24*NKK24</f>
        <v>100000</v>
      </c>
      <c r="NKO24" s="906">
        <f t="shared" ref="NKO24" si="5014">$C$24*NKM24</f>
        <v>100000</v>
      </c>
      <c r="NKQ24" s="906">
        <f t="shared" ref="NKQ24" si="5015">$C$24*NKO24</f>
        <v>100000</v>
      </c>
      <c r="NKS24" s="906">
        <f t="shared" ref="NKS24" si="5016">$C$24*NKQ24</f>
        <v>100000</v>
      </c>
      <c r="NKU24" s="906">
        <f t="shared" ref="NKU24" si="5017">$C$24*NKS24</f>
        <v>100000</v>
      </c>
      <c r="NKW24" s="906">
        <f t="shared" ref="NKW24" si="5018">$C$24*NKU24</f>
        <v>100000</v>
      </c>
      <c r="NKY24" s="906">
        <f t="shared" ref="NKY24" si="5019">$C$24*NKW24</f>
        <v>100000</v>
      </c>
      <c r="NLA24" s="906">
        <f t="shared" ref="NLA24" si="5020">$C$24*NKY24</f>
        <v>100000</v>
      </c>
      <c r="NLC24" s="906">
        <f t="shared" ref="NLC24" si="5021">$C$24*NLA24</f>
        <v>100000</v>
      </c>
      <c r="NLE24" s="906">
        <f t="shared" ref="NLE24" si="5022">$C$24*NLC24</f>
        <v>100000</v>
      </c>
      <c r="NLG24" s="906">
        <f t="shared" ref="NLG24" si="5023">$C$24*NLE24</f>
        <v>100000</v>
      </c>
      <c r="NLI24" s="906">
        <f t="shared" ref="NLI24" si="5024">$C$24*NLG24</f>
        <v>100000</v>
      </c>
      <c r="NLK24" s="906">
        <f t="shared" ref="NLK24" si="5025">$C$24*NLI24</f>
        <v>100000</v>
      </c>
      <c r="NLM24" s="906">
        <f t="shared" ref="NLM24" si="5026">$C$24*NLK24</f>
        <v>100000</v>
      </c>
      <c r="NLO24" s="906">
        <f t="shared" ref="NLO24" si="5027">$C$24*NLM24</f>
        <v>100000</v>
      </c>
      <c r="NLQ24" s="906">
        <f t="shared" ref="NLQ24" si="5028">$C$24*NLO24</f>
        <v>100000</v>
      </c>
      <c r="NLS24" s="906">
        <f t="shared" ref="NLS24" si="5029">$C$24*NLQ24</f>
        <v>100000</v>
      </c>
      <c r="NLU24" s="906">
        <f t="shared" ref="NLU24" si="5030">$C$24*NLS24</f>
        <v>100000</v>
      </c>
      <c r="NLW24" s="906">
        <f t="shared" ref="NLW24" si="5031">$C$24*NLU24</f>
        <v>100000</v>
      </c>
      <c r="NLY24" s="906">
        <f t="shared" ref="NLY24" si="5032">$C$24*NLW24</f>
        <v>100000</v>
      </c>
      <c r="NMA24" s="906">
        <f t="shared" ref="NMA24" si="5033">$C$24*NLY24</f>
        <v>100000</v>
      </c>
      <c r="NMC24" s="906">
        <f t="shared" ref="NMC24" si="5034">$C$24*NMA24</f>
        <v>100000</v>
      </c>
      <c r="NME24" s="906">
        <f t="shared" ref="NME24" si="5035">$C$24*NMC24</f>
        <v>100000</v>
      </c>
      <c r="NMG24" s="906">
        <f t="shared" ref="NMG24" si="5036">$C$24*NME24</f>
        <v>100000</v>
      </c>
      <c r="NMI24" s="906">
        <f t="shared" ref="NMI24" si="5037">$C$24*NMG24</f>
        <v>100000</v>
      </c>
      <c r="NMK24" s="906">
        <f t="shared" ref="NMK24" si="5038">$C$24*NMI24</f>
        <v>100000</v>
      </c>
      <c r="NMM24" s="906">
        <f t="shared" ref="NMM24" si="5039">$C$24*NMK24</f>
        <v>100000</v>
      </c>
      <c r="NMO24" s="906">
        <f t="shared" ref="NMO24" si="5040">$C$24*NMM24</f>
        <v>100000</v>
      </c>
      <c r="NMQ24" s="906">
        <f t="shared" ref="NMQ24" si="5041">$C$24*NMO24</f>
        <v>100000</v>
      </c>
      <c r="NMS24" s="906">
        <f t="shared" ref="NMS24" si="5042">$C$24*NMQ24</f>
        <v>100000</v>
      </c>
      <c r="NMU24" s="906">
        <f t="shared" ref="NMU24" si="5043">$C$24*NMS24</f>
        <v>100000</v>
      </c>
      <c r="NMW24" s="906">
        <f t="shared" ref="NMW24" si="5044">$C$24*NMU24</f>
        <v>100000</v>
      </c>
      <c r="NMY24" s="906">
        <f t="shared" ref="NMY24" si="5045">$C$24*NMW24</f>
        <v>100000</v>
      </c>
      <c r="NNA24" s="906">
        <f t="shared" ref="NNA24" si="5046">$C$24*NMY24</f>
        <v>100000</v>
      </c>
      <c r="NNC24" s="906">
        <f t="shared" ref="NNC24" si="5047">$C$24*NNA24</f>
        <v>100000</v>
      </c>
      <c r="NNE24" s="906">
        <f t="shared" ref="NNE24" si="5048">$C$24*NNC24</f>
        <v>100000</v>
      </c>
      <c r="NNG24" s="906">
        <f t="shared" ref="NNG24" si="5049">$C$24*NNE24</f>
        <v>100000</v>
      </c>
      <c r="NNI24" s="906">
        <f t="shared" ref="NNI24" si="5050">$C$24*NNG24</f>
        <v>100000</v>
      </c>
      <c r="NNK24" s="906">
        <f t="shared" ref="NNK24" si="5051">$C$24*NNI24</f>
        <v>100000</v>
      </c>
      <c r="NNM24" s="906">
        <f t="shared" ref="NNM24" si="5052">$C$24*NNK24</f>
        <v>100000</v>
      </c>
      <c r="NNO24" s="906">
        <f t="shared" ref="NNO24" si="5053">$C$24*NNM24</f>
        <v>100000</v>
      </c>
      <c r="NNQ24" s="906">
        <f t="shared" ref="NNQ24" si="5054">$C$24*NNO24</f>
        <v>100000</v>
      </c>
      <c r="NNS24" s="906">
        <f t="shared" ref="NNS24" si="5055">$C$24*NNQ24</f>
        <v>100000</v>
      </c>
      <c r="NNU24" s="906">
        <f t="shared" ref="NNU24" si="5056">$C$24*NNS24</f>
        <v>100000</v>
      </c>
      <c r="NNW24" s="906">
        <f t="shared" ref="NNW24" si="5057">$C$24*NNU24</f>
        <v>100000</v>
      </c>
      <c r="NNY24" s="906">
        <f t="shared" ref="NNY24" si="5058">$C$24*NNW24</f>
        <v>100000</v>
      </c>
      <c r="NOA24" s="906">
        <f t="shared" ref="NOA24" si="5059">$C$24*NNY24</f>
        <v>100000</v>
      </c>
      <c r="NOC24" s="906">
        <f t="shared" ref="NOC24" si="5060">$C$24*NOA24</f>
        <v>100000</v>
      </c>
      <c r="NOE24" s="906">
        <f t="shared" ref="NOE24" si="5061">$C$24*NOC24</f>
        <v>100000</v>
      </c>
      <c r="NOG24" s="906">
        <f t="shared" ref="NOG24" si="5062">$C$24*NOE24</f>
        <v>100000</v>
      </c>
      <c r="NOI24" s="906">
        <f t="shared" ref="NOI24" si="5063">$C$24*NOG24</f>
        <v>100000</v>
      </c>
      <c r="NOK24" s="906">
        <f t="shared" ref="NOK24" si="5064">$C$24*NOI24</f>
        <v>100000</v>
      </c>
      <c r="NOM24" s="906">
        <f t="shared" ref="NOM24" si="5065">$C$24*NOK24</f>
        <v>100000</v>
      </c>
      <c r="NOO24" s="906">
        <f t="shared" ref="NOO24" si="5066">$C$24*NOM24</f>
        <v>100000</v>
      </c>
      <c r="NOQ24" s="906">
        <f t="shared" ref="NOQ24" si="5067">$C$24*NOO24</f>
        <v>100000</v>
      </c>
      <c r="NOS24" s="906">
        <f t="shared" ref="NOS24" si="5068">$C$24*NOQ24</f>
        <v>100000</v>
      </c>
      <c r="NOU24" s="906">
        <f t="shared" ref="NOU24" si="5069">$C$24*NOS24</f>
        <v>100000</v>
      </c>
      <c r="NOW24" s="906">
        <f t="shared" ref="NOW24" si="5070">$C$24*NOU24</f>
        <v>100000</v>
      </c>
      <c r="NOY24" s="906">
        <f t="shared" ref="NOY24" si="5071">$C$24*NOW24</f>
        <v>100000</v>
      </c>
      <c r="NPA24" s="906">
        <f t="shared" ref="NPA24" si="5072">$C$24*NOY24</f>
        <v>100000</v>
      </c>
      <c r="NPC24" s="906">
        <f t="shared" ref="NPC24" si="5073">$C$24*NPA24</f>
        <v>100000</v>
      </c>
      <c r="NPE24" s="906">
        <f t="shared" ref="NPE24" si="5074">$C$24*NPC24</f>
        <v>100000</v>
      </c>
      <c r="NPG24" s="906">
        <f t="shared" ref="NPG24" si="5075">$C$24*NPE24</f>
        <v>100000</v>
      </c>
      <c r="NPI24" s="906">
        <f t="shared" ref="NPI24" si="5076">$C$24*NPG24</f>
        <v>100000</v>
      </c>
      <c r="NPK24" s="906">
        <f t="shared" ref="NPK24" si="5077">$C$24*NPI24</f>
        <v>100000</v>
      </c>
      <c r="NPM24" s="906">
        <f t="shared" ref="NPM24" si="5078">$C$24*NPK24</f>
        <v>100000</v>
      </c>
      <c r="NPO24" s="906">
        <f t="shared" ref="NPO24" si="5079">$C$24*NPM24</f>
        <v>100000</v>
      </c>
      <c r="NPQ24" s="906">
        <f t="shared" ref="NPQ24" si="5080">$C$24*NPO24</f>
        <v>100000</v>
      </c>
      <c r="NPS24" s="906">
        <f t="shared" ref="NPS24" si="5081">$C$24*NPQ24</f>
        <v>100000</v>
      </c>
      <c r="NPU24" s="906">
        <f t="shared" ref="NPU24" si="5082">$C$24*NPS24</f>
        <v>100000</v>
      </c>
      <c r="NPW24" s="906">
        <f t="shared" ref="NPW24" si="5083">$C$24*NPU24</f>
        <v>100000</v>
      </c>
      <c r="NPY24" s="906">
        <f t="shared" ref="NPY24" si="5084">$C$24*NPW24</f>
        <v>100000</v>
      </c>
      <c r="NQA24" s="906">
        <f t="shared" ref="NQA24" si="5085">$C$24*NPY24</f>
        <v>100000</v>
      </c>
      <c r="NQC24" s="906">
        <f t="shared" ref="NQC24" si="5086">$C$24*NQA24</f>
        <v>100000</v>
      </c>
      <c r="NQE24" s="906">
        <f t="shared" ref="NQE24" si="5087">$C$24*NQC24</f>
        <v>100000</v>
      </c>
      <c r="NQG24" s="906">
        <f t="shared" ref="NQG24" si="5088">$C$24*NQE24</f>
        <v>100000</v>
      </c>
      <c r="NQI24" s="906">
        <f t="shared" ref="NQI24" si="5089">$C$24*NQG24</f>
        <v>100000</v>
      </c>
      <c r="NQK24" s="906">
        <f t="shared" ref="NQK24" si="5090">$C$24*NQI24</f>
        <v>100000</v>
      </c>
      <c r="NQM24" s="906">
        <f t="shared" ref="NQM24" si="5091">$C$24*NQK24</f>
        <v>100000</v>
      </c>
      <c r="NQO24" s="906">
        <f t="shared" ref="NQO24" si="5092">$C$24*NQM24</f>
        <v>100000</v>
      </c>
      <c r="NQQ24" s="906">
        <f t="shared" ref="NQQ24" si="5093">$C$24*NQO24</f>
        <v>100000</v>
      </c>
      <c r="NQS24" s="906">
        <f t="shared" ref="NQS24" si="5094">$C$24*NQQ24</f>
        <v>100000</v>
      </c>
      <c r="NQU24" s="906">
        <f t="shared" ref="NQU24" si="5095">$C$24*NQS24</f>
        <v>100000</v>
      </c>
      <c r="NQW24" s="906">
        <f t="shared" ref="NQW24" si="5096">$C$24*NQU24</f>
        <v>100000</v>
      </c>
      <c r="NQY24" s="906">
        <f t="shared" ref="NQY24" si="5097">$C$24*NQW24</f>
        <v>100000</v>
      </c>
      <c r="NRA24" s="906">
        <f t="shared" ref="NRA24" si="5098">$C$24*NQY24</f>
        <v>100000</v>
      </c>
      <c r="NRC24" s="906">
        <f t="shared" ref="NRC24" si="5099">$C$24*NRA24</f>
        <v>100000</v>
      </c>
      <c r="NRE24" s="906">
        <f t="shared" ref="NRE24" si="5100">$C$24*NRC24</f>
        <v>100000</v>
      </c>
      <c r="NRG24" s="906">
        <f t="shared" ref="NRG24" si="5101">$C$24*NRE24</f>
        <v>100000</v>
      </c>
      <c r="NRI24" s="906">
        <f t="shared" ref="NRI24" si="5102">$C$24*NRG24</f>
        <v>100000</v>
      </c>
      <c r="NRK24" s="906">
        <f t="shared" ref="NRK24" si="5103">$C$24*NRI24</f>
        <v>100000</v>
      </c>
      <c r="NRM24" s="906">
        <f t="shared" ref="NRM24" si="5104">$C$24*NRK24</f>
        <v>100000</v>
      </c>
      <c r="NRO24" s="906">
        <f t="shared" ref="NRO24" si="5105">$C$24*NRM24</f>
        <v>100000</v>
      </c>
      <c r="NRQ24" s="906">
        <f t="shared" ref="NRQ24" si="5106">$C$24*NRO24</f>
        <v>100000</v>
      </c>
      <c r="NRS24" s="906">
        <f t="shared" ref="NRS24" si="5107">$C$24*NRQ24</f>
        <v>100000</v>
      </c>
      <c r="NRU24" s="906">
        <f t="shared" ref="NRU24" si="5108">$C$24*NRS24</f>
        <v>100000</v>
      </c>
      <c r="NRW24" s="906">
        <f t="shared" ref="NRW24" si="5109">$C$24*NRU24</f>
        <v>100000</v>
      </c>
      <c r="NRY24" s="906">
        <f t="shared" ref="NRY24" si="5110">$C$24*NRW24</f>
        <v>100000</v>
      </c>
      <c r="NSA24" s="906">
        <f t="shared" ref="NSA24" si="5111">$C$24*NRY24</f>
        <v>100000</v>
      </c>
      <c r="NSC24" s="906">
        <f t="shared" ref="NSC24" si="5112">$C$24*NSA24</f>
        <v>100000</v>
      </c>
      <c r="NSE24" s="906">
        <f t="shared" ref="NSE24" si="5113">$C$24*NSC24</f>
        <v>100000</v>
      </c>
      <c r="NSG24" s="906">
        <f t="shared" ref="NSG24" si="5114">$C$24*NSE24</f>
        <v>100000</v>
      </c>
      <c r="NSI24" s="906">
        <f t="shared" ref="NSI24" si="5115">$C$24*NSG24</f>
        <v>100000</v>
      </c>
      <c r="NSK24" s="906">
        <f t="shared" ref="NSK24" si="5116">$C$24*NSI24</f>
        <v>100000</v>
      </c>
      <c r="NSM24" s="906">
        <f t="shared" ref="NSM24" si="5117">$C$24*NSK24</f>
        <v>100000</v>
      </c>
      <c r="NSO24" s="906">
        <f t="shared" ref="NSO24" si="5118">$C$24*NSM24</f>
        <v>100000</v>
      </c>
      <c r="NSQ24" s="906">
        <f t="shared" ref="NSQ24" si="5119">$C$24*NSO24</f>
        <v>100000</v>
      </c>
      <c r="NSS24" s="906">
        <f t="shared" ref="NSS24" si="5120">$C$24*NSQ24</f>
        <v>100000</v>
      </c>
      <c r="NSU24" s="906">
        <f t="shared" ref="NSU24" si="5121">$C$24*NSS24</f>
        <v>100000</v>
      </c>
      <c r="NSW24" s="906">
        <f t="shared" ref="NSW24" si="5122">$C$24*NSU24</f>
        <v>100000</v>
      </c>
      <c r="NSY24" s="906">
        <f t="shared" ref="NSY24" si="5123">$C$24*NSW24</f>
        <v>100000</v>
      </c>
      <c r="NTA24" s="906">
        <f t="shared" ref="NTA24" si="5124">$C$24*NSY24</f>
        <v>100000</v>
      </c>
      <c r="NTC24" s="906">
        <f t="shared" ref="NTC24" si="5125">$C$24*NTA24</f>
        <v>100000</v>
      </c>
      <c r="NTE24" s="906">
        <f t="shared" ref="NTE24" si="5126">$C$24*NTC24</f>
        <v>100000</v>
      </c>
      <c r="NTG24" s="906">
        <f t="shared" ref="NTG24" si="5127">$C$24*NTE24</f>
        <v>100000</v>
      </c>
      <c r="NTI24" s="906">
        <f t="shared" ref="NTI24" si="5128">$C$24*NTG24</f>
        <v>100000</v>
      </c>
      <c r="NTK24" s="906">
        <f t="shared" ref="NTK24" si="5129">$C$24*NTI24</f>
        <v>100000</v>
      </c>
      <c r="NTM24" s="906">
        <f t="shared" ref="NTM24" si="5130">$C$24*NTK24</f>
        <v>100000</v>
      </c>
      <c r="NTO24" s="906">
        <f t="shared" ref="NTO24" si="5131">$C$24*NTM24</f>
        <v>100000</v>
      </c>
      <c r="NTQ24" s="906">
        <f t="shared" ref="NTQ24" si="5132">$C$24*NTO24</f>
        <v>100000</v>
      </c>
      <c r="NTS24" s="906">
        <f t="shared" ref="NTS24" si="5133">$C$24*NTQ24</f>
        <v>100000</v>
      </c>
      <c r="NTU24" s="906">
        <f t="shared" ref="NTU24" si="5134">$C$24*NTS24</f>
        <v>100000</v>
      </c>
      <c r="NTW24" s="906">
        <f t="shared" ref="NTW24" si="5135">$C$24*NTU24</f>
        <v>100000</v>
      </c>
      <c r="NTY24" s="906">
        <f t="shared" ref="NTY24" si="5136">$C$24*NTW24</f>
        <v>100000</v>
      </c>
      <c r="NUA24" s="906">
        <f t="shared" ref="NUA24" si="5137">$C$24*NTY24</f>
        <v>100000</v>
      </c>
      <c r="NUC24" s="906">
        <f t="shared" ref="NUC24" si="5138">$C$24*NUA24</f>
        <v>100000</v>
      </c>
      <c r="NUE24" s="906">
        <f t="shared" ref="NUE24" si="5139">$C$24*NUC24</f>
        <v>100000</v>
      </c>
      <c r="NUG24" s="906">
        <f t="shared" ref="NUG24" si="5140">$C$24*NUE24</f>
        <v>100000</v>
      </c>
      <c r="NUI24" s="906">
        <f t="shared" ref="NUI24" si="5141">$C$24*NUG24</f>
        <v>100000</v>
      </c>
      <c r="NUK24" s="906">
        <f t="shared" ref="NUK24" si="5142">$C$24*NUI24</f>
        <v>100000</v>
      </c>
      <c r="NUM24" s="906">
        <f t="shared" ref="NUM24" si="5143">$C$24*NUK24</f>
        <v>100000</v>
      </c>
      <c r="NUO24" s="906">
        <f t="shared" ref="NUO24" si="5144">$C$24*NUM24</f>
        <v>100000</v>
      </c>
      <c r="NUQ24" s="906">
        <f t="shared" ref="NUQ24" si="5145">$C$24*NUO24</f>
        <v>100000</v>
      </c>
      <c r="NUS24" s="906">
        <f t="shared" ref="NUS24" si="5146">$C$24*NUQ24</f>
        <v>100000</v>
      </c>
      <c r="NUU24" s="906">
        <f t="shared" ref="NUU24" si="5147">$C$24*NUS24</f>
        <v>100000</v>
      </c>
      <c r="NUW24" s="906">
        <f t="shared" ref="NUW24" si="5148">$C$24*NUU24</f>
        <v>100000</v>
      </c>
      <c r="NUY24" s="906">
        <f t="shared" ref="NUY24" si="5149">$C$24*NUW24</f>
        <v>100000</v>
      </c>
      <c r="NVA24" s="906">
        <f t="shared" ref="NVA24" si="5150">$C$24*NUY24</f>
        <v>100000</v>
      </c>
      <c r="NVC24" s="906">
        <f t="shared" ref="NVC24" si="5151">$C$24*NVA24</f>
        <v>100000</v>
      </c>
      <c r="NVE24" s="906">
        <f t="shared" ref="NVE24" si="5152">$C$24*NVC24</f>
        <v>100000</v>
      </c>
      <c r="NVG24" s="906">
        <f t="shared" ref="NVG24" si="5153">$C$24*NVE24</f>
        <v>100000</v>
      </c>
      <c r="NVI24" s="906">
        <f t="shared" ref="NVI24" si="5154">$C$24*NVG24</f>
        <v>100000</v>
      </c>
      <c r="NVK24" s="906">
        <f t="shared" ref="NVK24" si="5155">$C$24*NVI24</f>
        <v>100000</v>
      </c>
      <c r="NVM24" s="906">
        <f t="shared" ref="NVM24" si="5156">$C$24*NVK24</f>
        <v>100000</v>
      </c>
      <c r="NVO24" s="906">
        <f t="shared" ref="NVO24" si="5157">$C$24*NVM24</f>
        <v>100000</v>
      </c>
      <c r="NVQ24" s="906">
        <f t="shared" ref="NVQ24" si="5158">$C$24*NVO24</f>
        <v>100000</v>
      </c>
      <c r="NVS24" s="906">
        <f t="shared" ref="NVS24" si="5159">$C$24*NVQ24</f>
        <v>100000</v>
      </c>
      <c r="NVU24" s="906">
        <f t="shared" ref="NVU24" si="5160">$C$24*NVS24</f>
        <v>100000</v>
      </c>
      <c r="NVW24" s="906">
        <f t="shared" ref="NVW24" si="5161">$C$24*NVU24</f>
        <v>100000</v>
      </c>
      <c r="NVY24" s="906">
        <f t="shared" ref="NVY24" si="5162">$C$24*NVW24</f>
        <v>100000</v>
      </c>
      <c r="NWA24" s="906">
        <f t="shared" ref="NWA24" si="5163">$C$24*NVY24</f>
        <v>100000</v>
      </c>
      <c r="NWC24" s="906">
        <f t="shared" ref="NWC24" si="5164">$C$24*NWA24</f>
        <v>100000</v>
      </c>
      <c r="NWE24" s="906">
        <f t="shared" ref="NWE24" si="5165">$C$24*NWC24</f>
        <v>100000</v>
      </c>
      <c r="NWG24" s="906">
        <f t="shared" ref="NWG24" si="5166">$C$24*NWE24</f>
        <v>100000</v>
      </c>
      <c r="NWI24" s="906">
        <f t="shared" ref="NWI24" si="5167">$C$24*NWG24</f>
        <v>100000</v>
      </c>
      <c r="NWK24" s="906">
        <f t="shared" ref="NWK24" si="5168">$C$24*NWI24</f>
        <v>100000</v>
      </c>
      <c r="NWM24" s="906">
        <f t="shared" ref="NWM24" si="5169">$C$24*NWK24</f>
        <v>100000</v>
      </c>
      <c r="NWO24" s="906">
        <f t="shared" ref="NWO24" si="5170">$C$24*NWM24</f>
        <v>100000</v>
      </c>
      <c r="NWQ24" s="906">
        <f t="shared" ref="NWQ24" si="5171">$C$24*NWO24</f>
        <v>100000</v>
      </c>
      <c r="NWS24" s="906">
        <f t="shared" ref="NWS24" si="5172">$C$24*NWQ24</f>
        <v>100000</v>
      </c>
      <c r="NWU24" s="906">
        <f t="shared" ref="NWU24" si="5173">$C$24*NWS24</f>
        <v>100000</v>
      </c>
      <c r="NWW24" s="906">
        <f t="shared" ref="NWW24" si="5174">$C$24*NWU24</f>
        <v>100000</v>
      </c>
      <c r="NWY24" s="906">
        <f t="shared" ref="NWY24" si="5175">$C$24*NWW24</f>
        <v>100000</v>
      </c>
      <c r="NXA24" s="906">
        <f t="shared" ref="NXA24" si="5176">$C$24*NWY24</f>
        <v>100000</v>
      </c>
      <c r="NXC24" s="906">
        <f t="shared" ref="NXC24" si="5177">$C$24*NXA24</f>
        <v>100000</v>
      </c>
      <c r="NXE24" s="906">
        <f t="shared" ref="NXE24" si="5178">$C$24*NXC24</f>
        <v>100000</v>
      </c>
      <c r="NXG24" s="906">
        <f t="shared" ref="NXG24" si="5179">$C$24*NXE24</f>
        <v>100000</v>
      </c>
      <c r="NXI24" s="906">
        <f t="shared" ref="NXI24" si="5180">$C$24*NXG24</f>
        <v>100000</v>
      </c>
      <c r="NXK24" s="906">
        <f t="shared" ref="NXK24" si="5181">$C$24*NXI24</f>
        <v>100000</v>
      </c>
      <c r="NXM24" s="906">
        <f t="shared" ref="NXM24" si="5182">$C$24*NXK24</f>
        <v>100000</v>
      </c>
      <c r="NXO24" s="906">
        <f t="shared" ref="NXO24" si="5183">$C$24*NXM24</f>
        <v>100000</v>
      </c>
      <c r="NXQ24" s="906">
        <f t="shared" ref="NXQ24" si="5184">$C$24*NXO24</f>
        <v>100000</v>
      </c>
      <c r="NXS24" s="906">
        <f t="shared" ref="NXS24" si="5185">$C$24*NXQ24</f>
        <v>100000</v>
      </c>
      <c r="NXU24" s="906">
        <f t="shared" ref="NXU24" si="5186">$C$24*NXS24</f>
        <v>100000</v>
      </c>
      <c r="NXW24" s="906">
        <f t="shared" ref="NXW24" si="5187">$C$24*NXU24</f>
        <v>100000</v>
      </c>
      <c r="NXY24" s="906">
        <f t="shared" ref="NXY24" si="5188">$C$24*NXW24</f>
        <v>100000</v>
      </c>
      <c r="NYA24" s="906">
        <f t="shared" ref="NYA24" si="5189">$C$24*NXY24</f>
        <v>100000</v>
      </c>
      <c r="NYC24" s="906">
        <f t="shared" ref="NYC24" si="5190">$C$24*NYA24</f>
        <v>100000</v>
      </c>
      <c r="NYE24" s="906">
        <f t="shared" ref="NYE24" si="5191">$C$24*NYC24</f>
        <v>100000</v>
      </c>
      <c r="NYG24" s="906">
        <f t="shared" ref="NYG24" si="5192">$C$24*NYE24</f>
        <v>100000</v>
      </c>
      <c r="NYI24" s="906">
        <f t="shared" ref="NYI24" si="5193">$C$24*NYG24</f>
        <v>100000</v>
      </c>
      <c r="NYK24" s="906">
        <f t="shared" ref="NYK24" si="5194">$C$24*NYI24</f>
        <v>100000</v>
      </c>
      <c r="NYM24" s="906">
        <f t="shared" ref="NYM24" si="5195">$C$24*NYK24</f>
        <v>100000</v>
      </c>
      <c r="NYO24" s="906">
        <f t="shared" ref="NYO24" si="5196">$C$24*NYM24</f>
        <v>100000</v>
      </c>
      <c r="NYQ24" s="906">
        <f t="shared" ref="NYQ24" si="5197">$C$24*NYO24</f>
        <v>100000</v>
      </c>
      <c r="NYS24" s="906">
        <f t="shared" ref="NYS24" si="5198">$C$24*NYQ24</f>
        <v>100000</v>
      </c>
      <c r="NYU24" s="906">
        <f t="shared" ref="NYU24" si="5199">$C$24*NYS24</f>
        <v>100000</v>
      </c>
      <c r="NYW24" s="906">
        <f t="shared" ref="NYW24" si="5200">$C$24*NYU24</f>
        <v>100000</v>
      </c>
      <c r="NYY24" s="906">
        <f t="shared" ref="NYY24" si="5201">$C$24*NYW24</f>
        <v>100000</v>
      </c>
      <c r="NZA24" s="906">
        <f t="shared" ref="NZA24" si="5202">$C$24*NYY24</f>
        <v>100000</v>
      </c>
      <c r="NZC24" s="906">
        <f t="shared" ref="NZC24" si="5203">$C$24*NZA24</f>
        <v>100000</v>
      </c>
      <c r="NZE24" s="906">
        <f t="shared" ref="NZE24" si="5204">$C$24*NZC24</f>
        <v>100000</v>
      </c>
      <c r="NZG24" s="906">
        <f t="shared" ref="NZG24" si="5205">$C$24*NZE24</f>
        <v>100000</v>
      </c>
      <c r="NZI24" s="906">
        <f t="shared" ref="NZI24" si="5206">$C$24*NZG24</f>
        <v>100000</v>
      </c>
      <c r="NZK24" s="906">
        <f t="shared" ref="NZK24" si="5207">$C$24*NZI24</f>
        <v>100000</v>
      </c>
      <c r="NZM24" s="906">
        <f t="shared" ref="NZM24" si="5208">$C$24*NZK24</f>
        <v>100000</v>
      </c>
      <c r="NZO24" s="906">
        <f t="shared" ref="NZO24" si="5209">$C$24*NZM24</f>
        <v>100000</v>
      </c>
      <c r="NZQ24" s="906">
        <f t="shared" ref="NZQ24" si="5210">$C$24*NZO24</f>
        <v>100000</v>
      </c>
      <c r="NZS24" s="906">
        <f t="shared" ref="NZS24" si="5211">$C$24*NZQ24</f>
        <v>100000</v>
      </c>
      <c r="NZU24" s="906">
        <f t="shared" ref="NZU24" si="5212">$C$24*NZS24</f>
        <v>100000</v>
      </c>
      <c r="NZW24" s="906">
        <f t="shared" ref="NZW24" si="5213">$C$24*NZU24</f>
        <v>100000</v>
      </c>
      <c r="NZY24" s="906">
        <f t="shared" ref="NZY24" si="5214">$C$24*NZW24</f>
        <v>100000</v>
      </c>
      <c r="OAA24" s="906">
        <f t="shared" ref="OAA24" si="5215">$C$24*NZY24</f>
        <v>100000</v>
      </c>
      <c r="OAC24" s="906">
        <f t="shared" ref="OAC24" si="5216">$C$24*OAA24</f>
        <v>100000</v>
      </c>
      <c r="OAE24" s="906">
        <f t="shared" ref="OAE24" si="5217">$C$24*OAC24</f>
        <v>100000</v>
      </c>
      <c r="OAG24" s="906">
        <f t="shared" ref="OAG24" si="5218">$C$24*OAE24</f>
        <v>100000</v>
      </c>
      <c r="OAI24" s="906">
        <f t="shared" ref="OAI24" si="5219">$C$24*OAG24</f>
        <v>100000</v>
      </c>
      <c r="OAK24" s="906">
        <f t="shared" ref="OAK24" si="5220">$C$24*OAI24</f>
        <v>100000</v>
      </c>
      <c r="OAM24" s="906">
        <f t="shared" ref="OAM24" si="5221">$C$24*OAK24</f>
        <v>100000</v>
      </c>
      <c r="OAO24" s="906">
        <f t="shared" ref="OAO24" si="5222">$C$24*OAM24</f>
        <v>100000</v>
      </c>
      <c r="OAQ24" s="906">
        <f t="shared" ref="OAQ24" si="5223">$C$24*OAO24</f>
        <v>100000</v>
      </c>
      <c r="OAS24" s="906">
        <f t="shared" ref="OAS24" si="5224">$C$24*OAQ24</f>
        <v>100000</v>
      </c>
      <c r="OAU24" s="906">
        <f t="shared" ref="OAU24" si="5225">$C$24*OAS24</f>
        <v>100000</v>
      </c>
      <c r="OAW24" s="906">
        <f t="shared" ref="OAW24" si="5226">$C$24*OAU24</f>
        <v>100000</v>
      </c>
      <c r="OAY24" s="906">
        <f t="shared" ref="OAY24" si="5227">$C$24*OAW24</f>
        <v>100000</v>
      </c>
      <c r="OBA24" s="906">
        <f t="shared" ref="OBA24" si="5228">$C$24*OAY24</f>
        <v>100000</v>
      </c>
      <c r="OBC24" s="906">
        <f t="shared" ref="OBC24" si="5229">$C$24*OBA24</f>
        <v>100000</v>
      </c>
      <c r="OBE24" s="906">
        <f t="shared" ref="OBE24" si="5230">$C$24*OBC24</f>
        <v>100000</v>
      </c>
      <c r="OBG24" s="906">
        <f t="shared" ref="OBG24" si="5231">$C$24*OBE24</f>
        <v>100000</v>
      </c>
      <c r="OBI24" s="906">
        <f t="shared" ref="OBI24" si="5232">$C$24*OBG24</f>
        <v>100000</v>
      </c>
      <c r="OBK24" s="906">
        <f t="shared" ref="OBK24" si="5233">$C$24*OBI24</f>
        <v>100000</v>
      </c>
      <c r="OBM24" s="906">
        <f t="shared" ref="OBM24" si="5234">$C$24*OBK24</f>
        <v>100000</v>
      </c>
      <c r="OBO24" s="906">
        <f t="shared" ref="OBO24" si="5235">$C$24*OBM24</f>
        <v>100000</v>
      </c>
      <c r="OBQ24" s="906">
        <f t="shared" ref="OBQ24" si="5236">$C$24*OBO24</f>
        <v>100000</v>
      </c>
      <c r="OBS24" s="906">
        <f t="shared" ref="OBS24" si="5237">$C$24*OBQ24</f>
        <v>100000</v>
      </c>
      <c r="OBU24" s="906">
        <f t="shared" ref="OBU24" si="5238">$C$24*OBS24</f>
        <v>100000</v>
      </c>
      <c r="OBW24" s="906">
        <f t="shared" ref="OBW24" si="5239">$C$24*OBU24</f>
        <v>100000</v>
      </c>
      <c r="OBY24" s="906">
        <f t="shared" ref="OBY24" si="5240">$C$24*OBW24</f>
        <v>100000</v>
      </c>
      <c r="OCA24" s="906">
        <f t="shared" ref="OCA24" si="5241">$C$24*OBY24</f>
        <v>100000</v>
      </c>
      <c r="OCC24" s="906">
        <f t="shared" ref="OCC24" si="5242">$C$24*OCA24</f>
        <v>100000</v>
      </c>
      <c r="OCE24" s="906">
        <f t="shared" ref="OCE24" si="5243">$C$24*OCC24</f>
        <v>100000</v>
      </c>
      <c r="OCG24" s="906">
        <f t="shared" ref="OCG24" si="5244">$C$24*OCE24</f>
        <v>100000</v>
      </c>
      <c r="OCI24" s="906">
        <f t="shared" ref="OCI24" si="5245">$C$24*OCG24</f>
        <v>100000</v>
      </c>
      <c r="OCK24" s="906">
        <f t="shared" ref="OCK24" si="5246">$C$24*OCI24</f>
        <v>100000</v>
      </c>
      <c r="OCM24" s="906">
        <f t="shared" ref="OCM24" si="5247">$C$24*OCK24</f>
        <v>100000</v>
      </c>
      <c r="OCO24" s="906">
        <f t="shared" ref="OCO24" si="5248">$C$24*OCM24</f>
        <v>100000</v>
      </c>
      <c r="OCQ24" s="906">
        <f t="shared" ref="OCQ24" si="5249">$C$24*OCO24</f>
        <v>100000</v>
      </c>
      <c r="OCS24" s="906">
        <f t="shared" ref="OCS24" si="5250">$C$24*OCQ24</f>
        <v>100000</v>
      </c>
      <c r="OCU24" s="906">
        <f t="shared" ref="OCU24" si="5251">$C$24*OCS24</f>
        <v>100000</v>
      </c>
      <c r="OCW24" s="906">
        <f t="shared" ref="OCW24" si="5252">$C$24*OCU24</f>
        <v>100000</v>
      </c>
      <c r="OCY24" s="906">
        <f t="shared" ref="OCY24" si="5253">$C$24*OCW24</f>
        <v>100000</v>
      </c>
      <c r="ODA24" s="906">
        <f t="shared" ref="ODA24" si="5254">$C$24*OCY24</f>
        <v>100000</v>
      </c>
      <c r="ODC24" s="906">
        <f t="shared" ref="ODC24" si="5255">$C$24*ODA24</f>
        <v>100000</v>
      </c>
      <c r="ODE24" s="906">
        <f t="shared" ref="ODE24" si="5256">$C$24*ODC24</f>
        <v>100000</v>
      </c>
      <c r="ODG24" s="906">
        <f t="shared" ref="ODG24" si="5257">$C$24*ODE24</f>
        <v>100000</v>
      </c>
      <c r="ODI24" s="906">
        <f t="shared" ref="ODI24" si="5258">$C$24*ODG24</f>
        <v>100000</v>
      </c>
      <c r="ODK24" s="906">
        <f t="shared" ref="ODK24" si="5259">$C$24*ODI24</f>
        <v>100000</v>
      </c>
      <c r="ODM24" s="906">
        <f t="shared" ref="ODM24" si="5260">$C$24*ODK24</f>
        <v>100000</v>
      </c>
      <c r="ODO24" s="906">
        <f t="shared" ref="ODO24" si="5261">$C$24*ODM24</f>
        <v>100000</v>
      </c>
      <c r="ODQ24" s="906">
        <f t="shared" ref="ODQ24" si="5262">$C$24*ODO24</f>
        <v>100000</v>
      </c>
      <c r="ODS24" s="906">
        <f t="shared" ref="ODS24" si="5263">$C$24*ODQ24</f>
        <v>100000</v>
      </c>
      <c r="ODU24" s="906">
        <f t="shared" ref="ODU24" si="5264">$C$24*ODS24</f>
        <v>100000</v>
      </c>
      <c r="ODW24" s="906">
        <f t="shared" ref="ODW24" si="5265">$C$24*ODU24</f>
        <v>100000</v>
      </c>
      <c r="ODY24" s="906">
        <f t="shared" ref="ODY24" si="5266">$C$24*ODW24</f>
        <v>100000</v>
      </c>
      <c r="OEA24" s="906">
        <f t="shared" ref="OEA24" si="5267">$C$24*ODY24</f>
        <v>100000</v>
      </c>
      <c r="OEC24" s="906">
        <f t="shared" ref="OEC24" si="5268">$C$24*OEA24</f>
        <v>100000</v>
      </c>
      <c r="OEE24" s="906">
        <f t="shared" ref="OEE24" si="5269">$C$24*OEC24</f>
        <v>100000</v>
      </c>
      <c r="OEG24" s="906">
        <f t="shared" ref="OEG24" si="5270">$C$24*OEE24</f>
        <v>100000</v>
      </c>
      <c r="OEI24" s="906">
        <f t="shared" ref="OEI24" si="5271">$C$24*OEG24</f>
        <v>100000</v>
      </c>
      <c r="OEK24" s="906">
        <f t="shared" ref="OEK24" si="5272">$C$24*OEI24</f>
        <v>100000</v>
      </c>
      <c r="OEM24" s="906">
        <f t="shared" ref="OEM24" si="5273">$C$24*OEK24</f>
        <v>100000</v>
      </c>
      <c r="OEO24" s="906">
        <f t="shared" ref="OEO24" si="5274">$C$24*OEM24</f>
        <v>100000</v>
      </c>
      <c r="OEQ24" s="906">
        <f t="shared" ref="OEQ24" si="5275">$C$24*OEO24</f>
        <v>100000</v>
      </c>
      <c r="OES24" s="906">
        <f t="shared" ref="OES24" si="5276">$C$24*OEQ24</f>
        <v>100000</v>
      </c>
      <c r="OEU24" s="906">
        <f t="shared" ref="OEU24" si="5277">$C$24*OES24</f>
        <v>100000</v>
      </c>
      <c r="OEW24" s="906">
        <f t="shared" ref="OEW24" si="5278">$C$24*OEU24</f>
        <v>100000</v>
      </c>
      <c r="OEY24" s="906">
        <f t="shared" ref="OEY24" si="5279">$C$24*OEW24</f>
        <v>100000</v>
      </c>
      <c r="OFA24" s="906">
        <f t="shared" ref="OFA24" si="5280">$C$24*OEY24</f>
        <v>100000</v>
      </c>
      <c r="OFC24" s="906">
        <f t="shared" ref="OFC24" si="5281">$C$24*OFA24</f>
        <v>100000</v>
      </c>
      <c r="OFE24" s="906">
        <f t="shared" ref="OFE24" si="5282">$C$24*OFC24</f>
        <v>100000</v>
      </c>
      <c r="OFG24" s="906">
        <f t="shared" ref="OFG24" si="5283">$C$24*OFE24</f>
        <v>100000</v>
      </c>
      <c r="OFI24" s="906">
        <f t="shared" ref="OFI24" si="5284">$C$24*OFG24</f>
        <v>100000</v>
      </c>
      <c r="OFK24" s="906">
        <f t="shared" ref="OFK24" si="5285">$C$24*OFI24</f>
        <v>100000</v>
      </c>
      <c r="OFM24" s="906">
        <f t="shared" ref="OFM24" si="5286">$C$24*OFK24</f>
        <v>100000</v>
      </c>
      <c r="OFO24" s="906">
        <f t="shared" ref="OFO24" si="5287">$C$24*OFM24</f>
        <v>100000</v>
      </c>
      <c r="OFQ24" s="906">
        <f t="shared" ref="OFQ24" si="5288">$C$24*OFO24</f>
        <v>100000</v>
      </c>
      <c r="OFS24" s="906">
        <f t="shared" ref="OFS24" si="5289">$C$24*OFQ24</f>
        <v>100000</v>
      </c>
      <c r="OFU24" s="906">
        <f t="shared" ref="OFU24" si="5290">$C$24*OFS24</f>
        <v>100000</v>
      </c>
      <c r="OFW24" s="906">
        <f t="shared" ref="OFW24" si="5291">$C$24*OFU24</f>
        <v>100000</v>
      </c>
      <c r="OFY24" s="906">
        <f t="shared" ref="OFY24" si="5292">$C$24*OFW24</f>
        <v>100000</v>
      </c>
      <c r="OGA24" s="906">
        <f t="shared" ref="OGA24" si="5293">$C$24*OFY24</f>
        <v>100000</v>
      </c>
      <c r="OGC24" s="906">
        <f t="shared" ref="OGC24" si="5294">$C$24*OGA24</f>
        <v>100000</v>
      </c>
      <c r="OGE24" s="906">
        <f t="shared" ref="OGE24" si="5295">$C$24*OGC24</f>
        <v>100000</v>
      </c>
      <c r="OGG24" s="906">
        <f t="shared" ref="OGG24" si="5296">$C$24*OGE24</f>
        <v>100000</v>
      </c>
      <c r="OGI24" s="906">
        <f t="shared" ref="OGI24" si="5297">$C$24*OGG24</f>
        <v>100000</v>
      </c>
      <c r="OGK24" s="906">
        <f t="shared" ref="OGK24" si="5298">$C$24*OGI24</f>
        <v>100000</v>
      </c>
      <c r="OGM24" s="906">
        <f t="shared" ref="OGM24" si="5299">$C$24*OGK24</f>
        <v>100000</v>
      </c>
      <c r="OGO24" s="906">
        <f t="shared" ref="OGO24" si="5300">$C$24*OGM24</f>
        <v>100000</v>
      </c>
      <c r="OGQ24" s="906">
        <f t="shared" ref="OGQ24" si="5301">$C$24*OGO24</f>
        <v>100000</v>
      </c>
      <c r="OGS24" s="906">
        <f t="shared" ref="OGS24" si="5302">$C$24*OGQ24</f>
        <v>100000</v>
      </c>
      <c r="OGU24" s="906">
        <f t="shared" ref="OGU24" si="5303">$C$24*OGS24</f>
        <v>100000</v>
      </c>
      <c r="OGW24" s="906">
        <f t="shared" ref="OGW24" si="5304">$C$24*OGU24</f>
        <v>100000</v>
      </c>
      <c r="OGY24" s="906">
        <f t="shared" ref="OGY24" si="5305">$C$24*OGW24</f>
        <v>100000</v>
      </c>
      <c r="OHA24" s="906">
        <f t="shared" ref="OHA24" si="5306">$C$24*OGY24</f>
        <v>100000</v>
      </c>
      <c r="OHC24" s="906">
        <f t="shared" ref="OHC24" si="5307">$C$24*OHA24</f>
        <v>100000</v>
      </c>
      <c r="OHE24" s="906">
        <f t="shared" ref="OHE24" si="5308">$C$24*OHC24</f>
        <v>100000</v>
      </c>
      <c r="OHG24" s="906">
        <f t="shared" ref="OHG24" si="5309">$C$24*OHE24</f>
        <v>100000</v>
      </c>
      <c r="OHI24" s="906">
        <f t="shared" ref="OHI24" si="5310">$C$24*OHG24</f>
        <v>100000</v>
      </c>
      <c r="OHK24" s="906">
        <f t="shared" ref="OHK24" si="5311">$C$24*OHI24</f>
        <v>100000</v>
      </c>
      <c r="OHM24" s="906">
        <f t="shared" ref="OHM24" si="5312">$C$24*OHK24</f>
        <v>100000</v>
      </c>
      <c r="OHO24" s="906">
        <f t="shared" ref="OHO24" si="5313">$C$24*OHM24</f>
        <v>100000</v>
      </c>
      <c r="OHQ24" s="906">
        <f t="shared" ref="OHQ24" si="5314">$C$24*OHO24</f>
        <v>100000</v>
      </c>
      <c r="OHS24" s="906">
        <f t="shared" ref="OHS24" si="5315">$C$24*OHQ24</f>
        <v>100000</v>
      </c>
      <c r="OHU24" s="906">
        <f t="shared" ref="OHU24" si="5316">$C$24*OHS24</f>
        <v>100000</v>
      </c>
      <c r="OHW24" s="906">
        <f t="shared" ref="OHW24" si="5317">$C$24*OHU24</f>
        <v>100000</v>
      </c>
      <c r="OHY24" s="906">
        <f t="shared" ref="OHY24" si="5318">$C$24*OHW24</f>
        <v>100000</v>
      </c>
      <c r="OIA24" s="906">
        <f t="shared" ref="OIA24" si="5319">$C$24*OHY24</f>
        <v>100000</v>
      </c>
      <c r="OIC24" s="906">
        <f t="shared" ref="OIC24" si="5320">$C$24*OIA24</f>
        <v>100000</v>
      </c>
      <c r="OIE24" s="906">
        <f t="shared" ref="OIE24" si="5321">$C$24*OIC24</f>
        <v>100000</v>
      </c>
      <c r="OIG24" s="906">
        <f t="shared" ref="OIG24" si="5322">$C$24*OIE24</f>
        <v>100000</v>
      </c>
      <c r="OII24" s="906">
        <f t="shared" ref="OII24" si="5323">$C$24*OIG24</f>
        <v>100000</v>
      </c>
      <c r="OIK24" s="906">
        <f t="shared" ref="OIK24" si="5324">$C$24*OII24</f>
        <v>100000</v>
      </c>
      <c r="OIM24" s="906">
        <f t="shared" ref="OIM24" si="5325">$C$24*OIK24</f>
        <v>100000</v>
      </c>
      <c r="OIO24" s="906">
        <f t="shared" ref="OIO24" si="5326">$C$24*OIM24</f>
        <v>100000</v>
      </c>
      <c r="OIQ24" s="906">
        <f t="shared" ref="OIQ24" si="5327">$C$24*OIO24</f>
        <v>100000</v>
      </c>
      <c r="OIS24" s="906">
        <f t="shared" ref="OIS24" si="5328">$C$24*OIQ24</f>
        <v>100000</v>
      </c>
      <c r="OIU24" s="906">
        <f t="shared" ref="OIU24" si="5329">$C$24*OIS24</f>
        <v>100000</v>
      </c>
      <c r="OIW24" s="906">
        <f t="shared" ref="OIW24" si="5330">$C$24*OIU24</f>
        <v>100000</v>
      </c>
      <c r="OIY24" s="906">
        <f t="shared" ref="OIY24" si="5331">$C$24*OIW24</f>
        <v>100000</v>
      </c>
      <c r="OJA24" s="906">
        <f t="shared" ref="OJA24" si="5332">$C$24*OIY24</f>
        <v>100000</v>
      </c>
      <c r="OJC24" s="906">
        <f t="shared" ref="OJC24" si="5333">$C$24*OJA24</f>
        <v>100000</v>
      </c>
      <c r="OJE24" s="906">
        <f t="shared" ref="OJE24" si="5334">$C$24*OJC24</f>
        <v>100000</v>
      </c>
      <c r="OJG24" s="906">
        <f t="shared" ref="OJG24" si="5335">$C$24*OJE24</f>
        <v>100000</v>
      </c>
      <c r="OJI24" s="906">
        <f t="shared" ref="OJI24" si="5336">$C$24*OJG24</f>
        <v>100000</v>
      </c>
      <c r="OJK24" s="906">
        <f t="shared" ref="OJK24" si="5337">$C$24*OJI24</f>
        <v>100000</v>
      </c>
      <c r="OJM24" s="906">
        <f t="shared" ref="OJM24" si="5338">$C$24*OJK24</f>
        <v>100000</v>
      </c>
      <c r="OJO24" s="906">
        <f t="shared" ref="OJO24" si="5339">$C$24*OJM24</f>
        <v>100000</v>
      </c>
      <c r="OJQ24" s="906">
        <f t="shared" ref="OJQ24" si="5340">$C$24*OJO24</f>
        <v>100000</v>
      </c>
      <c r="OJS24" s="906">
        <f t="shared" ref="OJS24" si="5341">$C$24*OJQ24</f>
        <v>100000</v>
      </c>
      <c r="OJU24" s="906">
        <f t="shared" ref="OJU24" si="5342">$C$24*OJS24</f>
        <v>100000</v>
      </c>
      <c r="OJW24" s="906">
        <f t="shared" ref="OJW24" si="5343">$C$24*OJU24</f>
        <v>100000</v>
      </c>
      <c r="OJY24" s="906">
        <f t="shared" ref="OJY24" si="5344">$C$24*OJW24</f>
        <v>100000</v>
      </c>
      <c r="OKA24" s="906">
        <f t="shared" ref="OKA24" si="5345">$C$24*OJY24</f>
        <v>100000</v>
      </c>
      <c r="OKC24" s="906">
        <f t="shared" ref="OKC24" si="5346">$C$24*OKA24</f>
        <v>100000</v>
      </c>
      <c r="OKE24" s="906">
        <f t="shared" ref="OKE24" si="5347">$C$24*OKC24</f>
        <v>100000</v>
      </c>
      <c r="OKG24" s="906">
        <f t="shared" ref="OKG24" si="5348">$C$24*OKE24</f>
        <v>100000</v>
      </c>
      <c r="OKI24" s="906">
        <f t="shared" ref="OKI24" si="5349">$C$24*OKG24</f>
        <v>100000</v>
      </c>
      <c r="OKK24" s="906">
        <f t="shared" ref="OKK24" si="5350">$C$24*OKI24</f>
        <v>100000</v>
      </c>
      <c r="OKM24" s="906">
        <f t="shared" ref="OKM24" si="5351">$C$24*OKK24</f>
        <v>100000</v>
      </c>
      <c r="OKO24" s="906">
        <f t="shared" ref="OKO24" si="5352">$C$24*OKM24</f>
        <v>100000</v>
      </c>
      <c r="OKQ24" s="906">
        <f t="shared" ref="OKQ24" si="5353">$C$24*OKO24</f>
        <v>100000</v>
      </c>
      <c r="OKS24" s="906">
        <f t="shared" ref="OKS24" si="5354">$C$24*OKQ24</f>
        <v>100000</v>
      </c>
      <c r="OKU24" s="906">
        <f t="shared" ref="OKU24" si="5355">$C$24*OKS24</f>
        <v>100000</v>
      </c>
      <c r="OKW24" s="906">
        <f t="shared" ref="OKW24" si="5356">$C$24*OKU24</f>
        <v>100000</v>
      </c>
      <c r="OKY24" s="906">
        <f t="shared" ref="OKY24" si="5357">$C$24*OKW24</f>
        <v>100000</v>
      </c>
      <c r="OLA24" s="906">
        <f t="shared" ref="OLA24" si="5358">$C$24*OKY24</f>
        <v>100000</v>
      </c>
      <c r="OLC24" s="906">
        <f t="shared" ref="OLC24" si="5359">$C$24*OLA24</f>
        <v>100000</v>
      </c>
      <c r="OLE24" s="906">
        <f t="shared" ref="OLE24" si="5360">$C$24*OLC24</f>
        <v>100000</v>
      </c>
      <c r="OLG24" s="906">
        <f t="shared" ref="OLG24" si="5361">$C$24*OLE24</f>
        <v>100000</v>
      </c>
      <c r="OLI24" s="906">
        <f t="shared" ref="OLI24" si="5362">$C$24*OLG24</f>
        <v>100000</v>
      </c>
      <c r="OLK24" s="906">
        <f t="shared" ref="OLK24" si="5363">$C$24*OLI24</f>
        <v>100000</v>
      </c>
      <c r="OLM24" s="906">
        <f t="shared" ref="OLM24" si="5364">$C$24*OLK24</f>
        <v>100000</v>
      </c>
      <c r="OLO24" s="906">
        <f t="shared" ref="OLO24" si="5365">$C$24*OLM24</f>
        <v>100000</v>
      </c>
      <c r="OLQ24" s="906">
        <f t="shared" ref="OLQ24" si="5366">$C$24*OLO24</f>
        <v>100000</v>
      </c>
      <c r="OLS24" s="906">
        <f t="shared" ref="OLS24" si="5367">$C$24*OLQ24</f>
        <v>100000</v>
      </c>
      <c r="OLU24" s="906">
        <f t="shared" ref="OLU24" si="5368">$C$24*OLS24</f>
        <v>100000</v>
      </c>
      <c r="OLW24" s="906">
        <f t="shared" ref="OLW24" si="5369">$C$24*OLU24</f>
        <v>100000</v>
      </c>
      <c r="OLY24" s="906">
        <f t="shared" ref="OLY24" si="5370">$C$24*OLW24</f>
        <v>100000</v>
      </c>
      <c r="OMA24" s="906">
        <f t="shared" ref="OMA24" si="5371">$C$24*OLY24</f>
        <v>100000</v>
      </c>
      <c r="OMC24" s="906">
        <f t="shared" ref="OMC24" si="5372">$C$24*OMA24</f>
        <v>100000</v>
      </c>
      <c r="OME24" s="906">
        <f t="shared" ref="OME24" si="5373">$C$24*OMC24</f>
        <v>100000</v>
      </c>
      <c r="OMG24" s="906">
        <f t="shared" ref="OMG24" si="5374">$C$24*OME24</f>
        <v>100000</v>
      </c>
      <c r="OMI24" s="906">
        <f t="shared" ref="OMI24" si="5375">$C$24*OMG24</f>
        <v>100000</v>
      </c>
      <c r="OMK24" s="906">
        <f t="shared" ref="OMK24" si="5376">$C$24*OMI24</f>
        <v>100000</v>
      </c>
      <c r="OMM24" s="906">
        <f t="shared" ref="OMM24" si="5377">$C$24*OMK24</f>
        <v>100000</v>
      </c>
      <c r="OMO24" s="906">
        <f t="shared" ref="OMO24" si="5378">$C$24*OMM24</f>
        <v>100000</v>
      </c>
      <c r="OMQ24" s="906">
        <f t="shared" ref="OMQ24" si="5379">$C$24*OMO24</f>
        <v>100000</v>
      </c>
      <c r="OMS24" s="906">
        <f t="shared" ref="OMS24" si="5380">$C$24*OMQ24</f>
        <v>100000</v>
      </c>
      <c r="OMU24" s="906">
        <f t="shared" ref="OMU24" si="5381">$C$24*OMS24</f>
        <v>100000</v>
      </c>
      <c r="OMW24" s="906">
        <f t="shared" ref="OMW24" si="5382">$C$24*OMU24</f>
        <v>100000</v>
      </c>
      <c r="OMY24" s="906">
        <f t="shared" ref="OMY24" si="5383">$C$24*OMW24</f>
        <v>100000</v>
      </c>
      <c r="ONA24" s="906">
        <f t="shared" ref="ONA24" si="5384">$C$24*OMY24</f>
        <v>100000</v>
      </c>
      <c r="ONC24" s="906">
        <f t="shared" ref="ONC24" si="5385">$C$24*ONA24</f>
        <v>100000</v>
      </c>
      <c r="ONE24" s="906">
        <f t="shared" ref="ONE24" si="5386">$C$24*ONC24</f>
        <v>100000</v>
      </c>
      <c r="ONG24" s="906">
        <f t="shared" ref="ONG24" si="5387">$C$24*ONE24</f>
        <v>100000</v>
      </c>
      <c r="ONI24" s="906">
        <f t="shared" ref="ONI24" si="5388">$C$24*ONG24</f>
        <v>100000</v>
      </c>
      <c r="ONK24" s="906">
        <f t="shared" ref="ONK24" si="5389">$C$24*ONI24</f>
        <v>100000</v>
      </c>
      <c r="ONM24" s="906">
        <f t="shared" ref="ONM24" si="5390">$C$24*ONK24</f>
        <v>100000</v>
      </c>
      <c r="ONO24" s="906">
        <f t="shared" ref="ONO24" si="5391">$C$24*ONM24</f>
        <v>100000</v>
      </c>
      <c r="ONQ24" s="906">
        <f t="shared" ref="ONQ24" si="5392">$C$24*ONO24</f>
        <v>100000</v>
      </c>
      <c r="ONS24" s="906">
        <f t="shared" ref="ONS24" si="5393">$C$24*ONQ24</f>
        <v>100000</v>
      </c>
      <c r="ONU24" s="906">
        <f t="shared" ref="ONU24" si="5394">$C$24*ONS24</f>
        <v>100000</v>
      </c>
      <c r="ONW24" s="906">
        <f t="shared" ref="ONW24" si="5395">$C$24*ONU24</f>
        <v>100000</v>
      </c>
      <c r="ONY24" s="906">
        <f t="shared" ref="ONY24" si="5396">$C$24*ONW24</f>
        <v>100000</v>
      </c>
      <c r="OOA24" s="906">
        <f t="shared" ref="OOA24" si="5397">$C$24*ONY24</f>
        <v>100000</v>
      </c>
      <c r="OOC24" s="906">
        <f t="shared" ref="OOC24" si="5398">$C$24*OOA24</f>
        <v>100000</v>
      </c>
      <c r="OOE24" s="906">
        <f t="shared" ref="OOE24" si="5399">$C$24*OOC24</f>
        <v>100000</v>
      </c>
      <c r="OOG24" s="906">
        <f t="shared" ref="OOG24" si="5400">$C$24*OOE24</f>
        <v>100000</v>
      </c>
      <c r="OOI24" s="906">
        <f t="shared" ref="OOI24" si="5401">$C$24*OOG24</f>
        <v>100000</v>
      </c>
      <c r="OOK24" s="906">
        <f t="shared" ref="OOK24" si="5402">$C$24*OOI24</f>
        <v>100000</v>
      </c>
      <c r="OOM24" s="906">
        <f t="shared" ref="OOM24" si="5403">$C$24*OOK24</f>
        <v>100000</v>
      </c>
      <c r="OOO24" s="906">
        <f t="shared" ref="OOO24" si="5404">$C$24*OOM24</f>
        <v>100000</v>
      </c>
      <c r="OOQ24" s="906">
        <f t="shared" ref="OOQ24" si="5405">$C$24*OOO24</f>
        <v>100000</v>
      </c>
      <c r="OOS24" s="906">
        <f t="shared" ref="OOS24" si="5406">$C$24*OOQ24</f>
        <v>100000</v>
      </c>
      <c r="OOU24" s="906">
        <f t="shared" ref="OOU24" si="5407">$C$24*OOS24</f>
        <v>100000</v>
      </c>
      <c r="OOW24" s="906">
        <f t="shared" ref="OOW24" si="5408">$C$24*OOU24</f>
        <v>100000</v>
      </c>
      <c r="OOY24" s="906">
        <f t="shared" ref="OOY24" si="5409">$C$24*OOW24</f>
        <v>100000</v>
      </c>
      <c r="OPA24" s="906">
        <f t="shared" ref="OPA24" si="5410">$C$24*OOY24</f>
        <v>100000</v>
      </c>
      <c r="OPC24" s="906">
        <f t="shared" ref="OPC24" si="5411">$C$24*OPA24</f>
        <v>100000</v>
      </c>
      <c r="OPE24" s="906">
        <f t="shared" ref="OPE24" si="5412">$C$24*OPC24</f>
        <v>100000</v>
      </c>
      <c r="OPG24" s="906">
        <f t="shared" ref="OPG24" si="5413">$C$24*OPE24</f>
        <v>100000</v>
      </c>
      <c r="OPI24" s="906">
        <f t="shared" ref="OPI24" si="5414">$C$24*OPG24</f>
        <v>100000</v>
      </c>
      <c r="OPK24" s="906">
        <f t="shared" ref="OPK24" si="5415">$C$24*OPI24</f>
        <v>100000</v>
      </c>
      <c r="OPM24" s="906">
        <f t="shared" ref="OPM24" si="5416">$C$24*OPK24</f>
        <v>100000</v>
      </c>
      <c r="OPO24" s="906">
        <f t="shared" ref="OPO24" si="5417">$C$24*OPM24</f>
        <v>100000</v>
      </c>
      <c r="OPQ24" s="906">
        <f t="shared" ref="OPQ24" si="5418">$C$24*OPO24</f>
        <v>100000</v>
      </c>
      <c r="OPS24" s="906">
        <f t="shared" ref="OPS24" si="5419">$C$24*OPQ24</f>
        <v>100000</v>
      </c>
      <c r="OPU24" s="906">
        <f t="shared" ref="OPU24" si="5420">$C$24*OPS24</f>
        <v>100000</v>
      </c>
      <c r="OPW24" s="906">
        <f t="shared" ref="OPW24" si="5421">$C$24*OPU24</f>
        <v>100000</v>
      </c>
      <c r="OPY24" s="906">
        <f t="shared" ref="OPY24" si="5422">$C$24*OPW24</f>
        <v>100000</v>
      </c>
      <c r="OQA24" s="906">
        <f t="shared" ref="OQA24" si="5423">$C$24*OPY24</f>
        <v>100000</v>
      </c>
      <c r="OQC24" s="906">
        <f t="shared" ref="OQC24" si="5424">$C$24*OQA24</f>
        <v>100000</v>
      </c>
      <c r="OQE24" s="906">
        <f t="shared" ref="OQE24" si="5425">$C$24*OQC24</f>
        <v>100000</v>
      </c>
      <c r="OQG24" s="906">
        <f t="shared" ref="OQG24" si="5426">$C$24*OQE24</f>
        <v>100000</v>
      </c>
      <c r="OQI24" s="906">
        <f t="shared" ref="OQI24" si="5427">$C$24*OQG24</f>
        <v>100000</v>
      </c>
      <c r="OQK24" s="906">
        <f t="shared" ref="OQK24" si="5428">$C$24*OQI24</f>
        <v>100000</v>
      </c>
      <c r="OQM24" s="906">
        <f t="shared" ref="OQM24" si="5429">$C$24*OQK24</f>
        <v>100000</v>
      </c>
      <c r="OQO24" s="906">
        <f t="shared" ref="OQO24" si="5430">$C$24*OQM24</f>
        <v>100000</v>
      </c>
      <c r="OQQ24" s="906">
        <f t="shared" ref="OQQ24" si="5431">$C$24*OQO24</f>
        <v>100000</v>
      </c>
      <c r="OQS24" s="906">
        <f t="shared" ref="OQS24" si="5432">$C$24*OQQ24</f>
        <v>100000</v>
      </c>
      <c r="OQU24" s="906">
        <f t="shared" ref="OQU24" si="5433">$C$24*OQS24</f>
        <v>100000</v>
      </c>
      <c r="OQW24" s="906">
        <f t="shared" ref="OQW24" si="5434">$C$24*OQU24</f>
        <v>100000</v>
      </c>
      <c r="OQY24" s="906">
        <f t="shared" ref="OQY24" si="5435">$C$24*OQW24</f>
        <v>100000</v>
      </c>
      <c r="ORA24" s="906">
        <f t="shared" ref="ORA24" si="5436">$C$24*OQY24</f>
        <v>100000</v>
      </c>
      <c r="ORC24" s="906">
        <f t="shared" ref="ORC24" si="5437">$C$24*ORA24</f>
        <v>100000</v>
      </c>
      <c r="ORE24" s="906">
        <f t="shared" ref="ORE24" si="5438">$C$24*ORC24</f>
        <v>100000</v>
      </c>
      <c r="ORG24" s="906">
        <f t="shared" ref="ORG24" si="5439">$C$24*ORE24</f>
        <v>100000</v>
      </c>
      <c r="ORI24" s="906">
        <f t="shared" ref="ORI24" si="5440">$C$24*ORG24</f>
        <v>100000</v>
      </c>
      <c r="ORK24" s="906">
        <f t="shared" ref="ORK24" si="5441">$C$24*ORI24</f>
        <v>100000</v>
      </c>
      <c r="ORM24" s="906">
        <f t="shared" ref="ORM24" si="5442">$C$24*ORK24</f>
        <v>100000</v>
      </c>
      <c r="ORO24" s="906">
        <f t="shared" ref="ORO24" si="5443">$C$24*ORM24</f>
        <v>100000</v>
      </c>
      <c r="ORQ24" s="906">
        <f t="shared" ref="ORQ24" si="5444">$C$24*ORO24</f>
        <v>100000</v>
      </c>
      <c r="ORS24" s="906">
        <f t="shared" ref="ORS24" si="5445">$C$24*ORQ24</f>
        <v>100000</v>
      </c>
      <c r="ORU24" s="906">
        <f t="shared" ref="ORU24" si="5446">$C$24*ORS24</f>
        <v>100000</v>
      </c>
      <c r="ORW24" s="906">
        <f t="shared" ref="ORW24" si="5447">$C$24*ORU24</f>
        <v>100000</v>
      </c>
      <c r="ORY24" s="906">
        <f t="shared" ref="ORY24" si="5448">$C$24*ORW24</f>
        <v>100000</v>
      </c>
      <c r="OSA24" s="906">
        <f t="shared" ref="OSA24" si="5449">$C$24*ORY24</f>
        <v>100000</v>
      </c>
      <c r="OSC24" s="906">
        <f t="shared" ref="OSC24" si="5450">$C$24*OSA24</f>
        <v>100000</v>
      </c>
      <c r="OSE24" s="906">
        <f t="shared" ref="OSE24" si="5451">$C$24*OSC24</f>
        <v>100000</v>
      </c>
      <c r="OSG24" s="906">
        <f t="shared" ref="OSG24" si="5452">$C$24*OSE24</f>
        <v>100000</v>
      </c>
      <c r="OSI24" s="906">
        <f t="shared" ref="OSI24" si="5453">$C$24*OSG24</f>
        <v>100000</v>
      </c>
      <c r="OSK24" s="906">
        <f t="shared" ref="OSK24" si="5454">$C$24*OSI24</f>
        <v>100000</v>
      </c>
      <c r="OSM24" s="906">
        <f t="shared" ref="OSM24" si="5455">$C$24*OSK24</f>
        <v>100000</v>
      </c>
      <c r="OSO24" s="906">
        <f t="shared" ref="OSO24" si="5456">$C$24*OSM24</f>
        <v>100000</v>
      </c>
      <c r="OSQ24" s="906">
        <f t="shared" ref="OSQ24" si="5457">$C$24*OSO24</f>
        <v>100000</v>
      </c>
      <c r="OSS24" s="906">
        <f t="shared" ref="OSS24" si="5458">$C$24*OSQ24</f>
        <v>100000</v>
      </c>
      <c r="OSU24" s="906">
        <f t="shared" ref="OSU24" si="5459">$C$24*OSS24</f>
        <v>100000</v>
      </c>
      <c r="OSW24" s="906">
        <f t="shared" ref="OSW24" si="5460">$C$24*OSU24</f>
        <v>100000</v>
      </c>
      <c r="OSY24" s="906">
        <f t="shared" ref="OSY24" si="5461">$C$24*OSW24</f>
        <v>100000</v>
      </c>
      <c r="OTA24" s="906">
        <f t="shared" ref="OTA24" si="5462">$C$24*OSY24</f>
        <v>100000</v>
      </c>
      <c r="OTC24" s="906">
        <f t="shared" ref="OTC24" si="5463">$C$24*OTA24</f>
        <v>100000</v>
      </c>
      <c r="OTE24" s="906">
        <f t="shared" ref="OTE24" si="5464">$C$24*OTC24</f>
        <v>100000</v>
      </c>
      <c r="OTG24" s="906">
        <f t="shared" ref="OTG24" si="5465">$C$24*OTE24</f>
        <v>100000</v>
      </c>
      <c r="OTI24" s="906">
        <f t="shared" ref="OTI24" si="5466">$C$24*OTG24</f>
        <v>100000</v>
      </c>
      <c r="OTK24" s="906">
        <f t="shared" ref="OTK24" si="5467">$C$24*OTI24</f>
        <v>100000</v>
      </c>
      <c r="OTM24" s="906">
        <f t="shared" ref="OTM24" si="5468">$C$24*OTK24</f>
        <v>100000</v>
      </c>
      <c r="OTO24" s="906">
        <f t="shared" ref="OTO24" si="5469">$C$24*OTM24</f>
        <v>100000</v>
      </c>
      <c r="OTQ24" s="906">
        <f t="shared" ref="OTQ24" si="5470">$C$24*OTO24</f>
        <v>100000</v>
      </c>
      <c r="OTS24" s="906">
        <f t="shared" ref="OTS24" si="5471">$C$24*OTQ24</f>
        <v>100000</v>
      </c>
      <c r="OTU24" s="906">
        <f t="shared" ref="OTU24" si="5472">$C$24*OTS24</f>
        <v>100000</v>
      </c>
      <c r="OTW24" s="906">
        <f t="shared" ref="OTW24" si="5473">$C$24*OTU24</f>
        <v>100000</v>
      </c>
      <c r="OTY24" s="906">
        <f t="shared" ref="OTY24" si="5474">$C$24*OTW24</f>
        <v>100000</v>
      </c>
      <c r="OUA24" s="906">
        <f t="shared" ref="OUA24" si="5475">$C$24*OTY24</f>
        <v>100000</v>
      </c>
      <c r="OUC24" s="906">
        <f t="shared" ref="OUC24" si="5476">$C$24*OUA24</f>
        <v>100000</v>
      </c>
      <c r="OUE24" s="906">
        <f t="shared" ref="OUE24" si="5477">$C$24*OUC24</f>
        <v>100000</v>
      </c>
      <c r="OUG24" s="906">
        <f t="shared" ref="OUG24" si="5478">$C$24*OUE24</f>
        <v>100000</v>
      </c>
      <c r="OUI24" s="906">
        <f t="shared" ref="OUI24" si="5479">$C$24*OUG24</f>
        <v>100000</v>
      </c>
      <c r="OUK24" s="906">
        <f t="shared" ref="OUK24" si="5480">$C$24*OUI24</f>
        <v>100000</v>
      </c>
      <c r="OUM24" s="906">
        <f t="shared" ref="OUM24" si="5481">$C$24*OUK24</f>
        <v>100000</v>
      </c>
      <c r="OUO24" s="906">
        <f t="shared" ref="OUO24" si="5482">$C$24*OUM24</f>
        <v>100000</v>
      </c>
      <c r="OUQ24" s="906">
        <f t="shared" ref="OUQ24" si="5483">$C$24*OUO24</f>
        <v>100000</v>
      </c>
      <c r="OUS24" s="906">
        <f t="shared" ref="OUS24" si="5484">$C$24*OUQ24</f>
        <v>100000</v>
      </c>
      <c r="OUU24" s="906">
        <f t="shared" ref="OUU24" si="5485">$C$24*OUS24</f>
        <v>100000</v>
      </c>
      <c r="OUW24" s="906">
        <f t="shared" ref="OUW24" si="5486">$C$24*OUU24</f>
        <v>100000</v>
      </c>
      <c r="OUY24" s="906">
        <f t="shared" ref="OUY24" si="5487">$C$24*OUW24</f>
        <v>100000</v>
      </c>
      <c r="OVA24" s="906">
        <f t="shared" ref="OVA24" si="5488">$C$24*OUY24</f>
        <v>100000</v>
      </c>
      <c r="OVC24" s="906">
        <f t="shared" ref="OVC24" si="5489">$C$24*OVA24</f>
        <v>100000</v>
      </c>
      <c r="OVE24" s="906">
        <f t="shared" ref="OVE24" si="5490">$C$24*OVC24</f>
        <v>100000</v>
      </c>
      <c r="OVG24" s="906">
        <f t="shared" ref="OVG24" si="5491">$C$24*OVE24</f>
        <v>100000</v>
      </c>
      <c r="OVI24" s="906">
        <f t="shared" ref="OVI24" si="5492">$C$24*OVG24</f>
        <v>100000</v>
      </c>
      <c r="OVK24" s="906">
        <f t="shared" ref="OVK24" si="5493">$C$24*OVI24</f>
        <v>100000</v>
      </c>
      <c r="OVM24" s="906">
        <f t="shared" ref="OVM24" si="5494">$C$24*OVK24</f>
        <v>100000</v>
      </c>
      <c r="OVO24" s="906">
        <f t="shared" ref="OVO24" si="5495">$C$24*OVM24</f>
        <v>100000</v>
      </c>
      <c r="OVQ24" s="906">
        <f t="shared" ref="OVQ24" si="5496">$C$24*OVO24</f>
        <v>100000</v>
      </c>
      <c r="OVS24" s="906">
        <f t="shared" ref="OVS24" si="5497">$C$24*OVQ24</f>
        <v>100000</v>
      </c>
      <c r="OVU24" s="906">
        <f t="shared" ref="OVU24" si="5498">$C$24*OVS24</f>
        <v>100000</v>
      </c>
      <c r="OVW24" s="906">
        <f t="shared" ref="OVW24" si="5499">$C$24*OVU24</f>
        <v>100000</v>
      </c>
      <c r="OVY24" s="906">
        <f t="shared" ref="OVY24" si="5500">$C$24*OVW24</f>
        <v>100000</v>
      </c>
      <c r="OWA24" s="906">
        <f t="shared" ref="OWA24" si="5501">$C$24*OVY24</f>
        <v>100000</v>
      </c>
      <c r="OWC24" s="906">
        <f t="shared" ref="OWC24" si="5502">$C$24*OWA24</f>
        <v>100000</v>
      </c>
      <c r="OWE24" s="906">
        <f t="shared" ref="OWE24" si="5503">$C$24*OWC24</f>
        <v>100000</v>
      </c>
      <c r="OWG24" s="906">
        <f t="shared" ref="OWG24" si="5504">$C$24*OWE24</f>
        <v>100000</v>
      </c>
      <c r="OWI24" s="906">
        <f t="shared" ref="OWI24" si="5505">$C$24*OWG24</f>
        <v>100000</v>
      </c>
      <c r="OWK24" s="906">
        <f t="shared" ref="OWK24" si="5506">$C$24*OWI24</f>
        <v>100000</v>
      </c>
      <c r="OWM24" s="906">
        <f t="shared" ref="OWM24" si="5507">$C$24*OWK24</f>
        <v>100000</v>
      </c>
      <c r="OWO24" s="906">
        <f t="shared" ref="OWO24" si="5508">$C$24*OWM24</f>
        <v>100000</v>
      </c>
      <c r="OWQ24" s="906">
        <f t="shared" ref="OWQ24" si="5509">$C$24*OWO24</f>
        <v>100000</v>
      </c>
      <c r="OWS24" s="906">
        <f t="shared" ref="OWS24" si="5510">$C$24*OWQ24</f>
        <v>100000</v>
      </c>
      <c r="OWU24" s="906">
        <f t="shared" ref="OWU24" si="5511">$C$24*OWS24</f>
        <v>100000</v>
      </c>
      <c r="OWW24" s="906">
        <f t="shared" ref="OWW24" si="5512">$C$24*OWU24</f>
        <v>100000</v>
      </c>
      <c r="OWY24" s="906">
        <f t="shared" ref="OWY24" si="5513">$C$24*OWW24</f>
        <v>100000</v>
      </c>
      <c r="OXA24" s="906">
        <f t="shared" ref="OXA24" si="5514">$C$24*OWY24</f>
        <v>100000</v>
      </c>
      <c r="OXC24" s="906">
        <f t="shared" ref="OXC24" si="5515">$C$24*OXA24</f>
        <v>100000</v>
      </c>
      <c r="OXE24" s="906">
        <f t="shared" ref="OXE24" si="5516">$C$24*OXC24</f>
        <v>100000</v>
      </c>
      <c r="OXG24" s="906">
        <f t="shared" ref="OXG24" si="5517">$C$24*OXE24</f>
        <v>100000</v>
      </c>
      <c r="OXI24" s="906">
        <f t="shared" ref="OXI24" si="5518">$C$24*OXG24</f>
        <v>100000</v>
      </c>
      <c r="OXK24" s="906">
        <f t="shared" ref="OXK24" si="5519">$C$24*OXI24</f>
        <v>100000</v>
      </c>
      <c r="OXM24" s="906">
        <f t="shared" ref="OXM24" si="5520">$C$24*OXK24</f>
        <v>100000</v>
      </c>
      <c r="OXO24" s="906">
        <f t="shared" ref="OXO24" si="5521">$C$24*OXM24</f>
        <v>100000</v>
      </c>
      <c r="OXQ24" s="906">
        <f t="shared" ref="OXQ24" si="5522">$C$24*OXO24</f>
        <v>100000</v>
      </c>
      <c r="OXS24" s="906">
        <f t="shared" ref="OXS24" si="5523">$C$24*OXQ24</f>
        <v>100000</v>
      </c>
      <c r="OXU24" s="906">
        <f t="shared" ref="OXU24" si="5524">$C$24*OXS24</f>
        <v>100000</v>
      </c>
      <c r="OXW24" s="906">
        <f t="shared" ref="OXW24" si="5525">$C$24*OXU24</f>
        <v>100000</v>
      </c>
      <c r="OXY24" s="906">
        <f t="shared" ref="OXY24" si="5526">$C$24*OXW24</f>
        <v>100000</v>
      </c>
      <c r="OYA24" s="906">
        <f t="shared" ref="OYA24" si="5527">$C$24*OXY24</f>
        <v>100000</v>
      </c>
      <c r="OYC24" s="906">
        <f t="shared" ref="OYC24" si="5528">$C$24*OYA24</f>
        <v>100000</v>
      </c>
      <c r="OYE24" s="906">
        <f t="shared" ref="OYE24" si="5529">$C$24*OYC24</f>
        <v>100000</v>
      </c>
      <c r="OYG24" s="906">
        <f t="shared" ref="OYG24" si="5530">$C$24*OYE24</f>
        <v>100000</v>
      </c>
      <c r="OYI24" s="906">
        <f t="shared" ref="OYI24" si="5531">$C$24*OYG24</f>
        <v>100000</v>
      </c>
      <c r="OYK24" s="906">
        <f t="shared" ref="OYK24" si="5532">$C$24*OYI24</f>
        <v>100000</v>
      </c>
      <c r="OYM24" s="906">
        <f t="shared" ref="OYM24" si="5533">$C$24*OYK24</f>
        <v>100000</v>
      </c>
      <c r="OYO24" s="906">
        <f t="shared" ref="OYO24" si="5534">$C$24*OYM24</f>
        <v>100000</v>
      </c>
      <c r="OYQ24" s="906">
        <f t="shared" ref="OYQ24" si="5535">$C$24*OYO24</f>
        <v>100000</v>
      </c>
      <c r="OYS24" s="906">
        <f t="shared" ref="OYS24" si="5536">$C$24*OYQ24</f>
        <v>100000</v>
      </c>
      <c r="OYU24" s="906">
        <f t="shared" ref="OYU24" si="5537">$C$24*OYS24</f>
        <v>100000</v>
      </c>
      <c r="OYW24" s="906">
        <f t="shared" ref="OYW24" si="5538">$C$24*OYU24</f>
        <v>100000</v>
      </c>
      <c r="OYY24" s="906">
        <f t="shared" ref="OYY24" si="5539">$C$24*OYW24</f>
        <v>100000</v>
      </c>
      <c r="OZA24" s="906">
        <f t="shared" ref="OZA24" si="5540">$C$24*OYY24</f>
        <v>100000</v>
      </c>
      <c r="OZC24" s="906">
        <f t="shared" ref="OZC24" si="5541">$C$24*OZA24</f>
        <v>100000</v>
      </c>
      <c r="OZE24" s="906">
        <f t="shared" ref="OZE24" si="5542">$C$24*OZC24</f>
        <v>100000</v>
      </c>
      <c r="OZG24" s="906">
        <f t="shared" ref="OZG24" si="5543">$C$24*OZE24</f>
        <v>100000</v>
      </c>
      <c r="OZI24" s="906">
        <f t="shared" ref="OZI24" si="5544">$C$24*OZG24</f>
        <v>100000</v>
      </c>
      <c r="OZK24" s="906">
        <f t="shared" ref="OZK24" si="5545">$C$24*OZI24</f>
        <v>100000</v>
      </c>
      <c r="OZM24" s="906">
        <f t="shared" ref="OZM24" si="5546">$C$24*OZK24</f>
        <v>100000</v>
      </c>
      <c r="OZO24" s="906">
        <f t="shared" ref="OZO24" si="5547">$C$24*OZM24</f>
        <v>100000</v>
      </c>
      <c r="OZQ24" s="906">
        <f t="shared" ref="OZQ24" si="5548">$C$24*OZO24</f>
        <v>100000</v>
      </c>
      <c r="OZS24" s="906">
        <f t="shared" ref="OZS24" si="5549">$C$24*OZQ24</f>
        <v>100000</v>
      </c>
      <c r="OZU24" s="906">
        <f t="shared" ref="OZU24" si="5550">$C$24*OZS24</f>
        <v>100000</v>
      </c>
      <c r="OZW24" s="906">
        <f t="shared" ref="OZW24" si="5551">$C$24*OZU24</f>
        <v>100000</v>
      </c>
      <c r="OZY24" s="906">
        <f t="shared" ref="OZY24" si="5552">$C$24*OZW24</f>
        <v>100000</v>
      </c>
      <c r="PAA24" s="906">
        <f t="shared" ref="PAA24" si="5553">$C$24*OZY24</f>
        <v>100000</v>
      </c>
      <c r="PAC24" s="906">
        <f t="shared" ref="PAC24" si="5554">$C$24*PAA24</f>
        <v>100000</v>
      </c>
      <c r="PAE24" s="906">
        <f t="shared" ref="PAE24" si="5555">$C$24*PAC24</f>
        <v>100000</v>
      </c>
      <c r="PAG24" s="906">
        <f t="shared" ref="PAG24" si="5556">$C$24*PAE24</f>
        <v>100000</v>
      </c>
      <c r="PAI24" s="906">
        <f t="shared" ref="PAI24" si="5557">$C$24*PAG24</f>
        <v>100000</v>
      </c>
      <c r="PAK24" s="906">
        <f t="shared" ref="PAK24" si="5558">$C$24*PAI24</f>
        <v>100000</v>
      </c>
      <c r="PAM24" s="906">
        <f t="shared" ref="PAM24" si="5559">$C$24*PAK24</f>
        <v>100000</v>
      </c>
      <c r="PAO24" s="906">
        <f t="shared" ref="PAO24" si="5560">$C$24*PAM24</f>
        <v>100000</v>
      </c>
      <c r="PAQ24" s="906">
        <f t="shared" ref="PAQ24" si="5561">$C$24*PAO24</f>
        <v>100000</v>
      </c>
      <c r="PAS24" s="906">
        <f t="shared" ref="PAS24" si="5562">$C$24*PAQ24</f>
        <v>100000</v>
      </c>
      <c r="PAU24" s="906">
        <f t="shared" ref="PAU24" si="5563">$C$24*PAS24</f>
        <v>100000</v>
      </c>
      <c r="PAW24" s="906">
        <f t="shared" ref="PAW24" si="5564">$C$24*PAU24</f>
        <v>100000</v>
      </c>
      <c r="PAY24" s="906">
        <f t="shared" ref="PAY24" si="5565">$C$24*PAW24</f>
        <v>100000</v>
      </c>
      <c r="PBA24" s="906">
        <f t="shared" ref="PBA24" si="5566">$C$24*PAY24</f>
        <v>100000</v>
      </c>
      <c r="PBC24" s="906">
        <f t="shared" ref="PBC24" si="5567">$C$24*PBA24</f>
        <v>100000</v>
      </c>
      <c r="PBE24" s="906">
        <f t="shared" ref="PBE24" si="5568">$C$24*PBC24</f>
        <v>100000</v>
      </c>
      <c r="PBG24" s="906">
        <f t="shared" ref="PBG24" si="5569">$C$24*PBE24</f>
        <v>100000</v>
      </c>
      <c r="PBI24" s="906">
        <f t="shared" ref="PBI24" si="5570">$C$24*PBG24</f>
        <v>100000</v>
      </c>
      <c r="PBK24" s="906">
        <f t="shared" ref="PBK24" si="5571">$C$24*PBI24</f>
        <v>100000</v>
      </c>
      <c r="PBM24" s="906">
        <f t="shared" ref="PBM24" si="5572">$C$24*PBK24</f>
        <v>100000</v>
      </c>
      <c r="PBO24" s="906">
        <f t="shared" ref="PBO24" si="5573">$C$24*PBM24</f>
        <v>100000</v>
      </c>
      <c r="PBQ24" s="906">
        <f t="shared" ref="PBQ24" si="5574">$C$24*PBO24</f>
        <v>100000</v>
      </c>
      <c r="PBS24" s="906">
        <f t="shared" ref="PBS24" si="5575">$C$24*PBQ24</f>
        <v>100000</v>
      </c>
      <c r="PBU24" s="906">
        <f t="shared" ref="PBU24" si="5576">$C$24*PBS24</f>
        <v>100000</v>
      </c>
      <c r="PBW24" s="906">
        <f t="shared" ref="PBW24" si="5577">$C$24*PBU24</f>
        <v>100000</v>
      </c>
      <c r="PBY24" s="906">
        <f t="shared" ref="PBY24" si="5578">$C$24*PBW24</f>
        <v>100000</v>
      </c>
      <c r="PCA24" s="906">
        <f t="shared" ref="PCA24" si="5579">$C$24*PBY24</f>
        <v>100000</v>
      </c>
      <c r="PCC24" s="906">
        <f t="shared" ref="PCC24" si="5580">$C$24*PCA24</f>
        <v>100000</v>
      </c>
      <c r="PCE24" s="906">
        <f t="shared" ref="PCE24" si="5581">$C$24*PCC24</f>
        <v>100000</v>
      </c>
      <c r="PCG24" s="906">
        <f t="shared" ref="PCG24" si="5582">$C$24*PCE24</f>
        <v>100000</v>
      </c>
      <c r="PCI24" s="906">
        <f t="shared" ref="PCI24" si="5583">$C$24*PCG24</f>
        <v>100000</v>
      </c>
      <c r="PCK24" s="906">
        <f t="shared" ref="PCK24" si="5584">$C$24*PCI24</f>
        <v>100000</v>
      </c>
      <c r="PCM24" s="906">
        <f t="shared" ref="PCM24" si="5585">$C$24*PCK24</f>
        <v>100000</v>
      </c>
      <c r="PCO24" s="906">
        <f t="shared" ref="PCO24" si="5586">$C$24*PCM24</f>
        <v>100000</v>
      </c>
      <c r="PCQ24" s="906">
        <f t="shared" ref="PCQ24" si="5587">$C$24*PCO24</f>
        <v>100000</v>
      </c>
      <c r="PCS24" s="906">
        <f t="shared" ref="PCS24" si="5588">$C$24*PCQ24</f>
        <v>100000</v>
      </c>
      <c r="PCU24" s="906">
        <f t="shared" ref="PCU24" si="5589">$C$24*PCS24</f>
        <v>100000</v>
      </c>
      <c r="PCW24" s="906">
        <f t="shared" ref="PCW24" si="5590">$C$24*PCU24</f>
        <v>100000</v>
      </c>
      <c r="PCY24" s="906">
        <f t="shared" ref="PCY24" si="5591">$C$24*PCW24</f>
        <v>100000</v>
      </c>
      <c r="PDA24" s="906">
        <f t="shared" ref="PDA24" si="5592">$C$24*PCY24</f>
        <v>100000</v>
      </c>
      <c r="PDC24" s="906">
        <f t="shared" ref="PDC24" si="5593">$C$24*PDA24</f>
        <v>100000</v>
      </c>
      <c r="PDE24" s="906">
        <f t="shared" ref="PDE24" si="5594">$C$24*PDC24</f>
        <v>100000</v>
      </c>
      <c r="PDG24" s="906">
        <f t="shared" ref="PDG24" si="5595">$C$24*PDE24</f>
        <v>100000</v>
      </c>
      <c r="PDI24" s="906">
        <f t="shared" ref="PDI24" si="5596">$C$24*PDG24</f>
        <v>100000</v>
      </c>
      <c r="PDK24" s="906">
        <f t="shared" ref="PDK24" si="5597">$C$24*PDI24</f>
        <v>100000</v>
      </c>
      <c r="PDM24" s="906">
        <f t="shared" ref="PDM24" si="5598">$C$24*PDK24</f>
        <v>100000</v>
      </c>
      <c r="PDO24" s="906">
        <f t="shared" ref="PDO24" si="5599">$C$24*PDM24</f>
        <v>100000</v>
      </c>
      <c r="PDQ24" s="906">
        <f t="shared" ref="PDQ24" si="5600">$C$24*PDO24</f>
        <v>100000</v>
      </c>
      <c r="PDS24" s="906">
        <f t="shared" ref="PDS24" si="5601">$C$24*PDQ24</f>
        <v>100000</v>
      </c>
      <c r="PDU24" s="906">
        <f t="shared" ref="PDU24" si="5602">$C$24*PDS24</f>
        <v>100000</v>
      </c>
      <c r="PDW24" s="906">
        <f t="shared" ref="PDW24" si="5603">$C$24*PDU24</f>
        <v>100000</v>
      </c>
      <c r="PDY24" s="906">
        <f t="shared" ref="PDY24" si="5604">$C$24*PDW24</f>
        <v>100000</v>
      </c>
      <c r="PEA24" s="906">
        <f t="shared" ref="PEA24" si="5605">$C$24*PDY24</f>
        <v>100000</v>
      </c>
      <c r="PEC24" s="906">
        <f t="shared" ref="PEC24" si="5606">$C$24*PEA24</f>
        <v>100000</v>
      </c>
      <c r="PEE24" s="906">
        <f t="shared" ref="PEE24" si="5607">$C$24*PEC24</f>
        <v>100000</v>
      </c>
      <c r="PEG24" s="906">
        <f t="shared" ref="PEG24" si="5608">$C$24*PEE24</f>
        <v>100000</v>
      </c>
      <c r="PEI24" s="906">
        <f t="shared" ref="PEI24" si="5609">$C$24*PEG24</f>
        <v>100000</v>
      </c>
      <c r="PEK24" s="906">
        <f t="shared" ref="PEK24" si="5610">$C$24*PEI24</f>
        <v>100000</v>
      </c>
      <c r="PEM24" s="906">
        <f t="shared" ref="PEM24" si="5611">$C$24*PEK24</f>
        <v>100000</v>
      </c>
      <c r="PEO24" s="906">
        <f t="shared" ref="PEO24" si="5612">$C$24*PEM24</f>
        <v>100000</v>
      </c>
      <c r="PEQ24" s="906">
        <f t="shared" ref="PEQ24" si="5613">$C$24*PEO24</f>
        <v>100000</v>
      </c>
      <c r="PES24" s="906">
        <f t="shared" ref="PES24" si="5614">$C$24*PEQ24</f>
        <v>100000</v>
      </c>
      <c r="PEU24" s="906">
        <f t="shared" ref="PEU24" si="5615">$C$24*PES24</f>
        <v>100000</v>
      </c>
      <c r="PEW24" s="906">
        <f t="shared" ref="PEW24" si="5616">$C$24*PEU24</f>
        <v>100000</v>
      </c>
      <c r="PEY24" s="906">
        <f t="shared" ref="PEY24" si="5617">$C$24*PEW24</f>
        <v>100000</v>
      </c>
      <c r="PFA24" s="906">
        <f t="shared" ref="PFA24" si="5618">$C$24*PEY24</f>
        <v>100000</v>
      </c>
      <c r="PFC24" s="906">
        <f t="shared" ref="PFC24" si="5619">$C$24*PFA24</f>
        <v>100000</v>
      </c>
      <c r="PFE24" s="906">
        <f t="shared" ref="PFE24" si="5620">$C$24*PFC24</f>
        <v>100000</v>
      </c>
      <c r="PFG24" s="906">
        <f t="shared" ref="PFG24" si="5621">$C$24*PFE24</f>
        <v>100000</v>
      </c>
      <c r="PFI24" s="906">
        <f t="shared" ref="PFI24" si="5622">$C$24*PFG24</f>
        <v>100000</v>
      </c>
      <c r="PFK24" s="906">
        <f t="shared" ref="PFK24" si="5623">$C$24*PFI24</f>
        <v>100000</v>
      </c>
      <c r="PFM24" s="906">
        <f t="shared" ref="PFM24" si="5624">$C$24*PFK24</f>
        <v>100000</v>
      </c>
      <c r="PFO24" s="906">
        <f t="shared" ref="PFO24" si="5625">$C$24*PFM24</f>
        <v>100000</v>
      </c>
      <c r="PFQ24" s="906">
        <f t="shared" ref="PFQ24" si="5626">$C$24*PFO24</f>
        <v>100000</v>
      </c>
      <c r="PFS24" s="906">
        <f t="shared" ref="PFS24" si="5627">$C$24*PFQ24</f>
        <v>100000</v>
      </c>
      <c r="PFU24" s="906">
        <f t="shared" ref="PFU24" si="5628">$C$24*PFS24</f>
        <v>100000</v>
      </c>
      <c r="PFW24" s="906">
        <f t="shared" ref="PFW24" si="5629">$C$24*PFU24</f>
        <v>100000</v>
      </c>
      <c r="PFY24" s="906">
        <f t="shared" ref="PFY24" si="5630">$C$24*PFW24</f>
        <v>100000</v>
      </c>
      <c r="PGA24" s="906">
        <f t="shared" ref="PGA24" si="5631">$C$24*PFY24</f>
        <v>100000</v>
      </c>
      <c r="PGC24" s="906">
        <f t="shared" ref="PGC24" si="5632">$C$24*PGA24</f>
        <v>100000</v>
      </c>
      <c r="PGE24" s="906">
        <f t="shared" ref="PGE24" si="5633">$C$24*PGC24</f>
        <v>100000</v>
      </c>
      <c r="PGG24" s="906">
        <f t="shared" ref="PGG24" si="5634">$C$24*PGE24</f>
        <v>100000</v>
      </c>
      <c r="PGI24" s="906">
        <f t="shared" ref="PGI24" si="5635">$C$24*PGG24</f>
        <v>100000</v>
      </c>
      <c r="PGK24" s="906">
        <f t="shared" ref="PGK24" si="5636">$C$24*PGI24</f>
        <v>100000</v>
      </c>
      <c r="PGM24" s="906">
        <f t="shared" ref="PGM24" si="5637">$C$24*PGK24</f>
        <v>100000</v>
      </c>
      <c r="PGO24" s="906">
        <f t="shared" ref="PGO24" si="5638">$C$24*PGM24</f>
        <v>100000</v>
      </c>
      <c r="PGQ24" s="906">
        <f t="shared" ref="PGQ24" si="5639">$C$24*PGO24</f>
        <v>100000</v>
      </c>
      <c r="PGS24" s="906">
        <f t="shared" ref="PGS24" si="5640">$C$24*PGQ24</f>
        <v>100000</v>
      </c>
      <c r="PGU24" s="906">
        <f t="shared" ref="PGU24" si="5641">$C$24*PGS24</f>
        <v>100000</v>
      </c>
      <c r="PGW24" s="906">
        <f t="shared" ref="PGW24" si="5642">$C$24*PGU24</f>
        <v>100000</v>
      </c>
      <c r="PGY24" s="906">
        <f t="shared" ref="PGY24" si="5643">$C$24*PGW24</f>
        <v>100000</v>
      </c>
      <c r="PHA24" s="906">
        <f t="shared" ref="PHA24" si="5644">$C$24*PGY24</f>
        <v>100000</v>
      </c>
      <c r="PHC24" s="906">
        <f t="shared" ref="PHC24" si="5645">$C$24*PHA24</f>
        <v>100000</v>
      </c>
      <c r="PHE24" s="906">
        <f t="shared" ref="PHE24" si="5646">$C$24*PHC24</f>
        <v>100000</v>
      </c>
      <c r="PHG24" s="906">
        <f t="shared" ref="PHG24" si="5647">$C$24*PHE24</f>
        <v>100000</v>
      </c>
      <c r="PHI24" s="906">
        <f t="shared" ref="PHI24" si="5648">$C$24*PHG24</f>
        <v>100000</v>
      </c>
      <c r="PHK24" s="906">
        <f t="shared" ref="PHK24" si="5649">$C$24*PHI24</f>
        <v>100000</v>
      </c>
      <c r="PHM24" s="906">
        <f t="shared" ref="PHM24" si="5650">$C$24*PHK24</f>
        <v>100000</v>
      </c>
      <c r="PHO24" s="906">
        <f t="shared" ref="PHO24" si="5651">$C$24*PHM24</f>
        <v>100000</v>
      </c>
      <c r="PHQ24" s="906">
        <f t="shared" ref="PHQ24" si="5652">$C$24*PHO24</f>
        <v>100000</v>
      </c>
      <c r="PHS24" s="906">
        <f t="shared" ref="PHS24" si="5653">$C$24*PHQ24</f>
        <v>100000</v>
      </c>
      <c r="PHU24" s="906">
        <f t="shared" ref="PHU24" si="5654">$C$24*PHS24</f>
        <v>100000</v>
      </c>
      <c r="PHW24" s="906">
        <f t="shared" ref="PHW24" si="5655">$C$24*PHU24</f>
        <v>100000</v>
      </c>
      <c r="PHY24" s="906">
        <f t="shared" ref="PHY24" si="5656">$C$24*PHW24</f>
        <v>100000</v>
      </c>
      <c r="PIA24" s="906">
        <f t="shared" ref="PIA24" si="5657">$C$24*PHY24</f>
        <v>100000</v>
      </c>
      <c r="PIC24" s="906">
        <f t="shared" ref="PIC24" si="5658">$C$24*PIA24</f>
        <v>100000</v>
      </c>
      <c r="PIE24" s="906">
        <f t="shared" ref="PIE24" si="5659">$C$24*PIC24</f>
        <v>100000</v>
      </c>
      <c r="PIG24" s="906">
        <f t="shared" ref="PIG24" si="5660">$C$24*PIE24</f>
        <v>100000</v>
      </c>
      <c r="PII24" s="906">
        <f t="shared" ref="PII24" si="5661">$C$24*PIG24</f>
        <v>100000</v>
      </c>
      <c r="PIK24" s="906">
        <f t="shared" ref="PIK24" si="5662">$C$24*PII24</f>
        <v>100000</v>
      </c>
      <c r="PIM24" s="906">
        <f t="shared" ref="PIM24" si="5663">$C$24*PIK24</f>
        <v>100000</v>
      </c>
      <c r="PIO24" s="906">
        <f t="shared" ref="PIO24" si="5664">$C$24*PIM24</f>
        <v>100000</v>
      </c>
      <c r="PIQ24" s="906">
        <f t="shared" ref="PIQ24" si="5665">$C$24*PIO24</f>
        <v>100000</v>
      </c>
      <c r="PIS24" s="906">
        <f t="shared" ref="PIS24" si="5666">$C$24*PIQ24</f>
        <v>100000</v>
      </c>
      <c r="PIU24" s="906">
        <f t="shared" ref="PIU24" si="5667">$C$24*PIS24</f>
        <v>100000</v>
      </c>
      <c r="PIW24" s="906">
        <f t="shared" ref="PIW24" si="5668">$C$24*PIU24</f>
        <v>100000</v>
      </c>
      <c r="PIY24" s="906">
        <f t="shared" ref="PIY24" si="5669">$C$24*PIW24</f>
        <v>100000</v>
      </c>
      <c r="PJA24" s="906">
        <f t="shared" ref="PJA24" si="5670">$C$24*PIY24</f>
        <v>100000</v>
      </c>
      <c r="PJC24" s="906">
        <f t="shared" ref="PJC24" si="5671">$C$24*PJA24</f>
        <v>100000</v>
      </c>
      <c r="PJE24" s="906">
        <f t="shared" ref="PJE24" si="5672">$C$24*PJC24</f>
        <v>100000</v>
      </c>
      <c r="PJG24" s="906">
        <f t="shared" ref="PJG24" si="5673">$C$24*PJE24</f>
        <v>100000</v>
      </c>
      <c r="PJI24" s="906">
        <f t="shared" ref="PJI24" si="5674">$C$24*PJG24</f>
        <v>100000</v>
      </c>
      <c r="PJK24" s="906">
        <f t="shared" ref="PJK24" si="5675">$C$24*PJI24</f>
        <v>100000</v>
      </c>
      <c r="PJM24" s="906">
        <f t="shared" ref="PJM24" si="5676">$C$24*PJK24</f>
        <v>100000</v>
      </c>
      <c r="PJO24" s="906">
        <f t="shared" ref="PJO24" si="5677">$C$24*PJM24</f>
        <v>100000</v>
      </c>
      <c r="PJQ24" s="906">
        <f t="shared" ref="PJQ24" si="5678">$C$24*PJO24</f>
        <v>100000</v>
      </c>
      <c r="PJS24" s="906">
        <f t="shared" ref="PJS24" si="5679">$C$24*PJQ24</f>
        <v>100000</v>
      </c>
      <c r="PJU24" s="906">
        <f t="shared" ref="PJU24" si="5680">$C$24*PJS24</f>
        <v>100000</v>
      </c>
      <c r="PJW24" s="906">
        <f t="shared" ref="PJW24" si="5681">$C$24*PJU24</f>
        <v>100000</v>
      </c>
      <c r="PJY24" s="906">
        <f t="shared" ref="PJY24" si="5682">$C$24*PJW24</f>
        <v>100000</v>
      </c>
      <c r="PKA24" s="906">
        <f t="shared" ref="PKA24" si="5683">$C$24*PJY24</f>
        <v>100000</v>
      </c>
      <c r="PKC24" s="906">
        <f t="shared" ref="PKC24" si="5684">$C$24*PKA24</f>
        <v>100000</v>
      </c>
      <c r="PKE24" s="906">
        <f t="shared" ref="PKE24" si="5685">$C$24*PKC24</f>
        <v>100000</v>
      </c>
      <c r="PKG24" s="906">
        <f t="shared" ref="PKG24" si="5686">$C$24*PKE24</f>
        <v>100000</v>
      </c>
      <c r="PKI24" s="906">
        <f t="shared" ref="PKI24" si="5687">$C$24*PKG24</f>
        <v>100000</v>
      </c>
      <c r="PKK24" s="906">
        <f t="shared" ref="PKK24" si="5688">$C$24*PKI24</f>
        <v>100000</v>
      </c>
      <c r="PKM24" s="906">
        <f t="shared" ref="PKM24" si="5689">$C$24*PKK24</f>
        <v>100000</v>
      </c>
      <c r="PKO24" s="906">
        <f t="shared" ref="PKO24" si="5690">$C$24*PKM24</f>
        <v>100000</v>
      </c>
      <c r="PKQ24" s="906">
        <f t="shared" ref="PKQ24" si="5691">$C$24*PKO24</f>
        <v>100000</v>
      </c>
      <c r="PKS24" s="906">
        <f t="shared" ref="PKS24" si="5692">$C$24*PKQ24</f>
        <v>100000</v>
      </c>
      <c r="PKU24" s="906">
        <f t="shared" ref="PKU24" si="5693">$C$24*PKS24</f>
        <v>100000</v>
      </c>
      <c r="PKW24" s="906">
        <f t="shared" ref="PKW24" si="5694">$C$24*PKU24</f>
        <v>100000</v>
      </c>
      <c r="PKY24" s="906">
        <f t="shared" ref="PKY24" si="5695">$C$24*PKW24</f>
        <v>100000</v>
      </c>
      <c r="PLA24" s="906">
        <f t="shared" ref="PLA24" si="5696">$C$24*PKY24</f>
        <v>100000</v>
      </c>
      <c r="PLC24" s="906">
        <f t="shared" ref="PLC24" si="5697">$C$24*PLA24</f>
        <v>100000</v>
      </c>
      <c r="PLE24" s="906">
        <f t="shared" ref="PLE24" si="5698">$C$24*PLC24</f>
        <v>100000</v>
      </c>
      <c r="PLG24" s="906">
        <f t="shared" ref="PLG24" si="5699">$C$24*PLE24</f>
        <v>100000</v>
      </c>
      <c r="PLI24" s="906">
        <f t="shared" ref="PLI24" si="5700">$C$24*PLG24</f>
        <v>100000</v>
      </c>
      <c r="PLK24" s="906">
        <f t="shared" ref="PLK24" si="5701">$C$24*PLI24</f>
        <v>100000</v>
      </c>
      <c r="PLM24" s="906">
        <f t="shared" ref="PLM24" si="5702">$C$24*PLK24</f>
        <v>100000</v>
      </c>
      <c r="PLO24" s="906">
        <f t="shared" ref="PLO24" si="5703">$C$24*PLM24</f>
        <v>100000</v>
      </c>
      <c r="PLQ24" s="906">
        <f t="shared" ref="PLQ24" si="5704">$C$24*PLO24</f>
        <v>100000</v>
      </c>
      <c r="PLS24" s="906">
        <f t="shared" ref="PLS24" si="5705">$C$24*PLQ24</f>
        <v>100000</v>
      </c>
      <c r="PLU24" s="906">
        <f t="shared" ref="PLU24" si="5706">$C$24*PLS24</f>
        <v>100000</v>
      </c>
      <c r="PLW24" s="906">
        <f t="shared" ref="PLW24" si="5707">$C$24*PLU24</f>
        <v>100000</v>
      </c>
      <c r="PLY24" s="906">
        <f t="shared" ref="PLY24" si="5708">$C$24*PLW24</f>
        <v>100000</v>
      </c>
      <c r="PMA24" s="906">
        <f t="shared" ref="PMA24" si="5709">$C$24*PLY24</f>
        <v>100000</v>
      </c>
      <c r="PMC24" s="906">
        <f t="shared" ref="PMC24" si="5710">$C$24*PMA24</f>
        <v>100000</v>
      </c>
      <c r="PME24" s="906">
        <f t="shared" ref="PME24" si="5711">$C$24*PMC24</f>
        <v>100000</v>
      </c>
      <c r="PMG24" s="906">
        <f t="shared" ref="PMG24" si="5712">$C$24*PME24</f>
        <v>100000</v>
      </c>
      <c r="PMI24" s="906">
        <f t="shared" ref="PMI24" si="5713">$C$24*PMG24</f>
        <v>100000</v>
      </c>
      <c r="PMK24" s="906">
        <f t="shared" ref="PMK24" si="5714">$C$24*PMI24</f>
        <v>100000</v>
      </c>
      <c r="PMM24" s="906">
        <f t="shared" ref="PMM24" si="5715">$C$24*PMK24</f>
        <v>100000</v>
      </c>
      <c r="PMO24" s="906">
        <f t="shared" ref="PMO24" si="5716">$C$24*PMM24</f>
        <v>100000</v>
      </c>
      <c r="PMQ24" s="906">
        <f t="shared" ref="PMQ24" si="5717">$C$24*PMO24</f>
        <v>100000</v>
      </c>
      <c r="PMS24" s="906">
        <f t="shared" ref="PMS24" si="5718">$C$24*PMQ24</f>
        <v>100000</v>
      </c>
      <c r="PMU24" s="906">
        <f t="shared" ref="PMU24" si="5719">$C$24*PMS24</f>
        <v>100000</v>
      </c>
      <c r="PMW24" s="906">
        <f t="shared" ref="PMW24" si="5720">$C$24*PMU24</f>
        <v>100000</v>
      </c>
      <c r="PMY24" s="906">
        <f t="shared" ref="PMY24" si="5721">$C$24*PMW24</f>
        <v>100000</v>
      </c>
      <c r="PNA24" s="906">
        <f t="shared" ref="PNA24" si="5722">$C$24*PMY24</f>
        <v>100000</v>
      </c>
      <c r="PNC24" s="906">
        <f t="shared" ref="PNC24" si="5723">$C$24*PNA24</f>
        <v>100000</v>
      </c>
      <c r="PNE24" s="906">
        <f t="shared" ref="PNE24" si="5724">$C$24*PNC24</f>
        <v>100000</v>
      </c>
      <c r="PNG24" s="906">
        <f t="shared" ref="PNG24" si="5725">$C$24*PNE24</f>
        <v>100000</v>
      </c>
      <c r="PNI24" s="906">
        <f t="shared" ref="PNI24" si="5726">$C$24*PNG24</f>
        <v>100000</v>
      </c>
      <c r="PNK24" s="906">
        <f t="shared" ref="PNK24" si="5727">$C$24*PNI24</f>
        <v>100000</v>
      </c>
      <c r="PNM24" s="906">
        <f t="shared" ref="PNM24" si="5728">$C$24*PNK24</f>
        <v>100000</v>
      </c>
      <c r="PNO24" s="906">
        <f t="shared" ref="PNO24" si="5729">$C$24*PNM24</f>
        <v>100000</v>
      </c>
      <c r="PNQ24" s="906">
        <f t="shared" ref="PNQ24" si="5730">$C$24*PNO24</f>
        <v>100000</v>
      </c>
      <c r="PNS24" s="906">
        <f t="shared" ref="PNS24" si="5731">$C$24*PNQ24</f>
        <v>100000</v>
      </c>
      <c r="PNU24" s="906">
        <f t="shared" ref="PNU24" si="5732">$C$24*PNS24</f>
        <v>100000</v>
      </c>
      <c r="PNW24" s="906">
        <f t="shared" ref="PNW24" si="5733">$C$24*PNU24</f>
        <v>100000</v>
      </c>
      <c r="PNY24" s="906">
        <f t="shared" ref="PNY24" si="5734">$C$24*PNW24</f>
        <v>100000</v>
      </c>
      <c r="POA24" s="906">
        <f t="shared" ref="POA24" si="5735">$C$24*PNY24</f>
        <v>100000</v>
      </c>
      <c r="POC24" s="906">
        <f t="shared" ref="POC24" si="5736">$C$24*POA24</f>
        <v>100000</v>
      </c>
      <c r="POE24" s="906">
        <f t="shared" ref="POE24" si="5737">$C$24*POC24</f>
        <v>100000</v>
      </c>
      <c r="POG24" s="906">
        <f t="shared" ref="POG24" si="5738">$C$24*POE24</f>
        <v>100000</v>
      </c>
      <c r="POI24" s="906">
        <f t="shared" ref="POI24" si="5739">$C$24*POG24</f>
        <v>100000</v>
      </c>
      <c r="POK24" s="906">
        <f t="shared" ref="POK24" si="5740">$C$24*POI24</f>
        <v>100000</v>
      </c>
      <c r="POM24" s="906">
        <f t="shared" ref="POM24" si="5741">$C$24*POK24</f>
        <v>100000</v>
      </c>
      <c r="POO24" s="906">
        <f t="shared" ref="POO24" si="5742">$C$24*POM24</f>
        <v>100000</v>
      </c>
      <c r="POQ24" s="906">
        <f t="shared" ref="POQ24" si="5743">$C$24*POO24</f>
        <v>100000</v>
      </c>
      <c r="POS24" s="906">
        <f t="shared" ref="POS24" si="5744">$C$24*POQ24</f>
        <v>100000</v>
      </c>
      <c r="POU24" s="906">
        <f t="shared" ref="POU24" si="5745">$C$24*POS24</f>
        <v>100000</v>
      </c>
      <c r="POW24" s="906">
        <f t="shared" ref="POW24" si="5746">$C$24*POU24</f>
        <v>100000</v>
      </c>
      <c r="POY24" s="906">
        <f t="shared" ref="POY24" si="5747">$C$24*POW24</f>
        <v>100000</v>
      </c>
      <c r="PPA24" s="906">
        <f t="shared" ref="PPA24" si="5748">$C$24*POY24</f>
        <v>100000</v>
      </c>
      <c r="PPC24" s="906">
        <f t="shared" ref="PPC24" si="5749">$C$24*PPA24</f>
        <v>100000</v>
      </c>
      <c r="PPE24" s="906">
        <f t="shared" ref="PPE24" si="5750">$C$24*PPC24</f>
        <v>100000</v>
      </c>
      <c r="PPG24" s="906">
        <f t="shared" ref="PPG24" si="5751">$C$24*PPE24</f>
        <v>100000</v>
      </c>
      <c r="PPI24" s="906">
        <f t="shared" ref="PPI24" si="5752">$C$24*PPG24</f>
        <v>100000</v>
      </c>
      <c r="PPK24" s="906">
        <f t="shared" ref="PPK24" si="5753">$C$24*PPI24</f>
        <v>100000</v>
      </c>
      <c r="PPM24" s="906">
        <f t="shared" ref="PPM24" si="5754">$C$24*PPK24</f>
        <v>100000</v>
      </c>
      <c r="PPO24" s="906">
        <f t="shared" ref="PPO24" si="5755">$C$24*PPM24</f>
        <v>100000</v>
      </c>
      <c r="PPQ24" s="906">
        <f t="shared" ref="PPQ24" si="5756">$C$24*PPO24</f>
        <v>100000</v>
      </c>
      <c r="PPS24" s="906">
        <f t="shared" ref="PPS24" si="5757">$C$24*PPQ24</f>
        <v>100000</v>
      </c>
      <c r="PPU24" s="906">
        <f t="shared" ref="PPU24" si="5758">$C$24*PPS24</f>
        <v>100000</v>
      </c>
      <c r="PPW24" s="906">
        <f t="shared" ref="PPW24" si="5759">$C$24*PPU24</f>
        <v>100000</v>
      </c>
      <c r="PPY24" s="906">
        <f t="shared" ref="PPY24" si="5760">$C$24*PPW24</f>
        <v>100000</v>
      </c>
      <c r="PQA24" s="906">
        <f t="shared" ref="PQA24" si="5761">$C$24*PPY24</f>
        <v>100000</v>
      </c>
      <c r="PQC24" s="906">
        <f t="shared" ref="PQC24" si="5762">$C$24*PQA24</f>
        <v>100000</v>
      </c>
      <c r="PQE24" s="906">
        <f t="shared" ref="PQE24" si="5763">$C$24*PQC24</f>
        <v>100000</v>
      </c>
      <c r="PQG24" s="906">
        <f t="shared" ref="PQG24" si="5764">$C$24*PQE24</f>
        <v>100000</v>
      </c>
      <c r="PQI24" s="906">
        <f t="shared" ref="PQI24" si="5765">$C$24*PQG24</f>
        <v>100000</v>
      </c>
      <c r="PQK24" s="906">
        <f t="shared" ref="PQK24" si="5766">$C$24*PQI24</f>
        <v>100000</v>
      </c>
      <c r="PQM24" s="906">
        <f t="shared" ref="PQM24" si="5767">$C$24*PQK24</f>
        <v>100000</v>
      </c>
      <c r="PQO24" s="906">
        <f t="shared" ref="PQO24" si="5768">$C$24*PQM24</f>
        <v>100000</v>
      </c>
      <c r="PQQ24" s="906">
        <f t="shared" ref="PQQ24" si="5769">$C$24*PQO24</f>
        <v>100000</v>
      </c>
      <c r="PQS24" s="906">
        <f t="shared" ref="PQS24" si="5770">$C$24*PQQ24</f>
        <v>100000</v>
      </c>
      <c r="PQU24" s="906">
        <f t="shared" ref="PQU24" si="5771">$C$24*PQS24</f>
        <v>100000</v>
      </c>
      <c r="PQW24" s="906">
        <f t="shared" ref="PQW24" si="5772">$C$24*PQU24</f>
        <v>100000</v>
      </c>
      <c r="PQY24" s="906">
        <f t="shared" ref="PQY24" si="5773">$C$24*PQW24</f>
        <v>100000</v>
      </c>
      <c r="PRA24" s="906">
        <f t="shared" ref="PRA24" si="5774">$C$24*PQY24</f>
        <v>100000</v>
      </c>
      <c r="PRC24" s="906">
        <f t="shared" ref="PRC24" si="5775">$C$24*PRA24</f>
        <v>100000</v>
      </c>
      <c r="PRE24" s="906">
        <f t="shared" ref="PRE24" si="5776">$C$24*PRC24</f>
        <v>100000</v>
      </c>
      <c r="PRG24" s="906">
        <f t="shared" ref="PRG24" si="5777">$C$24*PRE24</f>
        <v>100000</v>
      </c>
      <c r="PRI24" s="906">
        <f t="shared" ref="PRI24" si="5778">$C$24*PRG24</f>
        <v>100000</v>
      </c>
      <c r="PRK24" s="906">
        <f t="shared" ref="PRK24" si="5779">$C$24*PRI24</f>
        <v>100000</v>
      </c>
      <c r="PRM24" s="906">
        <f t="shared" ref="PRM24" si="5780">$C$24*PRK24</f>
        <v>100000</v>
      </c>
      <c r="PRO24" s="906">
        <f t="shared" ref="PRO24" si="5781">$C$24*PRM24</f>
        <v>100000</v>
      </c>
      <c r="PRQ24" s="906">
        <f t="shared" ref="PRQ24" si="5782">$C$24*PRO24</f>
        <v>100000</v>
      </c>
      <c r="PRS24" s="906">
        <f t="shared" ref="PRS24" si="5783">$C$24*PRQ24</f>
        <v>100000</v>
      </c>
      <c r="PRU24" s="906">
        <f t="shared" ref="PRU24" si="5784">$C$24*PRS24</f>
        <v>100000</v>
      </c>
      <c r="PRW24" s="906">
        <f t="shared" ref="PRW24" si="5785">$C$24*PRU24</f>
        <v>100000</v>
      </c>
      <c r="PRY24" s="906">
        <f t="shared" ref="PRY24" si="5786">$C$24*PRW24</f>
        <v>100000</v>
      </c>
      <c r="PSA24" s="906">
        <f t="shared" ref="PSA24" si="5787">$C$24*PRY24</f>
        <v>100000</v>
      </c>
      <c r="PSC24" s="906">
        <f t="shared" ref="PSC24" si="5788">$C$24*PSA24</f>
        <v>100000</v>
      </c>
      <c r="PSE24" s="906">
        <f t="shared" ref="PSE24" si="5789">$C$24*PSC24</f>
        <v>100000</v>
      </c>
      <c r="PSG24" s="906">
        <f t="shared" ref="PSG24" si="5790">$C$24*PSE24</f>
        <v>100000</v>
      </c>
      <c r="PSI24" s="906">
        <f t="shared" ref="PSI24" si="5791">$C$24*PSG24</f>
        <v>100000</v>
      </c>
      <c r="PSK24" s="906">
        <f t="shared" ref="PSK24" si="5792">$C$24*PSI24</f>
        <v>100000</v>
      </c>
      <c r="PSM24" s="906">
        <f t="shared" ref="PSM24" si="5793">$C$24*PSK24</f>
        <v>100000</v>
      </c>
      <c r="PSO24" s="906">
        <f t="shared" ref="PSO24" si="5794">$C$24*PSM24</f>
        <v>100000</v>
      </c>
      <c r="PSQ24" s="906">
        <f t="shared" ref="PSQ24" si="5795">$C$24*PSO24</f>
        <v>100000</v>
      </c>
      <c r="PSS24" s="906">
        <f t="shared" ref="PSS24" si="5796">$C$24*PSQ24</f>
        <v>100000</v>
      </c>
      <c r="PSU24" s="906">
        <f t="shared" ref="PSU24" si="5797">$C$24*PSS24</f>
        <v>100000</v>
      </c>
      <c r="PSW24" s="906">
        <f t="shared" ref="PSW24" si="5798">$C$24*PSU24</f>
        <v>100000</v>
      </c>
      <c r="PSY24" s="906">
        <f t="shared" ref="PSY24" si="5799">$C$24*PSW24</f>
        <v>100000</v>
      </c>
      <c r="PTA24" s="906">
        <f t="shared" ref="PTA24" si="5800">$C$24*PSY24</f>
        <v>100000</v>
      </c>
      <c r="PTC24" s="906">
        <f t="shared" ref="PTC24" si="5801">$C$24*PTA24</f>
        <v>100000</v>
      </c>
      <c r="PTE24" s="906">
        <f t="shared" ref="PTE24" si="5802">$C$24*PTC24</f>
        <v>100000</v>
      </c>
      <c r="PTG24" s="906">
        <f t="shared" ref="PTG24" si="5803">$C$24*PTE24</f>
        <v>100000</v>
      </c>
      <c r="PTI24" s="906">
        <f t="shared" ref="PTI24" si="5804">$C$24*PTG24</f>
        <v>100000</v>
      </c>
      <c r="PTK24" s="906">
        <f t="shared" ref="PTK24" si="5805">$C$24*PTI24</f>
        <v>100000</v>
      </c>
      <c r="PTM24" s="906">
        <f t="shared" ref="PTM24" si="5806">$C$24*PTK24</f>
        <v>100000</v>
      </c>
      <c r="PTO24" s="906">
        <f t="shared" ref="PTO24" si="5807">$C$24*PTM24</f>
        <v>100000</v>
      </c>
      <c r="PTQ24" s="906">
        <f t="shared" ref="PTQ24" si="5808">$C$24*PTO24</f>
        <v>100000</v>
      </c>
      <c r="PTS24" s="906">
        <f t="shared" ref="PTS24" si="5809">$C$24*PTQ24</f>
        <v>100000</v>
      </c>
      <c r="PTU24" s="906">
        <f t="shared" ref="PTU24" si="5810">$C$24*PTS24</f>
        <v>100000</v>
      </c>
      <c r="PTW24" s="906">
        <f t="shared" ref="PTW24" si="5811">$C$24*PTU24</f>
        <v>100000</v>
      </c>
      <c r="PTY24" s="906">
        <f t="shared" ref="PTY24" si="5812">$C$24*PTW24</f>
        <v>100000</v>
      </c>
      <c r="PUA24" s="906">
        <f t="shared" ref="PUA24" si="5813">$C$24*PTY24</f>
        <v>100000</v>
      </c>
      <c r="PUC24" s="906">
        <f t="shared" ref="PUC24" si="5814">$C$24*PUA24</f>
        <v>100000</v>
      </c>
      <c r="PUE24" s="906">
        <f t="shared" ref="PUE24" si="5815">$C$24*PUC24</f>
        <v>100000</v>
      </c>
      <c r="PUG24" s="906">
        <f t="shared" ref="PUG24" si="5816">$C$24*PUE24</f>
        <v>100000</v>
      </c>
      <c r="PUI24" s="906">
        <f t="shared" ref="PUI24" si="5817">$C$24*PUG24</f>
        <v>100000</v>
      </c>
      <c r="PUK24" s="906">
        <f t="shared" ref="PUK24" si="5818">$C$24*PUI24</f>
        <v>100000</v>
      </c>
      <c r="PUM24" s="906">
        <f t="shared" ref="PUM24" si="5819">$C$24*PUK24</f>
        <v>100000</v>
      </c>
      <c r="PUO24" s="906">
        <f t="shared" ref="PUO24" si="5820">$C$24*PUM24</f>
        <v>100000</v>
      </c>
      <c r="PUQ24" s="906">
        <f t="shared" ref="PUQ24" si="5821">$C$24*PUO24</f>
        <v>100000</v>
      </c>
      <c r="PUS24" s="906">
        <f t="shared" ref="PUS24" si="5822">$C$24*PUQ24</f>
        <v>100000</v>
      </c>
      <c r="PUU24" s="906">
        <f t="shared" ref="PUU24" si="5823">$C$24*PUS24</f>
        <v>100000</v>
      </c>
      <c r="PUW24" s="906">
        <f t="shared" ref="PUW24" si="5824">$C$24*PUU24</f>
        <v>100000</v>
      </c>
      <c r="PUY24" s="906">
        <f t="shared" ref="PUY24" si="5825">$C$24*PUW24</f>
        <v>100000</v>
      </c>
      <c r="PVA24" s="906">
        <f t="shared" ref="PVA24" si="5826">$C$24*PUY24</f>
        <v>100000</v>
      </c>
      <c r="PVC24" s="906">
        <f t="shared" ref="PVC24" si="5827">$C$24*PVA24</f>
        <v>100000</v>
      </c>
      <c r="PVE24" s="906">
        <f t="shared" ref="PVE24" si="5828">$C$24*PVC24</f>
        <v>100000</v>
      </c>
      <c r="PVG24" s="906">
        <f t="shared" ref="PVG24" si="5829">$C$24*PVE24</f>
        <v>100000</v>
      </c>
      <c r="PVI24" s="906">
        <f t="shared" ref="PVI24" si="5830">$C$24*PVG24</f>
        <v>100000</v>
      </c>
      <c r="PVK24" s="906">
        <f t="shared" ref="PVK24" si="5831">$C$24*PVI24</f>
        <v>100000</v>
      </c>
      <c r="PVM24" s="906">
        <f t="shared" ref="PVM24" si="5832">$C$24*PVK24</f>
        <v>100000</v>
      </c>
      <c r="PVO24" s="906">
        <f t="shared" ref="PVO24" si="5833">$C$24*PVM24</f>
        <v>100000</v>
      </c>
      <c r="PVQ24" s="906">
        <f t="shared" ref="PVQ24" si="5834">$C$24*PVO24</f>
        <v>100000</v>
      </c>
      <c r="PVS24" s="906">
        <f t="shared" ref="PVS24" si="5835">$C$24*PVQ24</f>
        <v>100000</v>
      </c>
      <c r="PVU24" s="906">
        <f t="shared" ref="PVU24" si="5836">$C$24*PVS24</f>
        <v>100000</v>
      </c>
      <c r="PVW24" s="906">
        <f t="shared" ref="PVW24" si="5837">$C$24*PVU24</f>
        <v>100000</v>
      </c>
      <c r="PVY24" s="906">
        <f t="shared" ref="PVY24" si="5838">$C$24*PVW24</f>
        <v>100000</v>
      </c>
      <c r="PWA24" s="906">
        <f t="shared" ref="PWA24" si="5839">$C$24*PVY24</f>
        <v>100000</v>
      </c>
      <c r="PWC24" s="906">
        <f t="shared" ref="PWC24" si="5840">$C$24*PWA24</f>
        <v>100000</v>
      </c>
      <c r="PWE24" s="906">
        <f t="shared" ref="PWE24" si="5841">$C$24*PWC24</f>
        <v>100000</v>
      </c>
      <c r="PWG24" s="906">
        <f t="shared" ref="PWG24" si="5842">$C$24*PWE24</f>
        <v>100000</v>
      </c>
      <c r="PWI24" s="906">
        <f t="shared" ref="PWI24" si="5843">$C$24*PWG24</f>
        <v>100000</v>
      </c>
      <c r="PWK24" s="906">
        <f t="shared" ref="PWK24" si="5844">$C$24*PWI24</f>
        <v>100000</v>
      </c>
      <c r="PWM24" s="906">
        <f t="shared" ref="PWM24" si="5845">$C$24*PWK24</f>
        <v>100000</v>
      </c>
      <c r="PWO24" s="906">
        <f t="shared" ref="PWO24" si="5846">$C$24*PWM24</f>
        <v>100000</v>
      </c>
      <c r="PWQ24" s="906">
        <f t="shared" ref="PWQ24" si="5847">$C$24*PWO24</f>
        <v>100000</v>
      </c>
      <c r="PWS24" s="906">
        <f t="shared" ref="PWS24" si="5848">$C$24*PWQ24</f>
        <v>100000</v>
      </c>
      <c r="PWU24" s="906">
        <f t="shared" ref="PWU24" si="5849">$C$24*PWS24</f>
        <v>100000</v>
      </c>
      <c r="PWW24" s="906">
        <f t="shared" ref="PWW24" si="5850">$C$24*PWU24</f>
        <v>100000</v>
      </c>
      <c r="PWY24" s="906">
        <f t="shared" ref="PWY24" si="5851">$C$24*PWW24</f>
        <v>100000</v>
      </c>
      <c r="PXA24" s="906">
        <f t="shared" ref="PXA24" si="5852">$C$24*PWY24</f>
        <v>100000</v>
      </c>
      <c r="PXC24" s="906">
        <f t="shared" ref="PXC24" si="5853">$C$24*PXA24</f>
        <v>100000</v>
      </c>
      <c r="PXE24" s="906">
        <f t="shared" ref="PXE24" si="5854">$C$24*PXC24</f>
        <v>100000</v>
      </c>
      <c r="PXG24" s="906">
        <f t="shared" ref="PXG24" si="5855">$C$24*PXE24</f>
        <v>100000</v>
      </c>
      <c r="PXI24" s="906">
        <f t="shared" ref="PXI24" si="5856">$C$24*PXG24</f>
        <v>100000</v>
      </c>
      <c r="PXK24" s="906">
        <f t="shared" ref="PXK24" si="5857">$C$24*PXI24</f>
        <v>100000</v>
      </c>
      <c r="PXM24" s="906">
        <f t="shared" ref="PXM24" si="5858">$C$24*PXK24</f>
        <v>100000</v>
      </c>
      <c r="PXO24" s="906">
        <f t="shared" ref="PXO24" si="5859">$C$24*PXM24</f>
        <v>100000</v>
      </c>
      <c r="PXQ24" s="906">
        <f t="shared" ref="PXQ24" si="5860">$C$24*PXO24</f>
        <v>100000</v>
      </c>
      <c r="PXS24" s="906">
        <f t="shared" ref="PXS24" si="5861">$C$24*PXQ24</f>
        <v>100000</v>
      </c>
      <c r="PXU24" s="906">
        <f t="shared" ref="PXU24" si="5862">$C$24*PXS24</f>
        <v>100000</v>
      </c>
      <c r="PXW24" s="906">
        <f t="shared" ref="PXW24" si="5863">$C$24*PXU24</f>
        <v>100000</v>
      </c>
      <c r="PXY24" s="906">
        <f t="shared" ref="PXY24" si="5864">$C$24*PXW24</f>
        <v>100000</v>
      </c>
      <c r="PYA24" s="906">
        <f t="shared" ref="PYA24" si="5865">$C$24*PXY24</f>
        <v>100000</v>
      </c>
      <c r="PYC24" s="906">
        <f t="shared" ref="PYC24" si="5866">$C$24*PYA24</f>
        <v>100000</v>
      </c>
      <c r="PYE24" s="906">
        <f t="shared" ref="PYE24" si="5867">$C$24*PYC24</f>
        <v>100000</v>
      </c>
      <c r="PYG24" s="906">
        <f t="shared" ref="PYG24" si="5868">$C$24*PYE24</f>
        <v>100000</v>
      </c>
      <c r="PYI24" s="906">
        <f t="shared" ref="PYI24" si="5869">$C$24*PYG24</f>
        <v>100000</v>
      </c>
      <c r="PYK24" s="906">
        <f t="shared" ref="PYK24" si="5870">$C$24*PYI24</f>
        <v>100000</v>
      </c>
      <c r="PYM24" s="906">
        <f t="shared" ref="PYM24" si="5871">$C$24*PYK24</f>
        <v>100000</v>
      </c>
      <c r="PYO24" s="906">
        <f t="shared" ref="PYO24" si="5872">$C$24*PYM24</f>
        <v>100000</v>
      </c>
      <c r="PYQ24" s="906">
        <f t="shared" ref="PYQ24" si="5873">$C$24*PYO24</f>
        <v>100000</v>
      </c>
      <c r="PYS24" s="906">
        <f t="shared" ref="PYS24" si="5874">$C$24*PYQ24</f>
        <v>100000</v>
      </c>
      <c r="PYU24" s="906">
        <f t="shared" ref="PYU24" si="5875">$C$24*PYS24</f>
        <v>100000</v>
      </c>
      <c r="PYW24" s="906">
        <f t="shared" ref="PYW24" si="5876">$C$24*PYU24</f>
        <v>100000</v>
      </c>
      <c r="PYY24" s="906">
        <f t="shared" ref="PYY24" si="5877">$C$24*PYW24</f>
        <v>100000</v>
      </c>
      <c r="PZA24" s="906">
        <f t="shared" ref="PZA24" si="5878">$C$24*PYY24</f>
        <v>100000</v>
      </c>
      <c r="PZC24" s="906">
        <f t="shared" ref="PZC24" si="5879">$C$24*PZA24</f>
        <v>100000</v>
      </c>
      <c r="PZE24" s="906">
        <f t="shared" ref="PZE24" si="5880">$C$24*PZC24</f>
        <v>100000</v>
      </c>
      <c r="PZG24" s="906">
        <f t="shared" ref="PZG24" si="5881">$C$24*PZE24</f>
        <v>100000</v>
      </c>
      <c r="PZI24" s="906">
        <f t="shared" ref="PZI24" si="5882">$C$24*PZG24</f>
        <v>100000</v>
      </c>
      <c r="PZK24" s="906">
        <f t="shared" ref="PZK24" si="5883">$C$24*PZI24</f>
        <v>100000</v>
      </c>
      <c r="PZM24" s="906">
        <f t="shared" ref="PZM24" si="5884">$C$24*PZK24</f>
        <v>100000</v>
      </c>
      <c r="PZO24" s="906">
        <f t="shared" ref="PZO24" si="5885">$C$24*PZM24</f>
        <v>100000</v>
      </c>
      <c r="PZQ24" s="906">
        <f t="shared" ref="PZQ24" si="5886">$C$24*PZO24</f>
        <v>100000</v>
      </c>
      <c r="PZS24" s="906">
        <f t="shared" ref="PZS24" si="5887">$C$24*PZQ24</f>
        <v>100000</v>
      </c>
      <c r="PZU24" s="906">
        <f t="shared" ref="PZU24" si="5888">$C$24*PZS24</f>
        <v>100000</v>
      </c>
      <c r="PZW24" s="906">
        <f t="shared" ref="PZW24" si="5889">$C$24*PZU24</f>
        <v>100000</v>
      </c>
      <c r="PZY24" s="906">
        <f t="shared" ref="PZY24" si="5890">$C$24*PZW24</f>
        <v>100000</v>
      </c>
      <c r="QAA24" s="906">
        <f t="shared" ref="QAA24" si="5891">$C$24*PZY24</f>
        <v>100000</v>
      </c>
      <c r="QAC24" s="906">
        <f t="shared" ref="QAC24" si="5892">$C$24*QAA24</f>
        <v>100000</v>
      </c>
      <c r="QAE24" s="906">
        <f t="shared" ref="QAE24" si="5893">$C$24*QAC24</f>
        <v>100000</v>
      </c>
      <c r="QAG24" s="906">
        <f t="shared" ref="QAG24" si="5894">$C$24*QAE24</f>
        <v>100000</v>
      </c>
      <c r="QAI24" s="906">
        <f t="shared" ref="QAI24" si="5895">$C$24*QAG24</f>
        <v>100000</v>
      </c>
      <c r="QAK24" s="906">
        <f t="shared" ref="QAK24" si="5896">$C$24*QAI24</f>
        <v>100000</v>
      </c>
      <c r="QAM24" s="906">
        <f t="shared" ref="QAM24" si="5897">$C$24*QAK24</f>
        <v>100000</v>
      </c>
      <c r="QAO24" s="906">
        <f t="shared" ref="QAO24" si="5898">$C$24*QAM24</f>
        <v>100000</v>
      </c>
      <c r="QAQ24" s="906">
        <f t="shared" ref="QAQ24" si="5899">$C$24*QAO24</f>
        <v>100000</v>
      </c>
      <c r="QAS24" s="906">
        <f t="shared" ref="QAS24" si="5900">$C$24*QAQ24</f>
        <v>100000</v>
      </c>
      <c r="QAU24" s="906">
        <f t="shared" ref="QAU24" si="5901">$C$24*QAS24</f>
        <v>100000</v>
      </c>
      <c r="QAW24" s="906">
        <f t="shared" ref="QAW24" si="5902">$C$24*QAU24</f>
        <v>100000</v>
      </c>
      <c r="QAY24" s="906">
        <f t="shared" ref="QAY24" si="5903">$C$24*QAW24</f>
        <v>100000</v>
      </c>
      <c r="QBA24" s="906">
        <f t="shared" ref="QBA24" si="5904">$C$24*QAY24</f>
        <v>100000</v>
      </c>
      <c r="QBC24" s="906">
        <f t="shared" ref="QBC24" si="5905">$C$24*QBA24</f>
        <v>100000</v>
      </c>
      <c r="QBE24" s="906">
        <f t="shared" ref="QBE24" si="5906">$C$24*QBC24</f>
        <v>100000</v>
      </c>
      <c r="QBG24" s="906">
        <f t="shared" ref="QBG24" si="5907">$C$24*QBE24</f>
        <v>100000</v>
      </c>
      <c r="QBI24" s="906">
        <f t="shared" ref="QBI24" si="5908">$C$24*QBG24</f>
        <v>100000</v>
      </c>
      <c r="QBK24" s="906">
        <f t="shared" ref="QBK24" si="5909">$C$24*QBI24</f>
        <v>100000</v>
      </c>
      <c r="QBM24" s="906">
        <f t="shared" ref="QBM24" si="5910">$C$24*QBK24</f>
        <v>100000</v>
      </c>
      <c r="QBO24" s="906">
        <f t="shared" ref="QBO24" si="5911">$C$24*QBM24</f>
        <v>100000</v>
      </c>
      <c r="QBQ24" s="906">
        <f t="shared" ref="QBQ24" si="5912">$C$24*QBO24</f>
        <v>100000</v>
      </c>
      <c r="QBS24" s="906">
        <f t="shared" ref="QBS24" si="5913">$C$24*QBQ24</f>
        <v>100000</v>
      </c>
      <c r="QBU24" s="906">
        <f t="shared" ref="QBU24" si="5914">$C$24*QBS24</f>
        <v>100000</v>
      </c>
      <c r="QBW24" s="906">
        <f t="shared" ref="QBW24" si="5915">$C$24*QBU24</f>
        <v>100000</v>
      </c>
      <c r="QBY24" s="906">
        <f t="shared" ref="QBY24" si="5916">$C$24*QBW24</f>
        <v>100000</v>
      </c>
      <c r="QCA24" s="906">
        <f t="shared" ref="QCA24" si="5917">$C$24*QBY24</f>
        <v>100000</v>
      </c>
      <c r="QCC24" s="906">
        <f t="shared" ref="QCC24" si="5918">$C$24*QCA24</f>
        <v>100000</v>
      </c>
      <c r="QCE24" s="906">
        <f t="shared" ref="QCE24" si="5919">$C$24*QCC24</f>
        <v>100000</v>
      </c>
      <c r="QCG24" s="906">
        <f t="shared" ref="QCG24" si="5920">$C$24*QCE24</f>
        <v>100000</v>
      </c>
      <c r="QCI24" s="906">
        <f t="shared" ref="QCI24" si="5921">$C$24*QCG24</f>
        <v>100000</v>
      </c>
      <c r="QCK24" s="906">
        <f t="shared" ref="QCK24" si="5922">$C$24*QCI24</f>
        <v>100000</v>
      </c>
      <c r="QCM24" s="906">
        <f t="shared" ref="QCM24" si="5923">$C$24*QCK24</f>
        <v>100000</v>
      </c>
      <c r="QCO24" s="906">
        <f t="shared" ref="QCO24" si="5924">$C$24*QCM24</f>
        <v>100000</v>
      </c>
      <c r="QCQ24" s="906">
        <f t="shared" ref="QCQ24" si="5925">$C$24*QCO24</f>
        <v>100000</v>
      </c>
      <c r="QCS24" s="906">
        <f t="shared" ref="QCS24" si="5926">$C$24*QCQ24</f>
        <v>100000</v>
      </c>
      <c r="QCU24" s="906">
        <f t="shared" ref="QCU24" si="5927">$C$24*QCS24</f>
        <v>100000</v>
      </c>
      <c r="QCW24" s="906">
        <f t="shared" ref="QCW24" si="5928">$C$24*QCU24</f>
        <v>100000</v>
      </c>
      <c r="QCY24" s="906">
        <f t="shared" ref="QCY24" si="5929">$C$24*QCW24</f>
        <v>100000</v>
      </c>
      <c r="QDA24" s="906">
        <f t="shared" ref="QDA24" si="5930">$C$24*QCY24</f>
        <v>100000</v>
      </c>
      <c r="QDC24" s="906">
        <f t="shared" ref="QDC24" si="5931">$C$24*QDA24</f>
        <v>100000</v>
      </c>
      <c r="QDE24" s="906">
        <f t="shared" ref="QDE24" si="5932">$C$24*QDC24</f>
        <v>100000</v>
      </c>
      <c r="QDG24" s="906">
        <f t="shared" ref="QDG24" si="5933">$C$24*QDE24</f>
        <v>100000</v>
      </c>
      <c r="QDI24" s="906">
        <f t="shared" ref="QDI24" si="5934">$C$24*QDG24</f>
        <v>100000</v>
      </c>
      <c r="QDK24" s="906">
        <f t="shared" ref="QDK24" si="5935">$C$24*QDI24</f>
        <v>100000</v>
      </c>
      <c r="QDM24" s="906">
        <f t="shared" ref="QDM24" si="5936">$C$24*QDK24</f>
        <v>100000</v>
      </c>
      <c r="QDO24" s="906">
        <f t="shared" ref="QDO24" si="5937">$C$24*QDM24</f>
        <v>100000</v>
      </c>
      <c r="QDQ24" s="906">
        <f t="shared" ref="QDQ24" si="5938">$C$24*QDO24</f>
        <v>100000</v>
      </c>
      <c r="QDS24" s="906">
        <f t="shared" ref="QDS24" si="5939">$C$24*QDQ24</f>
        <v>100000</v>
      </c>
      <c r="QDU24" s="906">
        <f t="shared" ref="QDU24" si="5940">$C$24*QDS24</f>
        <v>100000</v>
      </c>
      <c r="QDW24" s="906">
        <f t="shared" ref="QDW24" si="5941">$C$24*QDU24</f>
        <v>100000</v>
      </c>
      <c r="QDY24" s="906">
        <f t="shared" ref="QDY24" si="5942">$C$24*QDW24</f>
        <v>100000</v>
      </c>
      <c r="QEA24" s="906">
        <f t="shared" ref="QEA24" si="5943">$C$24*QDY24</f>
        <v>100000</v>
      </c>
      <c r="QEC24" s="906">
        <f t="shared" ref="QEC24" si="5944">$C$24*QEA24</f>
        <v>100000</v>
      </c>
      <c r="QEE24" s="906">
        <f t="shared" ref="QEE24" si="5945">$C$24*QEC24</f>
        <v>100000</v>
      </c>
      <c r="QEG24" s="906">
        <f t="shared" ref="QEG24" si="5946">$C$24*QEE24</f>
        <v>100000</v>
      </c>
      <c r="QEI24" s="906">
        <f t="shared" ref="QEI24" si="5947">$C$24*QEG24</f>
        <v>100000</v>
      </c>
      <c r="QEK24" s="906">
        <f t="shared" ref="QEK24" si="5948">$C$24*QEI24</f>
        <v>100000</v>
      </c>
      <c r="QEM24" s="906">
        <f t="shared" ref="QEM24" si="5949">$C$24*QEK24</f>
        <v>100000</v>
      </c>
      <c r="QEO24" s="906">
        <f t="shared" ref="QEO24" si="5950">$C$24*QEM24</f>
        <v>100000</v>
      </c>
      <c r="QEQ24" s="906">
        <f t="shared" ref="QEQ24" si="5951">$C$24*QEO24</f>
        <v>100000</v>
      </c>
      <c r="QES24" s="906">
        <f t="shared" ref="QES24" si="5952">$C$24*QEQ24</f>
        <v>100000</v>
      </c>
      <c r="QEU24" s="906">
        <f t="shared" ref="QEU24" si="5953">$C$24*QES24</f>
        <v>100000</v>
      </c>
      <c r="QEW24" s="906">
        <f t="shared" ref="QEW24" si="5954">$C$24*QEU24</f>
        <v>100000</v>
      </c>
      <c r="QEY24" s="906">
        <f t="shared" ref="QEY24" si="5955">$C$24*QEW24</f>
        <v>100000</v>
      </c>
      <c r="QFA24" s="906">
        <f t="shared" ref="QFA24" si="5956">$C$24*QEY24</f>
        <v>100000</v>
      </c>
      <c r="QFC24" s="906">
        <f t="shared" ref="QFC24" si="5957">$C$24*QFA24</f>
        <v>100000</v>
      </c>
      <c r="QFE24" s="906">
        <f t="shared" ref="QFE24" si="5958">$C$24*QFC24</f>
        <v>100000</v>
      </c>
      <c r="QFG24" s="906">
        <f t="shared" ref="QFG24" si="5959">$C$24*QFE24</f>
        <v>100000</v>
      </c>
      <c r="QFI24" s="906">
        <f t="shared" ref="QFI24" si="5960">$C$24*QFG24</f>
        <v>100000</v>
      </c>
      <c r="QFK24" s="906">
        <f t="shared" ref="QFK24" si="5961">$C$24*QFI24</f>
        <v>100000</v>
      </c>
      <c r="QFM24" s="906">
        <f t="shared" ref="QFM24" si="5962">$C$24*QFK24</f>
        <v>100000</v>
      </c>
      <c r="QFO24" s="906">
        <f t="shared" ref="QFO24" si="5963">$C$24*QFM24</f>
        <v>100000</v>
      </c>
      <c r="QFQ24" s="906">
        <f t="shared" ref="QFQ24" si="5964">$C$24*QFO24</f>
        <v>100000</v>
      </c>
      <c r="QFS24" s="906">
        <f t="shared" ref="QFS24" si="5965">$C$24*QFQ24</f>
        <v>100000</v>
      </c>
      <c r="QFU24" s="906">
        <f t="shared" ref="QFU24" si="5966">$C$24*QFS24</f>
        <v>100000</v>
      </c>
      <c r="QFW24" s="906">
        <f t="shared" ref="QFW24" si="5967">$C$24*QFU24</f>
        <v>100000</v>
      </c>
      <c r="QFY24" s="906">
        <f t="shared" ref="QFY24" si="5968">$C$24*QFW24</f>
        <v>100000</v>
      </c>
      <c r="QGA24" s="906">
        <f t="shared" ref="QGA24" si="5969">$C$24*QFY24</f>
        <v>100000</v>
      </c>
      <c r="QGC24" s="906">
        <f t="shared" ref="QGC24" si="5970">$C$24*QGA24</f>
        <v>100000</v>
      </c>
      <c r="QGE24" s="906">
        <f t="shared" ref="QGE24" si="5971">$C$24*QGC24</f>
        <v>100000</v>
      </c>
      <c r="QGG24" s="906">
        <f t="shared" ref="QGG24" si="5972">$C$24*QGE24</f>
        <v>100000</v>
      </c>
      <c r="QGI24" s="906">
        <f t="shared" ref="QGI24" si="5973">$C$24*QGG24</f>
        <v>100000</v>
      </c>
      <c r="QGK24" s="906">
        <f t="shared" ref="QGK24" si="5974">$C$24*QGI24</f>
        <v>100000</v>
      </c>
      <c r="QGM24" s="906">
        <f t="shared" ref="QGM24" si="5975">$C$24*QGK24</f>
        <v>100000</v>
      </c>
      <c r="QGO24" s="906">
        <f t="shared" ref="QGO24" si="5976">$C$24*QGM24</f>
        <v>100000</v>
      </c>
      <c r="QGQ24" s="906">
        <f t="shared" ref="QGQ24" si="5977">$C$24*QGO24</f>
        <v>100000</v>
      </c>
      <c r="QGS24" s="906">
        <f t="shared" ref="QGS24" si="5978">$C$24*QGQ24</f>
        <v>100000</v>
      </c>
      <c r="QGU24" s="906">
        <f t="shared" ref="QGU24" si="5979">$C$24*QGS24</f>
        <v>100000</v>
      </c>
      <c r="QGW24" s="906">
        <f t="shared" ref="QGW24" si="5980">$C$24*QGU24</f>
        <v>100000</v>
      </c>
      <c r="QGY24" s="906">
        <f t="shared" ref="QGY24" si="5981">$C$24*QGW24</f>
        <v>100000</v>
      </c>
      <c r="QHA24" s="906">
        <f t="shared" ref="QHA24" si="5982">$C$24*QGY24</f>
        <v>100000</v>
      </c>
      <c r="QHC24" s="906">
        <f t="shared" ref="QHC24" si="5983">$C$24*QHA24</f>
        <v>100000</v>
      </c>
      <c r="QHE24" s="906">
        <f t="shared" ref="QHE24" si="5984">$C$24*QHC24</f>
        <v>100000</v>
      </c>
      <c r="QHG24" s="906">
        <f t="shared" ref="QHG24" si="5985">$C$24*QHE24</f>
        <v>100000</v>
      </c>
      <c r="QHI24" s="906">
        <f t="shared" ref="QHI24" si="5986">$C$24*QHG24</f>
        <v>100000</v>
      </c>
      <c r="QHK24" s="906">
        <f t="shared" ref="QHK24" si="5987">$C$24*QHI24</f>
        <v>100000</v>
      </c>
      <c r="QHM24" s="906">
        <f t="shared" ref="QHM24" si="5988">$C$24*QHK24</f>
        <v>100000</v>
      </c>
      <c r="QHO24" s="906">
        <f t="shared" ref="QHO24" si="5989">$C$24*QHM24</f>
        <v>100000</v>
      </c>
      <c r="QHQ24" s="906">
        <f t="shared" ref="QHQ24" si="5990">$C$24*QHO24</f>
        <v>100000</v>
      </c>
      <c r="QHS24" s="906">
        <f t="shared" ref="QHS24" si="5991">$C$24*QHQ24</f>
        <v>100000</v>
      </c>
      <c r="QHU24" s="906">
        <f t="shared" ref="QHU24" si="5992">$C$24*QHS24</f>
        <v>100000</v>
      </c>
      <c r="QHW24" s="906">
        <f t="shared" ref="QHW24" si="5993">$C$24*QHU24</f>
        <v>100000</v>
      </c>
      <c r="QHY24" s="906">
        <f t="shared" ref="QHY24" si="5994">$C$24*QHW24</f>
        <v>100000</v>
      </c>
      <c r="QIA24" s="906">
        <f t="shared" ref="QIA24" si="5995">$C$24*QHY24</f>
        <v>100000</v>
      </c>
      <c r="QIC24" s="906">
        <f t="shared" ref="QIC24" si="5996">$C$24*QIA24</f>
        <v>100000</v>
      </c>
      <c r="QIE24" s="906">
        <f t="shared" ref="QIE24" si="5997">$C$24*QIC24</f>
        <v>100000</v>
      </c>
      <c r="QIG24" s="906">
        <f t="shared" ref="QIG24" si="5998">$C$24*QIE24</f>
        <v>100000</v>
      </c>
      <c r="QII24" s="906">
        <f t="shared" ref="QII24" si="5999">$C$24*QIG24</f>
        <v>100000</v>
      </c>
      <c r="QIK24" s="906">
        <f t="shared" ref="QIK24" si="6000">$C$24*QII24</f>
        <v>100000</v>
      </c>
      <c r="QIM24" s="906">
        <f t="shared" ref="QIM24" si="6001">$C$24*QIK24</f>
        <v>100000</v>
      </c>
      <c r="QIO24" s="906">
        <f t="shared" ref="QIO24" si="6002">$C$24*QIM24</f>
        <v>100000</v>
      </c>
      <c r="QIQ24" s="906">
        <f t="shared" ref="QIQ24" si="6003">$C$24*QIO24</f>
        <v>100000</v>
      </c>
      <c r="QIS24" s="906">
        <f t="shared" ref="QIS24" si="6004">$C$24*QIQ24</f>
        <v>100000</v>
      </c>
      <c r="QIU24" s="906">
        <f t="shared" ref="QIU24" si="6005">$C$24*QIS24</f>
        <v>100000</v>
      </c>
      <c r="QIW24" s="906">
        <f t="shared" ref="QIW24" si="6006">$C$24*QIU24</f>
        <v>100000</v>
      </c>
      <c r="QIY24" s="906">
        <f t="shared" ref="QIY24" si="6007">$C$24*QIW24</f>
        <v>100000</v>
      </c>
      <c r="QJA24" s="906">
        <f t="shared" ref="QJA24" si="6008">$C$24*QIY24</f>
        <v>100000</v>
      </c>
      <c r="QJC24" s="906">
        <f t="shared" ref="QJC24" si="6009">$C$24*QJA24</f>
        <v>100000</v>
      </c>
      <c r="QJE24" s="906">
        <f t="shared" ref="QJE24" si="6010">$C$24*QJC24</f>
        <v>100000</v>
      </c>
      <c r="QJG24" s="906">
        <f t="shared" ref="QJG24" si="6011">$C$24*QJE24</f>
        <v>100000</v>
      </c>
      <c r="QJI24" s="906">
        <f t="shared" ref="QJI24" si="6012">$C$24*QJG24</f>
        <v>100000</v>
      </c>
      <c r="QJK24" s="906">
        <f t="shared" ref="QJK24" si="6013">$C$24*QJI24</f>
        <v>100000</v>
      </c>
      <c r="QJM24" s="906">
        <f t="shared" ref="QJM24" si="6014">$C$24*QJK24</f>
        <v>100000</v>
      </c>
      <c r="QJO24" s="906">
        <f t="shared" ref="QJO24" si="6015">$C$24*QJM24</f>
        <v>100000</v>
      </c>
      <c r="QJQ24" s="906">
        <f t="shared" ref="QJQ24" si="6016">$C$24*QJO24</f>
        <v>100000</v>
      </c>
      <c r="QJS24" s="906">
        <f t="shared" ref="QJS24" si="6017">$C$24*QJQ24</f>
        <v>100000</v>
      </c>
      <c r="QJU24" s="906">
        <f t="shared" ref="QJU24" si="6018">$C$24*QJS24</f>
        <v>100000</v>
      </c>
      <c r="QJW24" s="906">
        <f t="shared" ref="QJW24" si="6019">$C$24*QJU24</f>
        <v>100000</v>
      </c>
      <c r="QJY24" s="906">
        <f t="shared" ref="QJY24" si="6020">$C$24*QJW24</f>
        <v>100000</v>
      </c>
      <c r="QKA24" s="906">
        <f t="shared" ref="QKA24" si="6021">$C$24*QJY24</f>
        <v>100000</v>
      </c>
      <c r="QKC24" s="906">
        <f t="shared" ref="QKC24" si="6022">$C$24*QKA24</f>
        <v>100000</v>
      </c>
      <c r="QKE24" s="906">
        <f t="shared" ref="QKE24" si="6023">$C$24*QKC24</f>
        <v>100000</v>
      </c>
      <c r="QKG24" s="906">
        <f t="shared" ref="QKG24" si="6024">$C$24*QKE24</f>
        <v>100000</v>
      </c>
      <c r="QKI24" s="906">
        <f t="shared" ref="QKI24" si="6025">$C$24*QKG24</f>
        <v>100000</v>
      </c>
      <c r="QKK24" s="906">
        <f t="shared" ref="QKK24" si="6026">$C$24*QKI24</f>
        <v>100000</v>
      </c>
      <c r="QKM24" s="906">
        <f t="shared" ref="QKM24" si="6027">$C$24*QKK24</f>
        <v>100000</v>
      </c>
      <c r="QKO24" s="906">
        <f t="shared" ref="QKO24" si="6028">$C$24*QKM24</f>
        <v>100000</v>
      </c>
      <c r="QKQ24" s="906">
        <f t="shared" ref="QKQ24" si="6029">$C$24*QKO24</f>
        <v>100000</v>
      </c>
      <c r="QKS24" s="906">
        <f t="shared" ref="QKS24" si="6030">$C$24*QKQ24</f>
        <v>100000</v>
      </c>
      <c r="QKU24" s="906">
        <f t="shared" ref="QKU24" si="6031">$C$24*QKS24</f>
        <v>100000</v>
      </c>
      <c r="QKW24" s="906">
        <f t="shared" ref="QKW24" si="6032">$C$24*QKU24</f>
        <v>100000</v>
      </c>
      <c r="QKY24" s="906">
        <f t="shared" ref="QKY24" si="6033">$C$24*QKW24</f>
        <v>100000</v>
      </c>
      <c r="QLA24" s="906">
        <f t="shared" ref="QLA24" si="6034">$C$24*QKY24</f>
        <v>100000</v>
      </c>
      <c r="QLC24" s="906">
        <f t="shared" ref="QLC24" si="6035">$C$24*QLA24</f>
        <v>100000</v>
      </c>
      <c r="QLE24" s="906">
        <f t="shared" ref="QLE24" si="6036">$C$24*QLC24</f>
        <v>100000</v>
      </c>
      <c r="QLG24" s="906">
        <f t="shared" ref="QLG24" si="6037">$C$24*QLE24</f>
        <v>100000</v>
      </c>
      <c r="QLI24" s="906">
        <f t="shared" ref="QLI24" si="6038">$C$24*QLG24</f>
        <v>100000</v>
      </c>
      <c r="QLK24" s="906">
        <f t="shared" ref="QLK24" si="6039">$C$24*QLI24</f>
        <v>100000</v>
      </c>
      <c r="QLM24" s="906">
        <f t="shared" ref="QLM24" si="6040">$C$24*QLK24</f>
        <v>100000</v>
      </c>
      <c r="QLO24" s="906">
        <f t="shared" ref="QLO24" si="6041">$C$24*QLM24</f>
        <v>100000</v>
      </c>
      <c r="QLQ24" s="906">
        <f t="shared" ref="QLQ24" si="6042">$C$24*QLO24</f>
        <v>100000</v>
      </c>
      <c r="QLS24" s="906">
        <f t="shared" ref="QLS24" si="6043">$C$24*QLQ24</f>
        <v>100000</v>
      </c>
      <c r="QLU24" s="906">
        <f t="shared" ref="QLU24" si="6044">$C$24*QLS24</f>
        <v>100000</v>
      </c>
      <c r="QLW24" s="906">
        <f t="shared" ref="QLW24" si="6045">$C$24*QLU24</f>
        <v>100000</v>
      </c>
      <c r="QLY24" s="906">
        <f t="shared" ref="QLY24" si="6046">$C$24*QLW24</f>
        <v>100000</v>
      </c>
      <c r="QMA24" s="906">
        <f t="shared" ref="QMA24" si="6047">$C$24*QLY24</f>
        <v>100000</v>
      </c>
      <c r="QMC24" s="906">
        <f t="shared" ref="QMC24" si="6048">$C$24*QMA24</f>
        <v>100000</v>
      </c>
      <c r="QME24" s="906">
        <f t="shared" ref="QME24" si="6049">$C$24*QMC24</f>
        <v>100000</v>
      </c>
      <c r="QMG24" s="906">
        <f t="shared" ref="QMG24" si="6050">$C$24*QME24</f>
        <v>100000</v>
      </c>
      <c r="QMI24" s="906">
        <f t="shared" ref="QMI24" si="6051">$C$24*QMG24</f>
        <v>100000</v>
      </c>
      <c r="QMK24" s="906">
        <f t="shared" ref="QMK24" si="6052">$C$24*QMI24</f>
        <v>100000</v>
      </c>
      <c r="QMM24" s="906">
        <f t="shared" ref="QMM24" si="6053">$C$24*QMK24</f>
        <v>100000</v>
      </c>
      <c r="QMO24" s="906">
        <f t="shared" ref="QMO24" si="6054">$C$24*QMM24</f>
        <v>100000</v>
      </c>
      <c r="QMQ24" s="906">
        <f t="shared" ref="QMQ24" si="6055">$C$24*QMO24</f>
        <v>100000</v>
      </c>
      <c r="QMS24" s="906">
        <f t="shared" ref="QMS24" si="6056">$C$24*QMQ24</f>
        <v>100000</v>
      </c>
      <c r="QMU24" s="906">
        <f t="shared" ref="QMU24" si="6057">$C$24*QMS24</f>
        <v>100000</v>
      </c>
      <c r="QMW24" s="906">
        <f t="shared" ref="QMW24" si="6058">$C$24*QMU24</f>
        <v>100000</v>
      </c>
      <c r="QMY24" s="906">
        <f t="shared" ref="QMY24" si="6059">$C$24*QMW24</f>
        <v>100000</v>
      </c>
      <c r="QNA24" s="906">
        <f t="shared" ref="QNA24" si="6060">$C$24*QMY24</f>
        <v>100000</v>
      </c>
      <c r="QNC24" s="906">
        <f t="shared" ref="QNC24" si="6061">$C$24*QNA24</f>
        <v>100000</v>
      </c>
      <c r="QNE24" s="906">
        <f t="shared" ref="QNE24" si="6062">$C$24*QNC24</f>
        <v>100000</v>
      </c>
      <c r="QNG24" s="906">
        <f t="shared" ref="QNG24" si="6063">$C$24*QNE24</f>
        <v>100000</v>
      </c>
      <c r="QNI24" s="906">
        <f t="shared" ref="QNI24" si="6064">$C$24*QNG24</f>
        <v>100000</v>
      </c>
      <c r="QNK24" s="906">
        <f t="shared" ref="QNK24" si="6065">$C$24*QNI24</f>
        <v>100000</v>
      </c>
      <c r="QNM24" s="906">
        <f t="shared" ref="QNM24" si="6066">$C$24*QNK24</f>
        <v>100000</v>
      </c>
      <c r="QNO24" s="906">
        <f t="shared" ref="QNO24" si="6067">$C$24*QNM24</f>
        <v>100000</v>
      </c>
      <c r="QNQ24" s="906">
        <f t="shared" ref="QNQ24" si="6068">$C$24*QNO24</f>
        <v>100000</v>
      </c>
      <c r="QNS24" s="906">
        <f t="shared" ref="QNS24" si="6069">$C$24*QNQ24</f>
        <v>100000</v>
      </c>
      <c r="QNU24" s="906">
        <f t="shared" ref="QNU24" si="6070">$C$24*QNS24</f>
        <v>100000</v>
      </c>
      <c r="QNW24" s="906">
        <f t="shared" ref="QNW24" si="6071">$C$24*QNU24</f>
        <v>100000</v>
      </c>
      <c r="QNY24" s="906">
        <f t="shared" ref="QNY24" si="6072">$C$24*QNW24</f>
        <v>100000</v>
      </c>
      <c r="QOA24" s="906">
        <f t="shared" ref="QOA24" si="6073">$C$24*QNY24</f>
        <v>100000</v>
      </c>
      <c r="QOC24" s="906">
        <f t="shared" ref="QOC24" si="6074">$C$24*QOA24</f>
        <v>100000</v>
      </c>
      <c r="QOE24" s="906">
        <f t="shared" ref="QOE24" si="6075">$C$24*QOC24</f>
        <v>100000</v>
      </c>
      <c r="QOG24" s="906">
        <f t="shared" ref="QOG24" si="6076">$C$24*QOE24</f>
        <v>100000</v>
      </c>
      <c r="QOI24" s="906">
        <f t="shared" ref="QOI24" si="6077">$C$24*QOG24</f>
        <v>100000</v>
      </c>
      <c r="QOK24" s="906">
        <f t="shared" ref="QOK24" si="6078">$C$24*QOI24</f>
        <v>100000</v>
      </c>
      <c r="QOM24" s="906">
        <f t="shared" ref="QOM24" si="6079">$C$24*QOK24</f>
        <v>100000</v>
      </c>
      <c r="QOO24" s="906">
        <f t="shared" ref="QOO24" si="6080">$C$24*QOM24</f>
        <v>100000</v>
      </c>
      <c r="QOQ24" s="906">
        <f t="shared" ref="QOQ24" si="6081">$C$24*QOO24</f>
        <v>100000</v>
      </c>
      <c r="QOS24" s="906">
        <f t="shared" ref="QOS24" si="6082">$C$24*QOQ24</f>
        <v>100000</v>
      </c>
      <c r="QOU24" s="906">
        <f t="shared" ref="QOU24" si="6083">$C$24*QOS24</f>
        <v>100000</v>
      </c>
      <c r="QOW24" s="906">
        <f t="shared" ref="QOW24" si="6084">$C$24*QOU24</f>
        <v>100000</v>
      </c>
      <c r="QOY24" s="906">
        <f t="shared" ref="QOY24" si="6085">$C$24*QOW24</f>
        <v>100000</v>
      </c>
      <c r="QPA24" s="906">
        <f t="shared" ref="QPA24" si="6086">$C$24*QOY24</f>
        <v>100000</v>
      </c>
      <c r="QPC24" s="906">
        <f t="shared" ref="QPC24" si="6087">$C$24*QPA24</f>
        <v>100000</v>
      </c>
      <c r="QPE24" s="906">
        <f t="shared" ref="QPE24" si="6088">$C$24*QPC24</f>
        <v>100000</v>
      </c>
      <c r="QPG24" s="906">
        <f t="shared" ref="QPG24" si="6089">$C$24*QPE24</f>
        <v>100000</v>
      </c>
      <c r="QPI24" s="906">
        <f t="shared" ref="QPI24" si="6090">$C$24*QPG24</f>
        <v>100000</v>
      </c>
      <c r="QPK24" s="906">
        <f t="shared" ref="QPK24" si="6091">$C$24*QPI24</f>
        <v>100000</v>
      </c>
      <c r="QPM24" s="906">
        <f t="shared" ref="QPM24" si="6092">$C$24*QPK24</f>
        <v>100000</v>
      </c>
      <c r="QPO24" s="906">
        <f t="shared" ref="QPO24" si="6093">$C$24*QPM24</f>
        <v>100000</v>
      </c>
      <c r="QPQ24" s="906">
        <f t="shared" ref="QPQ24" si="6094">$C$24*QPO24</f>
        <v>100000</v>
      </c>
      <c r="QPS24" s="906">
        <f t="shared" ref="QPS24" si="6095">$C$24*QPQ24</f>
        <v>100000</v>
      </c>
      <c r="QPU24" s="906">
        <f t="shared" ref="QPU24" si="6096">$C$24*QPS24</f>
        <v>100000</v>
      </c>
      <c r="QPW24" s="906">
        <f t="shared" ref="QPW24" si="6097">$C$24*QPU24</f>
        <v>100000</v>
      </c>
      <c r="QPY24" s="906">
        <f t="shared" ref="QPY24" si="6098">$C$24*QPW24</f>
        <v>100000</v>
      </c>
      <c r="QQA24" s="906">
        <f t="shared" ref="QQA24" si="6099">$C$24*QPY24</f>
        <v>100000</v>
      </c>
      <c r="QQC24" s="906">
        <f t="shared" ref="QQC24" si="6100">$C$24*QQA24</f>
        <v>100000</v>
      </c>
      <c r="QQE24" s="906">
        <f t="shared" ref="QQE24" si="6101">$C$24*QQC24</f>
        <v>100000</v>
      </c>
      <c r="QQG24" s="906">
        <f t="shared" ref="QQG24" si="6102">$C$24*QQE24</f>
        <v>100000</v>
      </c>
      <c r="QQI24" s="906">
        <f t="shared" ref="QQI24" si="6103">$C$24*QQG24</f>
        <v>100000</v>
      </c>
      <c r="QQK24" s="906">
        <f t="shared" ref="QQK24" si="6104">$C$24*QQI24</f>
        <v>100000</v>
      </c>
      <c r="QQM24" s="906">
        <f t="shared" ref="QQM24" si="6105">$C$24*QQK24</f>
        <v>100000</v>
      </c>
      <c r="QQO24" s="906">
        <f t="shared" ref="QQO24" si="6106">$C$24*QQM24</f>
        <v>100000</v>
      </c>
      <c r="QQQ24" s="906">
        <f t="shared" ref="QQQ24" si="6107">$C$24*QQO24</f>
        <v>100000</v>
      </c>
      <c r="QQS24" s="906">
        <f t="shared" ref="QQS24" si="6108">$C$24*QQQ24</f>
        <v>100000</v>
      </c>
      <c r="QQU24" s="906">
        <f t="shared" ref="QQU24" si="6109">$C$24*QQS24</f>
        <v>100000</v>
      </c>
      <c r="QQW24" s="906">
        <f t="shared" ref="QQW24" si="6110">$C$24*QQU24</f>
        <v>100000</v>
      </c>
      <c r="QQY24" s="906">
        <f t="shared" ref="QQY24" si="6111">$C$24*QQW24</f>
        <v>100000</v>
      </c>
      <c r="QRA24" s="906">
        <f t="shared" ref="QRA24" si="6112">$C$24*QQY24</f>
        <v>100000</v>
      </c>
      <c r="QRC24" s="906">
        <f t="shared" ref="QRC24" si="6113">$C$24*QRA24</f>
        <v>100000</v>
      </c>
      <c r="QRE24" s="906">
        <f t="shared" ref="QRE24" si="6114">$C$24*QRC24</f>
        <v>100000</v>
      </c>
      <c r="QRG24" s="906">
        <f t="shared" ref="QRG24" si="6115">$C$24*QRE24</f>
        <v>100000</v>
      </c>
      <c r="QRI24" s="906">
        <f t="shared" ref="QRI24" si="6116">$C$24*QRG24</f>
        <v>100000</v>
      </c>
      <c r="QRK24" s="906">
        <f t="shared" ref="QRK24" si="6117">$C$24*QRI24</f>
        <v>100000</v>
      </c>
      <c r="QRM24" s="906">
        <f t="shared" ref="QRM24" si="6118">$C$24*QRK24</f>
        <v>100000</v>
      </c>
      <c r="QRO24" s="906">
        <f t="shared" ref="QRO24" si="6119">$C$24*QRM24</f>
        <v>100000</v>
      </c>
      <c r="QRQ24" s="906">
        <f t="shared" ref="QRQ24" si="6120">$C$24*QRO24</f>
        <v>100000</v>
      </c>
      <c r="QRS24" s="906">
        <f t="shared" ref="QRS24" si="6121">$C$24*QRQ24</f>
        <v>100000</v>
      </c>
      <c r="QRU24" s="906">
        <f t="shared" ref="QRU24" si="6122">$C$24*QRS24</f>
        <v>100000</v>
      </c>
      <c r="QRW24" s="906">
        <f t="shared" ref="QRW24" si="6123">$C$24*QRU24</f>
        <v>100000</v>
      </c>
      <c r="QRY24" s="906">
        <f t="shared" ref="QRY24" si="6124">$C$24*QRW24</f>
        <v>100000</v>
      </c>
      <c r="QSA24" s="906">
        <f t="shared" ref="QSA24" si="6125">$C$24*QRY24</f>
        <v>100000</v>
      </c>
      <c r="QSC24" s="906">
        <f t="shared" ref="QSC24" si="6126">$C$24*QSA24</f>
        <v>100000</v>
      </c>
      <c r="QSE24" s="906">
        <f t="shared" ref="QSE24" si="6127">$C$24*QSC24</f>
        <v>100000</v>
      </c>
      <c r="QSG24" s="906">
        <f t="shared" ref="QSG24" si="6128">$C$24*QSE24</f>
        <v>100000</v>
      </c>
      <c r="QSI24" s="906">
        <f t="shared" ref="QSI24" si="6129">$C$24*QSG24</f>
        <v>100000</v>
      </c>
      <c r="QSK24" s="906">
        <f t="shared" ref="QSK24" si="6130">$C$24*QSI24</f>
        <v>100000</v>
      </c>
      <c r="QSM24" s="906">
        <f t="shared" ref="QSM24" si="6131">$C$24*QSK24</f>
        <v>100000</v>
      </c>
      <c r="QSO24" s="906">
        <f t="shared" ref="QSO24" si="6132">$C$24*QSM24</f>
        <v>100000</v>
      </c>
      <c r="QSQ24" s="906">
        <f t="shared" ref="QSQ24" si="6133">$C$24*QSO24</f>
        <v>100000</v>
      </c>
      <c r="QSS24" s="906">
        <f t="shared" ref="QSS24" si="6134">$C$24*QSQ24</f>
        <v>100000</v>
      </c>
      <c r="QSU24" s="906">
        <f t="shared" ref="QSU24" si="6135">$C$24*QSS24</f>
        <v>100000</v>
      </c>
      <c r="QSW24" s="906">
        <f t="shared" ref="QSW24" si="6136">$C$24*QSU24</f>
        <v>100000</v>
      </c>
      <c r="QSY24" s="906">
        <f t="shared" ref="QSY24" si="6137">$C$24*QSW24</f>
        <v>100000</v>
      </c>
      <c r="QTA24" s="906">
        <f t="shared" ref="QTA24" si="6138">$C$24*QSY24</f>
        <v>100000</v>
      </c>
      <c r="QTC24" s="906">
        <f t="shared" ref="QTC24" si="6139">$C$24*QTA24</f>
        <v>100000</v>
      </c>
      <c r="QTE24" s="906">
        <f t="shared" ref="QTE24" si="6140">$C$24*QTC24</f>
        <v>100000</v>
      </c>
      <c r="QTG24" s="906">
        <f t="shared" ref="QTG24" si="6141">$C$24*QTE24</f>
        <v>100000</v>
      </c>
      <c r="QTI24" s="906">
        <f t="shared" ref="QTI24" si="6142">$C$24*QTG24</f>
        <v>100000</v>
      </c>
      <c r="QTK24" s="906">
        <f t="shared" ref="QTK24" si="6143">$C$24*QTI24</f>
        <v>100000</v>
      </c>
      <c r="QTM24" s="906">
        <f t="shared" ref="QTM24" si="6144">$C$24*QTK24</f>
        <v>100000</v>
      </c>
      <c r="QTO24" s="906">
        <f t="shared" ref="QTO24" si="6145">$C$24*QTM24</f>
        <v>100000</v>
      </c>
      <c r="QTQ24" s="906">
        <f t="shared" ref="QTQ24" si="6146">$C$24*QTO24</f>
        <v>100000</v>
      </c>
      <c r="QTS24" s="906">
        <f t="shared" ref="QTS24" si="6147">$C$24*QTQ24</f>
        <v>100000</v>
      </c>
      <c r="QTU24" s="906">
        <f t="shared" ref="QTU24" si="6148">$C$24*QTS24</f>
        <v>100000</v>
      </c>
      <c r="QTW24" s="906">
        <f t="shared" ref="QTW24" si="6149">$C$24*QTU24</f>
        <v>100000</v>
      </c>
      <c r="QTY24" s="906">
        <f t="shared" ref="QTY24" si="6150">$C$24*QTW24</f>
        <v>100000</v>
      </c>
      <c r="QUA24" s="906">
        <f t="shared" ref="QUA24" si="6151">$C$24*QTY24</f>
        <v>100000</v>
      </c>
      <c r="QUC24" s="906">
        <f t="shared" ref="QUC24" si="6152">$C$24*QUA24</f>
        <v>100000</v>
      </c>
      <c r="QUE24" s="906">
        <f t="shared" ref="QUE24" si="6153">$C$24*QUC24</f>
        <v>100000</v>
      </c>
      <c r="QUG24" s="906">
        <f t="shared" ref="QUG24" si="6154">$C$24*QUE24</f>
        <v>100000</v>
      </c>
      <c r="QUI24" s="906">
        <f t="shared" ref="QUI24" si="6155">$C$24*QUG24</f>
        <v>100000</v>
      </c>
      <c r="QUK24" s="906">
        <f t="shared" ref="QUK24" si="6156">$C$24*QUI24</f>
        <v>100000</v>
      </c>
      <c r="QUM24" s="906">
        <f t="shared" ref="QUM24" si="6157">$C$24*QUK24</f>
        <v>100000</v>
      </c>
      <c r="QUO24" s="906">
        <f t="shared" ref="QUO24" si="6158">$C$24*QUM24</f>
        <v>100000</v>
      </c>
      <c r="QUQ24" s="906">
        <f t="shared" ref="QUQ24" si="6159">$C$24*QUO24</f>
        <v>100000</v>
      </c>
      <c r="QUS24" s="906">
        <f t="shared" ref="QUS24" si="6160">$C$24*QUQ24</f>
        <v>100000</v>
      </c>
      <c r="QUU24" s="906">
        <f t="shared" ref="QUU24" si="6161">$C$24*QUS24</f>
        <v>100000</v>
      </c>
      <c r="QUW24" s="906">
        <f t="shared" ref="QUW24" si="6162">$C$24*QUU24</f>
        <v>100000</v>
      </c>
      <c r="QUY24" s="906">
        <f t="shared" ref="QUY24" si="6163">$C$24*QUW24</f>
        <v>100000</v>
      </c>
      <c r="QVA24" s="906">
        <f t="shared" ref="QVA24" si="6164">$C$24*QUY24</f>
        <v>100000</v>
      </c>
      <c r="QVC24" s="906">
        <f t="shared" ref="QVC24" si="6165">$C$24*QVA24</f>
        <v>100000</v>
      </c>
      <c r="QVE24" s="906">
        <f t="shared" ref="QVE24" si="6166">$C$24*QVC24</f>
        <v>100000</v>
      </c>
      <c r="QVG24" s="906">
        <f t="shared" ref="QVG24" si="6167">$C$24*QVE24</f>
        <v>100000</v>
      </c>
      <c r="QVI24" s="906">
        <f t="shared" ref="QVI24" si="6168">$C$24*QVG24</f>
        <v>100000</v>
      </c>
      <c r="QVK24" s="906">
        <f t="shared" ref="QVK24" si="6169">$C$24*QVI24</f>
        <v>100000</v>
      </c>
      <c r="QVM24" s="906">
        <f t="shared" ref="QVM24" si="6170">$C$24*QVK24</f>
        <v>100000</v>
      </c>
      <c r="QVO24" s="906">
        <f t="shared" ref="QVO24" si="6171">$C$24*QVM24</f>
        <v>100000</v>
      </c>
      <c r="QVQ24" s="906">
        <f t="shared" ref="QVQ24" si="6172">$C$24*QVO24</f>
        <v>100000</v>
      </c>
      <c r="QVS24" s="906">
        <f t="shared" ref="QVS24" si="6173">$C$24*QVQ24</f>
        <v>100000</v>
      </c>
      <c r="QVU24" s="906">
        <f t="shared" ref="QVU24" si="6174">$C$24*QVS24</f>
        <v>100000</v>
      </c>
      <c r="QVW24" s="906">
        <f t="shared" ref="QVW24" si="6175">$C$24*QVU24</f>
        <v>100000</v>
      </c>
      <c r="QVY24" s="906">
        <f t="shared" ref="QVY24" si="6176">$C$24*QVW24</f>
        <v>100000</v>
      </c>
      <c r="QWA24" s="906">
        <f t="shared" ref="QWA24" si="6177">$C$24*QVY24</f>
        <v>100000</v>
      </c>
      <c r="QWC24" s="906">
        <f t="shared" ref="QWC24" si="6178">$C$24*QWA24</f>
        <v>100000</v>
      </c>
      <c r="QWE24" s="906">
        <f t="shared" ref="QWE24" si="6179">$C$24*QWC24</f>
        <v>100000</v>
      </c>
      <c r="QWG24" s="906">
        <f t="shared" ref="QWG24" si="6180">$C$24*QWE24</f>
        <v>100000</v>
      </c>
      <c r="QWI24" s="906">
        <f t="shared" ref="QWI24" si="6181">$C$24*QWG24</f>
        <v>100000</v>
      </c>
      <c r="QWK24" s="906">
        <f t="shared" ref="QWK24" si="6182">$C$24*QWI24</f>
        <v>100000</v>
      </c>
      <c r="QWM24" s="906">
        <f t="shared" ref="QWM24" si="6183">$C$24*QWK24</f>
        <v>100000</v>
      </c>
      <c r="QWO24" s="906">
        <f t="shared" ref="QWO24" si="6184">$C$24*QWM24</f>
        <v>100000</v>
      </c>
      <c r="QWQ24" s="906">
        <f t="shared" ref="QWQ24" si="6185">$C$24*QWO24</f>
        <v>100000</v>
      </c>
      <c r="QWS24" s="906">
        <f t="shared" ref="QWS24" si="6186">$C$24*QWQ24</f>
        <v>100000</v>
      </c>
      <c r="QWU24" s="906">
        <f t="shared" ref="QWU24" si="6187">$C$24*QWS24</f>
        <v>100000</v>
      </c>
      <c r="QWW24" s="906">
        <f t="shared" ref="QWW24" si="6188">$C$24*QWU24</f>
        <v>100000</v>
      </c>
      <c r="QWY24" s="906">
        <f t="shared" ref="QWY24" si="6189">$C$24*QWW24</f>
        <v>100000</v>
      </c>
      <c r="QXA24" s="906">
        <f t="shared" ref="QXA24" si="6190">$C$24*QWY24</f>
        <v>100000</v>
      </c>
      <c r="QXC24" s="906">
        <f t="shared" ref="QXC24" si="6191">$C$24*QXA24</f>
        <v>100000</v>
      </c>
      <c r="QXE24" s="906">
        <f t="shared" ref="QXE24" si="6192">$C$24*QXC24</f>
        <v>100000</v>
      </c>
      <c r="QXG24" s="906">
        <f t="shared" ref="QXG24" si="6193">$C$24*QXE24</f>
        <v>100000</v>
      </c>
      <c r="QXI24" s="906">
        <f t="shared" ref="QXI24" si="6194">$C$24*QXG24</f>
        <v>100000</v>
      </c>
      <c r="QXK24" s="906">
        <f t="shared" ref="QXK24" si="6195">$C$24*QXI24</f>
        <v>100000</v>
      </c>
      <c r="QXM24" s="906">
        <f t="shared" ref="QXM24" si="6196">$C$24*QXK24</f>
        <v>100000</v>
      </c>
      <c r="QXO24" s="906">
        <f t="shared" ref="QXO24" si="6197">$C$24*QXM24</f>
        <v>100000</v>
      </c>
      <c r="QXQ24" s="906">
        <f t="shared" ref="QXQ24" si="6198">$C$24*QXO24</f>
        <v>100000</v>
      </c>
      <c r="QXS24" s="906">
        <f t="shared" ref="QXS24" si="6199">$C$24*QXQ24</f>
        <v>100000</v>
      </c>
      <c r="QXU24" s="906">
        <f t="shared" ref="QXU24" si="6200">$C$24*QXS24</f>
        <v>100000</v>
      </c>
      <c r="QXW24" s="906">
        <f t="shared" ref="QXW24" si="6201">$C$24*QXU24</f>
        <v>100000</v>
      </c>
      <c r="QXY24" s="906">
        <f t="shared" ref="QXY24" si="6202">$C$24*QXW24</f>
        <v>100000</v>
      </c>
      <c r="QYA24" s="906">
        <f t="shared" ref="QYA24" si="6203">$C$24*QXY24</f>
        <v>100000</v>
      </c>
      <c r="QYC24" s="906">
        <f t="shared" ref="QYC24" si="6204">$C$24*QYA24</f>
        <v>100000</v>
      </c>
      <c r="QYE24" s="906">
        <f t="shared" ref="QYE24" si="6205">$C$24*QYC24</f>
        <v>100000</v>
      </c>
      <c r="QYG24" s="906">
        <f t="shared" ref="QYG24" si="6206">$C$24*QYE24</f>
        <v>100000</v>
      </c>
      <c r="QYI24" s="906">
        <f t="shared" ref="QYI24" si="6207">$C$24*QYG24</f>
        <v>100000</v>
      </c>
      <c r="QYK24" s="906">
        <f t="shared" ref="QYK24" si="6208">$C$24*QYI24</f>
        <v>100000</v>
      </c>
      <c r="QYM24" s="906">
        <f t="shared" ref="QYM24" si="6209">$C$24*QYK24</f>
        <v>100000</v>
      </c>
      <c r="QYO24" s="906">
        <f t="shared" ref="QYO24" si="6210">$C$24*QYM24</f>
        <v>100000</v>
      </c>
      <c r="QYQ24" s="906">
        <f t="shared" ref="QYQ24" si="6211">$C$24*QYO24</f>
        <v>100000</v>
      </c>
      <c r="QYS24" s="906">
        <f t="shared" ref="QYS24" si="6212">$C$24*QYQ24</f>
        <v>100000</v>
      </c>
      <c r="QYU24" s="906">
        <f t="shared" ref="QYU24" si="6213">$C$24*QYS24</f>
        <v>100000</v>
      </c>
      <c r="QYW24" s="906">
        <f t="shared" ref="QYW24" si="6214">$C$24*QYU24</f>
        <v>100000</v>
      </c>
      <c r="QYY24" s="906">
        <f t="shared" ref="QYY24" si="6215">$C$24*QYW24</f>
        <v>100000</v>
      </c>
      <c r="QZA24" s="906">
        <f t="shared" ref="QZA24" si="6216">$C$24*QYY24</f>
        <v>100000</v>
      </c>
      <c r="QZC24" s="906">
        <f t="shared" ref="QZC24" si="6217">$C$24*QZA24</f>
        <v>100000</v>
      </c>
      <c r="QZE24" s="906">
        <f t="shared" ref="QZE24" si="6218">$C$24*QZC24</f>
        <v>100000</v>
      </c>
      <c r="QZG24" s="906">
        <f t="shared" ref="QZG24" si="6219">$C$24*QZE24</f>
        <v>100000</v>
      </c>
      <c r="QZI24" s="906">
        <f t="shared" ref="QZI24" si="6220">$C$24*QZG24</f>
        <v>100000</v>
      </c>
      <c r="QZK24" s="906">
        <f t="shared" ref="QZK24" si="6221">$C$24*QZI24</f>
        <v>100000</v>
      </c>
      <c r="QZM24" s="906">
        <f t="shared" ref="QZM24" si="6222">$C$24*QZK24</f>
        <v>100000</v>
      </c>
      <c r="QZO24" s="906">
        <f t="shared" ref="QZO24" si="6223">$C$24*QZM24</f>
        <v>100000</v>
      </c>
      <c r="QZQ24" s="906">
        <f t="shared" ref="QZQ24" si="6224">$C$24*QZO24</f>
        <v>100000</v>
      </c>
      <c r="QZS24" s="906">
        <f t="shared" ref="QZS24" si="6225">$C$24*QZQ24</f>
        <v>100000</v>
      </c>
      <c r="QZU24" s="906">
        <f t="shared" ref="QZU24" si="6226">$C$24*QZS24</f>
        <v>100000</v>
      </c>
      <c r="QZW24" s="906">
        <f t="shared" ref="QZW24" si="6227">$C$24*QZU24</f>
        <v>100000</v>
      </c>
      <c r="QZY24" s="906">
        <f t="shared" ref="QZY24" si="6228">$C$24*QZW24</f>
        <v>100000</v>
      </c>
      <c r="RAA24" s="906">
        <f t="shared" ref="RAA24" si="6229">$C$24*QZY24</f>
        <v>100000</v>
      </c>
      <c r="RAC24" s="906">
        <f t="shared" ref="RAC24" si="6230">$C$24*RAA24</f>
        <v>100000</v>
      </c>
      <c r="RAE24" s="906">
        <f t="shared" ref="RAE24" si="6231">$C$24*RAC24</f>
        <v>100000</v>
      </c>
      <c r="RAG24" s="906">
        <f t="shared" ref="RAG24" si="6232">$C$24*RAE24</f>
        <v>100000</v>
      </c>
      <c r="RAI24" s="906">
        <f t="shared" ref="RAI24" si="6233">$C$24*RAG24</f>
        <v>100000</v>
      </c>
      <c r="RAK24" s="906">
        <f t="shared" ref="RAK24" si="6234">$C$24*RAI24</f>
        <v>100000</v>
      </c>
      <c r="RAM24" s="906">
        <f t="shared" ref="RAM24" si="6235">$C$24*RAK24</f>
        <v>100000</v>
      </c>
      <c r="RAO24" s="906">
        <f t="shared" ref="RAO24" si="6236">$C$24*RAM24</f>
        <v>100000</v>
      </c>
      <c r="RAQ24" s="906">
        <f t="shared" ref="RAQ24" si="6237">$C$24*RAO24</f>
        <v>100000</v>
      </c>
      <c r="RAS24" s="906">
        <f t="shared" ref="RAS24" si="6238">$C$24*RAQ24</f>
        <v>100000</v>
      </c>
      <c r="RAU24" s="906">
        <f t="shared" ref="RAU24" si="6239">$C$24*RAS24</f>
        <v>100000</v>
      </c>
      <c r="RAW24" s="906">
        <f t="shared" ref="RAW24" si="6240">$C$24*RAU24</f>
        <v>100000</v>
      </c>
      <c r="RAY24" s="906">
        <f t="shared" ref="RAY24" si="6241">$C$24*RAW24</f>
        <v>100000</v>
      </c>
      <c r="RBA24" s="906">
        <f t="shared" ref="RBA24" si="6242">$C$24*RAY24</f>
        <v>100000</v>
      </c>
      <c r="RBC24" s="906">
        <f t="shared" ref="RBC24" si="6243">$C$24*RBA24</f>
        <v>100000</v>
      </c>
      <c r="RBE24" s="906">
        <f t="shared" ref="RBE24" si="6244">$C$24*RBC24</f>
        <v>100000</v>
      </c>
      <c r="RBG24" s="906">
        <f t="shared" ref="RBG24" si="6245">$C$24*RBE24</f>
        <v>100000</v>
      </c>
      <c r="RBI24" s="906">
        <f t="shared" ref="RBI24" si="6246">$C$24*RBG24</f>
        <v>100000</v>
      </c>
      <c r="RBK24" s="906">
        <f t="shared" ref="RBK24" si="6247">$C$24*RBI24</f>
        <v>100000</v>
      </c>
      <c r="RBM24" s="906">
        <f t="shared" ref="RBM24" si="6248">$C$24*RBK24</f>
        <v>100000</v>
      </c>
      <c r="RBO24" s="906">
        <f t="shared" ref="RBO24" si="6249">$C$24*RBM24</f>
        <v>100000</v>
      </c>
      <c r="RBQ24" s="906">
        <f t="shared" ref="RBQ24" si="6250">$C$24*RBO24</f>
        <v>100000</v>
      </c>
      <c r="RBS24" s="906">
        <f t="shared" ref="RBS24" si="6251">$C$24*RBQ24</f>
        <v>100000</v>
      </c>
      <c r="RBU24" s="906">
        <f t="shared" ref="RBU24" si="6252">$C$24*RBS24</f>
        <v>100000</v>
      </c>
      <c r="RBW24" s="906">
        <f t="shared" ref="RBW24" si="6253">$C$24*RBU24</f>
        <v>100000</v>
      </c>
      <c r="RBY24" s="906">
        <f t="shared" ref="RBY24" si="6254">$C$24*RBW24</f>
        <v>100000</v>
      </c>
      <c r="RCA24" s="906">
        <f t="shared" ref="RCA24" si="6255">$C$24*RBY24</f>
        <v>100000</v>
      </c>
      <c r="RCC24" s="906">
        <f t="shared" ref="RCC24" si="6256">$C$24*RCA24</f>
        <v>100000</v>
      </c>
      <c r="RCE24" s="906">
        <f t="shared" ref="RCE24" si="6257">$C$24*RCC24</f>
        <v>100000</v>
      </c>
      <c r="RCG24" s="906">
        <f t="shared" ref="RCG24" si="6258">$C$24*RCE24</f>
        <v>100000</v>
      </c>
      <c r="RCI24" s="906">
        <f t="shared" ref="RCI24" si="6259">$C$24*RCG24</f>
        <v>100000</v>
      </c>
      <c r="RCK24" s="906">
        <f t="shared" ref="RCK24" si="6260">$C$24*RCI24</f>
        <v>100000</v>
      </c>
      <c r="RCM24" s="906">
        <f t="shared" ref="RCM24" si="6261">$C$24*RCK24</f>
        <v>100000</v>
      </c>
      <c r="RCO24" s="906">
        <f t="shared" ref="RCO24" si="6262">$C$24*RCM24</f>
        <v>100000</v>
      </c>
      <c r="RCQ24" s="906">
        <f t="shared" ref="RCQ24" si="6263">$C$24*RCO24</f>
        <v>100000</v>
      </c>
      <c r="RCS24" s="906">
        <f t="shared" ref="RCS24" si="6264">$C$24*RCQ24</f>
        <v>100000</v>
      </c>
      <c r="RCU24" s="906">
        <f t="shared" ref="RCU24" si="6265">$C$24*RCS24</f>
        <v>100000</v>
      </c>
      <c r="RCW24" s="906">
        <f t="shared" ref="RCW24" si="6266">$C$24*RCU24</f>
        <v>100000</v>
      </c>
      <c r="RCY24" s="906">
        <f t="shared" ref="RCY24" si="6267">$C$24*RCW24</f>
        <v>100000</v>
      </c>
      <c r="RDA24" s="906">
        <f t="shared" ref="RDA24" si="6268">$C$24*RCY24</f>
        <v>100000</v>
      </c>
      <c r="RDC24" s="906">
        <f t="shared" ref="RDC24" si="6269">$C$24*RDA24</f>
        <v>100000</v>
      </c>
      <c r="RDE24" s="906">
        <f t="shared" ref="RDE24" si="6270">$C$24*RDC24</f>
        <v>100000</v>
      </c>
      <c r="RDG24" s="906">
        <f t="shared" ref="RDG24" si="6271">$C$24*RDE24</f>
        <v>100000</v>
      </c>
      <c r="RDI24" s="906">
        <f t="shared" ref="RDI24" si="6272">$C$24*RDG24</f>
        <v>100000</v>
      </c>
      <c r="RDK24" s="906">
        <f t="shared" ref="RDK24" si="6273">$C$24*RDI24</f>
        <v>100000</v>
      </c>
      <c r="RDM24" s="906">
        <f t="shared" ref="RDM24" si="6274">$C$24*RDK24</f>
        <v>100000</v>
      </c>
      <c r="RDO24" s="906">
        <f t="shared" ref="RDO24" si="6275">$C$24*RDM24</f>
        <v>100000</v>
      </c>
      <c r="RDQ24" s="906">
        <f t="shared" ref="RDQ24" si="6276">$C$24*RDO24</f>
        <v>100000</v>
      </c>
      <c r="RDS24" s="906">
        <f t="shared" ref="RDS24" si="6277">$C$24*RDQ24</f>
        <v>100000</v>
      </c>
      <c r="RDU24" s="906">
        <f t="shared" ref="RDU24" si="6278">$C$24*RDS24</f>
        <v>100000</v>
      </c>
      <c r="RDW24" s="906">
        <f t="shared" ref="RDW24" si="6279">$C$24*RDU24</f>
        <v>100000</v>
      </c>
      <c r="RDY24" s="906">
        <f t="shared" ref="RDY24" si="6280">$C$24*RDW24</f>
        <v>100000</v>
      </c>
      <c r="REA24" s="906">
        <f t="shared" ref="REA24" si="6281">$C$24*RDY24</f>
        <v>100000</v>
      </c>
      <c r="REC24" s="906">
        <f t="shared" ref="REC24" si="6282">$C$24*REA24</f>
        <v>100000</v>
      </c>
      <c r="REE24" s="906">
        <f t="shared" ref="REE24" si="6283">$C$24*REC24</f>
        <v>100000</v>
      </c>
      <c r="REG24" s="906">
        <f t="shared" ref="REG24" si="6284">$C$24*REE24</f>
        <v>100000</v>
      </c>
      <c r="REI24" s="906">
        <f t="shared" ref="REI24" si="6285">$C$24*REG24</f>
        <v>100000</v>
      </c>
      <c r="REK24" s="906">
        <f t="shared" ref="REK24" si="6286">$C$24*REI24</f>
        <v>100000</v>
      </c>
      <c r="REM24" s="906">
        <f t="shared" ref="REM24" si="6287">$C$24*REK24</f>
        <v>100000</v>
      </c>
      <c r="REO24" s="906">
        <f t="shared" ref="REO24" si="6288">$C$24*REM24</f>
        <v>100000</v>
      </c>
      <c r="REQ24" s="906">
        <f t="shared" ref="REQ24" si="6289">$C$24*REO24</f>
        <v>100000</v>
      </c>
      <c r="RES24" s="906">
        <f t="shared" ref="RES24" si="6290">$C$24*REQ24</f>
        <v>100000</v>
      </c>
      <c r="REU24" s="906">
        <f t="shared" ref="REU24" si="6291">$C$24*RES24</f>
        <v>100000</v>
      </c>
      <c r="REW24" s="906">
        <f t="shared" ref="REW24" si="6292">$C$24*REU24</f>
        <v>100000</v>
      </c>
      <c r="REY24" s="906">
        <f t="shared" ref="REY24" si="6293">$C$24*REW24</f>
        <v>100000</v>
      </c>
      <c r="RFA24" s="906">
        <f t="shared" ref="RFA24" si="6294">$C$24*REY24</f>
        <v>100000</v>
      </c>
      <c r="RFC24" s="906">
        <f t="shared" ref="RFC24" si="6295">$C$24*RFA24</f>
        <v>100000</v>
      </c>
      <c r="RFE24" s="906">
        <f t="shared" ref="RFE24" si="6296">$C$24*RFC24</f>
        <v>100000</v>
      </c>
      <c r="RFG24" s="906">
        <f t="shared" ref="RFG24" si="6297">$C$24*RFE24</f>
        <v>100000</v>
      </c>
      <c r="RFI24" s="906">
        <f t="shared" ref="RFI24" si="6298">$C$24*RFG24</f>
        <v>100000</v>
      </c>
      <c r="RFK24" s="906">
        <f t="shared" ref="RFK24" si="6299">$C$24*RFI24</f>
        <v>100000</v>
      </c>
      <c r="RFM24" s="906">
        <f t="shared" ref="RFM24" si="6300">$C$24*RFK24</f>
        <v>100000</v>
      </c>
      <c r="RFO24" s="906">
        <f t="shared" ref="RFO24" si="6301">$C$24*RFM24</f>
        <v>100000</v>
      </c>
      <c r="RFQ24" s="906">
        <f t="shared" ref="RFQ24" si="6302">$C$24*RFO24</f>
        <v>100000</v>
      </c>
      <c r="RFS24" s="906">
        <f t="shared" ref="RFS24" si="6303">$C$24*RFQ24</f>
        <v>100000</v>
      </c>
      <c r="RFU24" s="906">
        <f t="shared" ref="RFU24" si="6304">$C$24*RFS24</f>
        <v>100000</v>
      </c>
      <c r="RFW24" s="906">
        <f t="shared" ref="RFW24" si="6305">$C$24*RFU24</f>
        <v>100000</v>
      </c>
      <c r="RFY24" s="906">
        <f t="shared" ref="RFY24" si="6306">$C$24*RFW24</f>
        <v>100000</v>
      </c>
      <c r="RGA24" s="906">
        <f t="shared" ref="RGA24" si="6307">$C$24*RFY24</f>
        <v>100000</v>
      </c>
      <c r="RGC24" s="906">
        <f t="shared" ref="RGC24" si="6308">$C$24*RGA24</f>
        <v>100000</v>
      </c>
      <c r="RGE24" s="906">
        <f t="shared" ref="RGE24" si="6309">$C$24*RGC24</f>
        <v>100000</v>
      </c>
      <c r="RGG24" s="906">
        <f t="shared" ref="RGG24" si="6310">$C$24*RGE24</f>
        <v>100000</v>
      </c>
      <c r="RGI24" s="906">
        <f t="shared" ref="RGI24" si="6311">$C$24*RGG24</f>
        <v>100000</v>
      </c>
      <c r="RGK24" s="906">
        <f t="shared" ref="RGK24" si="6312">$C$24*RGI24</f>
        <v>100000</v>
      </c>
      <c r="RGM24" s="906">
        <f t="shared" ref="RGM24" si="6313">$C$24*RGK24</f>
        <v>100000</v>
      </c>
      <c r="RGO24" s="906">
        <f t="shared" ref="RGO24" si="6314">$C$24*RGM24</f>
        <v>100000</v>
      </c>
      <c r="RGQ24" s="906">
        <f t="shared" ref="RGQ24" si="6315">$C$24*RGO24</f>
        <v>100000</v>
      </c>
      <c r="RGS24" s="906">
        <f t="shared" ref="RGS24" si="6316">$C$24*RGQ24</f>
        <v>100000</v>
      </c>
      <c r="RGU24" s="906">
        <f t="shared" ref="RGU24" si="6317">$C$24*RGS24</f>
        <v>100000</v>
      </c>
      <c r="RGW24" s="906">
        <f t="shared" ref="RGW24" si="6318">$C$24*RGU24</f>
        <v>100000</v>
      </c>
      <c r="RGY24" s="906">
        <f t="shared" ref="RGY24" si="6319">$C$24*RGW24</f>
        <v>100000</v>
      </c>
      <c r="RHA24" s="906">
        <f t="shared" ref="RHA24" si="6320">$C$24*RGY24</f>
        <v>100000</v>
      </c>
      <c r="RHC24" s="906">
        <f t="shared" ref="RHC24" si="6321">$C$24*RHA24</f>
        <v>100000</v>
      </c>
      <c r="RHE24" s="906">
        <f t="shared" ref="RHE24" si="6322">$C$24*RHC24</f>
        <v>100000</v>
      </c>
      <c r="RHG24" s="906">
        <f t="shared" ref="RHG24" si="6323">$C$24*RHE24</f>
        <v>100000</v>
      </c>
      <c r="RHI24" s="906">
        <f t="shared" ref="RHI24" si="6324">$C$24*RHG24</f>
        <v>100000</v>
      </c>
      <c r="RHK24" s="906">
        <f t="shared" ref="RHK24" si="6325">$C$24*RHI24</f>
        <v>100000</v>
      </c>
      <c r="RHM24" s="906">
        <f t="shared" ref="RHM24" si="6326">$C$24*RHK24</f>
        <v>100000</v>
      </c>
      <c r="RHO24" s="906">
        <f t="shared" ref="RHO24" si="6327">$C$24*RHM24</f>
        <v>100000</v>
      </c>
      <c r="RHQ24" s="906">
        <f t="shared" ref="RHQ24" si="6328">$C$24*RHO24</f>
        <v>100000</v>
      </c>
      <c r="RHS24" s="906">
        <f t="shared" ref="RHS24" si="6329">$C$24*RHQ24</f>
        <v>100000</v>
      </c>
      <c r="RHU24" s="906">
        <f t="shared" ref="RHU24" si="6330">$C$24*RHS24</f>
        <v>100000</v>
      </c>
      <c r="RHW24" s="906">
        <f t="shared" ref="RHW24" si="6331">$C$24*RHU24</f>
        <v>100000</v>
      </c>
      <c r="RHY24" s="906">
        <f t="shared" ref="RHY24" si="6332">$C$24*RHW24</f>
        <v>100000</v>
      </c>
      <c r="RIA24" s="906">
        <f t="shared" ref="RIA24" si="6333">$C$24*RHY24</f>
        <v>100000</v>
      </c>
      <c r="RIC24" s="906">
        <f t="shared" ref="RIC24" si="6334">$C$24*RIA24</f>
        <v>100000</v>
      </c>
      <c r="RIE24" s="906">
        <f t="shared" ref="RIE24" si="6335">$C$24*RIC24</f>
        <v>100000</v>
      </c>
      <c r="RIG24" s="906">
        <f t="shared" ref="RIG24" si="6336">$C$24*RIE24</f>
        <v>100000</v>
      </c>
      <c r="RII24" s="906">
        <f t="shared" ref="RII24" si="6337">$C$24*RIG24</f>
        <v>100000</v>
      </c>
      <c r="RIK24" s="906">
        <f t="shared" ref="RIK24" si="6338">$C$24*RII24</f>
        <v>100000</v>
      </c>
      <c r="RIM24" s="906">
        <f t="shared" ref="RIM24" si="6339">$C$24*RIK24</f>
        <v>100000</v>
      </c>
      <c r="RIO24" s="906">
        <f t="shared" ref="RIO24" si="6340">$C$24*RIM24</f>
        <v>100000</v>
      </c>
      <c r="RIQ24" s="906">
        <f t="shared" ref="RIQ24" si="6341">$C$24*RIO24</f>
        <v>100000</v>
      </c>
      <c r="RIS24" s="906">
        <f t="shared" ref="RIS24" si="6342">$C$24*RIQ24</f>
        <v>100000</v>
      </c>
      <c r="RIU24" s="906">
        <f t="shared" ref="RIU24" si="6343">$C$24*RIS24</f>
        <v>100000</v>
      </c>
      <c r="RIW24" s="906">
        <f t="shared" ref="RIW24" si="6344">$C$24*RIU24</f>
        <v>100000</v>
      </c>
      <c r="RIY24" s="906">
        <f t="shared" ref="RIY24" si="6345">$C$24*RIW24</f>
        <v>100000</v>
      </c>
      <c r="RJA24" s="906">
        <f t="shared" ref="RJA24" si="6346">$C$24*RIY24</f>
        <v>100000</v>
      </c>
      <c r="RJC24" s="906">
        <f t="shared" ref="RJC24" si="6347">$C$24*RJA24</f>
        <v>100000</v>
      </c>
      <c r="RJE24" s="906">
        <f t="shared" ref="RJE24" si="6348">$C$24*RJC24</f>
        <v>100000</v>
      </c>
      <c r="RJG24" s="906">
        <f t="shared" ref="RJG24" si="6349">$C$24*RJE24</f>
        <v>100000</v>
      </c>
      <c r="RJI24" s="906">
        <f t="shared" ref="RJI24" si="6350">$C$24*RJG24</f>
        <v>100000</v>
      </c>
      <c r="RJK24" s="906">
        <f t="shared" ref="RJK24" si="6351">$C$24*RJI24</f>
        <v>100000</v>
      </c>
      <c r="RJM24" s="906">
        <f t="shared" ref="RJM24" si="6352">$C$24*RJK24</f>
        <v>100000</v>
      </c>
      <c r="RJO24" s="906">
        <f t="shared" ref="RJO24" si="6353">$C$24*RJM24</f>
        <v>100000</v>
      </c>
      <c r="RJQ24" s="906">
        <f t="shared" ref="RJQ24" si="6354">$C$24*RJO24</f>
        <v>100000</v>
      </c>
      <c r="RJS24" s="906">
        <f t="shared" ref="RJS24" si="6355">$C$24*RJQ24</f>
        <v>100000</v>
      </c>
      <c r="RJU24" s="906">
        <f t="shared" ref="RJU24" si="6356">$C$24*RJS24</f>
        <v>100000</v>
      </c>
      <c r="RJW24" s="906">
        <f t="shared" ref="RJW24" si="6357">$C$24*RJU24</f>
        <v>100000</v>
      </c>
      <c r="RJY24" s="906">
        <f t="shared" ref="RJY24" si="6358">$C$24*RJW24</f>
        <v>100000</v>
      </c>
      <c r="RKA24" s="906">
        <f t="shared" ref="RKA24" si="6359">$C$24*RJY24</f>
        <v>100000</v>
      </c>
      <c r="RKC24" s="906">
        <f t="shared" ref="RKC24" si="6360">$C$24*RKA24</f>
        <v>100000</v>
      </c>
      <c r="RKE24" s="906">
        <f t="shared" ref="RKE24" si="6361">$C$24*RKC24</f>
        <v>100000</v>
      </c>
      <c r="RKG24" s="906">
        <f t="shared" ref="RKG24" si="6362">$C$24*RKE24</f>
        <v>100000</v>
      </c>
      <c r="RKI24" s="906">
        <f t="shared" ref="RKI24" si="6363">$C$24*RKG24</f>
        <v>100000</v>
      </c>
      <c r="RKK24" s="906">
        <f t="shared" ref="RKK24" si="6364">$C$24*RKI24</f>
        <v>100000</v>
      </c>
      <c r="RKM24" s="906">
        <f t="shared" ref="RKM24" si="6365">$C$24*RKK24</f>
        <v>100000</v>
      </c>
      <c r="RKO24" s="906">
        <f t="shared" ref="RKO24" si="6366">$C$24*RKM24</f>
        <v>100000</v>
      </c>
      <c r="RKQ24" s="906">
        <f t="shared" ref="RKQ24" si="6367">$C$24*RKO24</f>
        <v>100000</v>
      </c>
      <c r="RKS24" s="906">
        <f t="shared" ref="RKS24" si="6368">$C$24*RKQ24</f>
        <v>100000</v>
      </c>
      <c r="RKU24" s="906">
        <f t="shared" ref="RKU24" si="6369">$C$24*RKS24</f>
        <v>100000</v>
      </c>
      <c r="RKW24" s="906">
        <f t="shared" ref="RKW24" si="6370">$C$24*RKU24</f>
        <v>100000</v>
      </c>
      <c r="RKY24" s="906">
        <f t="shared" ref="RKY24" si="6371">$C$24*RKW24</f>
        <v>100000</v>
      </c>
      <c r="RLA24" s="906">
        <f t="shared" ref="RLA24" si="6372">$C$24*RKY24</f>
        <v>100000</v>
      </c>
      <c r="RLC24" s="906">
        <f t="shared" ref="RLC24" si="6373">$C$24*RLA24</f>
        <v>100000</v>
      </c>
      <c r="RLE24" s="906">
        <f t="shared" ref="RLE24" si="6374">$C$24*RLC24</f>
        <v>100000</v>
      </c>
      <c r="RLG24" s="906">
        <f t="shared" ref="RLG24" si="6375">$C$24*RLE24</f>
        <v>100000</v>
      </c>
      <c r="RLI24" s="906">
        <f t="shared" ref="RLI24" si="6376">$C$24*RLG24</f>
        <v>100000</v>
      </c>
      <c r="RLK24" s="906">
        <f t="shared" ref="RLK24" si="6377">$C$24*RLI24</f>
        <v>100000</v>
      </c>
      <c r="RLM24" s="906">
        <f t="shared" ref="RLM24" si="6378">$C$24*RLK24</f>
        <v>100000</v>
      </c>
      <c r="RLO24" s="906">
        <f t="shared" ref="RLO24" si="6379">$C$24*RLM24</f>
        <v>100000</v>
      </c>
      <c r="RLQ24" s="906">
        <f t="shared" ref="RLQ24" si="6380">$C$24*RLO24</f>
        <v>100000</v>
      </c>
      <c r="RLS24" s="906">
        <f t="shared" ref="RLS24" si="6381">$C$24*RLQ24</f>
        <v>100000</v>
      </c>
      <c r="RLU24" s="906">
        <f t="shared" ref="RLU24" si="6382">$C$24*RLS24</f>
        <v>100000</v>
      </c>
      <c r="RLW24" s="906">
        <f t="shared" ref="RLW24" si="6383">$C$24*RLU24</f>
        <v>100000</v>
      </c>
      <c r="RLY24" s="906">
        <f t="shared" ref="RLY24" si="6384">$C$24*RLW24</f>
        <v>100000</v>
      </c>
      <c r="RMA24" s="906">
        <f t="shared" ref="RMA24" si="6385">$C$24*RLY24</f>
        <v>100000</v>
      </c>
      <c r="RMC24" s="906">
        <f t="shared" ref="RMC24" si="6386">$C$24*RMA24</f>
        <v>100000</v>
      </c>
      <c r="RME24" s="906">
        <f t="shared" ref="RME24" si="6387">$C$24*RMC24</f>
        <v>100000</v>
      </c>
      <c r="RMG24" s="906">
        <f t="shared" ref="RMG24" si="6388">$C$24*RME24</f>
        <v>100000</v>
      </c>
      <c r="RMI24" s="906">
        <f t="shared" ref="RMI24" si="6389">$C$24*RMG24</f>
        <v>100000</v>
      </c>
      <c r="RMK24" s="906">
        <f t="shared" ref="RMK24" si="6390">$C$24*RMI24</f>
        <v>100000</v>
      </c>
      <c r="RMM24" s="906">
        <f t="shared" ref="RMM24" si="6391">$C$24*RMK24</f>
        <v>100000</v>
      </c>
      <c r="RMO24" s="906">
        <f t="shared" ref="RMO24" si="6392">$C$24*RMM24</f>
        <v>100000</v>
      </c>
      <c r="RMQ24" s="906">
        <f t="shared" ref="RMQ24" si="6393">$C$24*RMO24</f>
        <v>100000</v>
      </c>
      <c r="RMS24" s="906">
        <f t="shared" ref="RMS24" si="6394">$C$24*RMQ24</f>
        <v>100000</v>
      </c>
      <c r="RMU24" s="906">
        <f t="shared" ref="RMU24" si="6395">$C$24*RMS24</f>
        <v>100000</v>
      </c>
      <c r="RMW24" s="906">
        <f t="shared" ref="RMW24" si="6396">$C$24*RMU24</f>
        <v>100000</v>
      </c>
      <c r="RMY24" s="906">
        <f t="shared" ref="RMY24" si="6397">$C$24*RMW24</f>
        <v>100000</v>
      </c>
      <c r="RNA24" s="906">
        <f t="shared" ref="RNA24" si="6398">$C$24*RMY24</f>
        <v>100000</v>
      </c>
      <c r="RNC24" s="906">
        <f t="shared" ref="RNC24" si="6399">$C$24*RNA24</f>
        <v>100000</v>
      </c>
      <c r="RNE24" s="906">
        <f t="shared" ref="RNE24" si="6400">$C$24*RNC24</f>
        <v>100000</v>
      </c>
      <c r="RNG24" s="906">
        <f t="shared" ref="RNG24" si="6401">$C$24*RNE24</f>
        <v>100000</v>
      </c>
      <c r="RNI24" s="906">
        <f t="shared" ref="RNI24" si="6402">$C$24*RNG24</f>
        <v>100000</v>
      </c>
      <c r="RNK24" s="906">
        <f t="shared" ref="RNK24" si="6403">$C$24*RNI24</f>
        <v>100000</v>
      </c>
      <c r="RNM24" s="906">
        <f t="shared" ref="RNM24" si="6404">$C$24*RNK24</f>
        <v>100000</v>
      </c>
      <c r="RNO24" s="906">
        <f t="shared" ref="RNO24" si="6405">$C$24*RNM24</f>
        <v>100000</v>
      </c>
      <c r="RNQ24" s="906">
        <f t="shared" ref="RNQ24" si="6406">$C$24*RNO24</f>
        <v>100000</v>
      </c>
      <c r="RNS24" s="906">
        <f t="shared" ref="RNS24" si="6407">$C$24*RNQ24</f>
        <v>100000</v>
      </c>
      <c r="RNU24" s="906">
        <f t="shared" ref="RNU24" si="6408">$C$24*RNS24</f>
        <v>100000</v>
      </c>
      <c r="RNW24" s="906">
        <f t="shared" ref="RNW24" si="6409">$C$24*RNU24</f>
        <v>100000</v>
      </c>
      <c r="RNY24" s="906">
        <f t="shared" ref="RNY24" si="6410">$C$24*RNW24</f>
        <v>100000</v>
      </c>
      <c r="ROA24" s="906">
        <f t="shared" ref="ROA24" si="6411">$C$24*RNY24</f>
        <v>100000</v>
      </c>
      <c r="ROC24" s="906">
        <f t="shared" ref="ROC24" si="6412">$C$24*ROA24</f>
        <v>100000</v>
      </c>
      <c r="ROE24" s="906">
        <f t="shared" ref="ROE24" si="6413">$C$24*ROC24</f>
        <v>100000</v>
      </c>
      <c r="ROG24" s="906">
        <f t="shared" ref="ROG24" si="6414">$C$24*ROE24</f>
        <v>100000</v>
      </c>
      <c r="ROI24" s="906">
        <f t="shared" ref="ROI24" si="6415">$C$24*ROG24</f>
        <v>100000</v>
      </c>
      <c r="ROK24" s="906">
        <f t="shared" ref="ROK24" si="6416">$C$24*ROI24</f>
        <v>100000</v>
      </c>
      <c r="ROM24" s="906">
        <f t="shared" ref="ROM24" si="6417">$C$24*ROK24</f>
        <v>100000</v>
      </c>
      <c r="ROO24" s="906">
        <f t="shared" ref="ROO24" si="6418">$C$24*ROM24</f>
        <v>100000</v>
      </c>
      <c r="ROQ24" s="906">
        <f t="shared" ref="ROQ24" si="6419">$C$24*ROO24</f>
        <v>100000</v>
      </c>
      <c r="ROS24" s="906">
        <f t="shared" ref="ROS24" si="6420">$C$24*ROQ24</f>
        <v>100000</v>
      </c>
      <c r="ROU24" s="906">
        <f t="shared" ref="ROU24" si="6421">$C$24*ROS24</f>
        <v>100000</v>
      </c>
      <c r="ROW24" s="906">
        <f t="shared" ref="ROW24" si="6422">$C$24*ROU24</f>
        <v>100000</v>
      </c>
      <c r="ROY24" s="906">
        <f t="shared" ref="ROY24" si="6423">$C$24*ROW24</f>
        <v>100000</v>
      </c>
      <c r="RPA24" s="906">
        <f t="shared" ref="RPA24" si="6424">$C$24*ROY24</f>
        <v>100000</v>
      </c>
      <c r="RPC24" s="906">
        <f t="shared" ref="RPC24" si="6425">$C$24*RPA24</f>
        <v>100000</v>
      </c>
      <c r="RPE24" s="906">
        <f t="shared" ref="RPE24" si="6426">$C$24*RPC24</f>
        <v>100000</v>
      </c>
      <c r="RPG24" s="906">
        <f t="shared" ref="RPG24" si="6427">$C$24*RPE24</f>
        <v>100000</v>
      </c>
      <c r="RPI24" s="906">
        <f t="shared" ref="RPI24" si="6428">$C$24*RPG24</f>
        <v>100000</v>
      </c>
      <c r="RPK24" s="906">
        <f t="shared" ref="RPK24" si="6429">$C$24*RPI24</f>
        <v>100000</v>
      </c>
      <c r="RPM24" s="906">
        <f t="shared" ref="RPM24" si="6430">$C$24*RPK24</f>
        <v>100000</v>
      </c>
      <c r="RPO24" s="906">
        <f t="shared" ref="RPO24" si="6431">$C$24*RPM24</f>
        <v>100000</v>
      </c>
      <c r="RPQ24" s="906">
        <f t="shared" ref="RPQ24" si="6432">$C$24*RPO24</f>
        <v>100000</v>
      </c>
      <c r="RPS24" s="906">
        <f t="shared" ref="RPS24" si="6433">$C$24*RPQ24</f>
        <v>100000</v>
      </c>
      <c r="RPU24" s="906">
        <f t="shared" ref="RPU24" si="6434">$C$24*RPS24</f>
        <v>100000</v>
      </c>
      <c r="RPW24" s="906">
        <f t="shared" ref="RPW24" si="6435">$C$24*RPU24</f>
        <v>100000</v>
      </c>
      <c r="RPY24" s="906">
        <f t="shared" ref="RPY24" si="6436">$C$24*RPW24</f>
        <v>100000</v>
      </c>
      <c r="RQA24" s="906">
        <f t="shared" ref="RQA24" si="6437">$C$24*RPY24</f>
        <v>100000</v>
      </c>
      <c r="RQC24" s="906">
        <f t="shared" ref="RQC24" si="6438">$C$24*RQA24</f>
        <v>100000</v>
      </c>
      <c r="RQE24" s="906">
        <f t="shared" ref="RQE24" si="6439">$C$24*RQC24</f>
        <v>100000</v>
      </c>
      <c r="RQG24" s="906">
        <f t="shared" ref="RQG24" si="6440">$C$24*RQE24</f>
        <v>100000</v>
      </c>
      <c r="RQI24" s="906">
        <f t="shared" ref="RQI24" si="6441">$C$24*RQG24</f>
        <v>100000</v>
      </c>
      <c r="RQK24" s="906">
        <f t="shared" ref="RQK24" si="6442">$C$24*RQI24</f>
        <v>100000</v>
      </c>
      <c r="RQM24" s="906">
        <f t="shared" ref="RQM24" si="6443">$C$24*RQK24</f>
        <v>100000</v>
      </c>
      <c r="RQO24" s="906">
        <f t="shared" ref="RQO24" si="6444">$C$24*RQM24</f>
        <v>100000</v>
      </c>
      <c r="RQQ24" s="906">
        <f t="shared" ref="RQQ24" si="6445">$C$24*RQO24</f>
        <v>100000</v>
      </c>
      <c r="RQS24" s="906">
        <f t="shared" ref="RQS24" si="6446">$C$24*RQQ24</f>
        <v>100000</v>
      </c>
      <c r="RQU24" s="906">
        <f t="shared" ref="RQU24" si="6447">$C$24*RQS24</f>
        <v>100000</v>
      </c>
      <c r="RQW24" s="906">
        <f t="shared" ref="RQW24" si="6448">$C$24*RQU24</f>
        <v>100000</v>
      </c>
      <c r="RQY24" s="906">
        <f t="shared" ref="RQY24" si="6449">$C$24*RQW24</f>
        <v>100000</v>
      </c>
      <c r="RRA24" s="906">
        <f t="shared" ref="RRA24" si="6450">$C$24*RQY24</f>
        <v>100000</v>
      </c>
      <c r="RRC24" s="906">
        <f t="shared" ref="RRC24" si="6451">$C$24*RRA24</f>
        <v>100000</v>
      </c>
      <c r="RRE24" s="906">
        <f t="shared" ref="RRE24" si="6452">$C$24*RRC24</f>
        <v>100000</v>
      </c>
      <c r="RRG24" s="906">
        <f t="shared" ref="RRG24" si="6453">$C$24*RRE24</f>
        <v>100000</v>
      </c>
      <c r="RRI24" s="906">
        <f t="shared" ref="RRI24" si="6454">$C$24*RRG24</f>
        <v>100000</v>
      </c>
      <c r="RRK24" s="906">
        <f t="shared" ref="RRK24" si="6455">$C$24*RRI24</f>
        <v>100000</v>
      </c>
      <c r="RRM24" s="906">
        <f t="shared" ref="RRM24" si="6456">$C$24*RRK24</f>
        <v>100000</v>
      </c>
      <c r="RRO24" s="906">
        <f t="shared" ref="RRO24" si="6457">$C$24*RRM24</f>
        <v>100000</v>
      </c>
      <c r="RRQ24" s="906">
        <f t="shared" ref="RRQ24" si="6458">$C$24*RRO24</f>
        <v>100000</v>
      </c>
      <c r="RRS24" s="906">
        <f t="shared" ref="RRS24" si="6459">$C$24*RRQ24</f>
        <v>100000</v>
      </c>
      <c r="RRU24" s="906">
        <f t="shared" ref="RRU24" si="6460">$C$24*RRS24</f>
        <v>100000</v>
      </c>
      <c r="RRW24" s="906">
        <f t="shared" ref="RRW24" si="6461">$C$24*RRU24</f>
        <v>100000</v>
      </c>
      <c r="RRY24" s="906">
        <f t="shared" ref="RRY24" si="6462">$C$24*RRW24</f>
        <v>100000</v>
      </c>
      <c r="RSA24" s="906">
        <f t="shared" ref="RSA24" si="6463">$C$24*RRY24</f>
        <v>100000</v>
      </c>
      <c r="RSC24" s="906">
        <f t="shared" ref="RSC24" si="6464">$C$24*RSA24</f>
        <v>100000</v>
      </c>
      <c r="RSE24" s="906">
        <f t="shared" ref="RSE24" si="6465">$C$24*RSC24</f>
        <v>100000</v>
      </c>
      <c r="RSG24" s="906">
        <f t="shared" ref="RSG24" si="6466">$C$24*RSE24</f>
        <v>100000</v>
      </c>
      <c r="RSI24" s="906">
        <f t="shared" ref="RSI24" si="6467">$C$24*RSG24</f>
        <v>100000</v>
      </c>
      <c r="RSK24" s="906">
        <f t="shared" ref="RSK24" si="6468">$C$24*RSI24</f>
        <v>100000</v>
      </c>
      <c r="RSM24" s="906">
        <f t="shared" ref="RSM24" si="6469">$C$24*RSK24</f>
        <v>100000</v>
      </c>
      <c r="RSO24" s="906">
        <f t="shared" ref="RSO24" si="6470">$C$24*RSM24</f>
        <v>100000</v>
      </c>
      <c r="RSQ24" s="906">
        <f t="shared" ref="RSQ24" si="6471">$C$24*RSO24</f>
        <v>100000</v>
      </c>
      <c r="RSS24" s="906">
        <f t="shared" ref="RSS24" si="6472">$C$24*RSQ24</f>
        <v>100000</v>
      </c>
      <c r="RSU24" s="906">
        <f t="shared" ref="RSU24" si="6473">$C$24*RSS24</f>
        <v>100000</v>
      </c>
      <c r="RSW24" s="906">
        <f t="shared" ref="RSW24" si="6474">$C$24*RSU24</f>
        <v>100000</v>
      </c>
      <c r="RSY24" s="906">
        <f t="shared" ref="RSY24" si="6475">$C$24*RSW24</f>
        <v>100000</v>
      </c>
      <c r="RTA24" s="906">
        <f t="shared" ref="RTA24" si="6476">$C$24*RSY24</f>
        <v>100000</v>
      </c>
      <c r="RTC24" s="906">
        <f t="shared" ref="RTC24" si="6477">$C$24*RTA24</f>
        <v>100000</v>
      </c>
      <c r="RTE24" s="906">
        <f t="shared" ref="RTE24" si="6478">$C$24*RTC24</f>
        <v>100000</v>
      </c>
      <c r="RTG24" s="906">
        <f t="shared" ref="RTG24" si="6479">$C$24*RTE24</f>
        <v>100000</v>
      </c>
      <c r="RTI24" s="906">
        <f t="shared" ref="RTI24" si="6480">$C$24*RTG24</f>
        <v>100000</v>
      </c>
      <c r="RTK24" s="906">
        <f t="shared" ref="RTK24" si="6481">$C$24*RTI24</f>
        <v>100000</v>
      </c>
      <c r="RTM24" s="906">
        <f t="shared" ref="RTM24" si="6482">$C$24*RTK24</f>
        <v>100000</v>
      </c>
      <c r="RTO24" s="906">
        <f t="shared" ref="RTO24" si="6483">$C$24*RTM24</f>
        <v>100000</v>
      </c>
      <c r="RTQ24" s="906">
        <f t="shared" ref="RTQ24" si="6484">$C$24*RTO24</f>
        <v>100000</v>
      </c>
      <c r="RTS24" s="906">
        <f t="shared" ref="RTS24" si="6485">$C$24*RTQ24</f>
        <v>100000</v>
      </c>
      <c r="RTU24" s="906">
        <f t="shared" ref="RTU24" si="6486">$C$24*RTS24</f>
        <v>100000</v>
      </c>
      <c r="RTW24" s="906">
        <f t="shared" ref="RTW24" si="6487">$C$24*RTU24</f>
        <v>100000</v>
      </c>
      <c r="RTY24" s="906">
        <f t="shared" ref="RTY24" si="6488">$C$24*RTW24</f>
        <v>100000</v>
      </c>
      <c r="RUA24" s="906">
        <f t="shared" ref="RUA24" si="6489">$C$24*RTY24</f>
        <v>100000</v>
      </c>
      <c r="RUC24" s="906">
        <f t="shared" ref="RUC24" si="6490">$C$24*RUA24</f>
        <v>100000</v>
      </c>
      <c r="RUE24" s="906">
        <f t="shared" ref="RUE24" si="6491">$C$24*RUC24</f>
        <v>100000</v>
      </c>
      <c r="RUG24" s="906">
        <f t="shared" ref="RUG24" si="6492">$C$24*RUE24</f>
        <v>100000</v>
      </c>
      <c r="RUI24" s="906">
        <f t="shared" ref="RUI24" si="6493">$C$24*RUG24</f>
        <v>100000</v>
      </c>
      <c r="RUK24" s="906">
        <f t="shared" ref="RUK24" si="6494">$C$24*RUI24</f>
        <v>100000</v>
      </c>
      <c r="RUM24" s="906">
        <f t="shared" ref="RUM24" si="6495">$C$24*RUK24</f>
        <v>100000</v>
      </c>
      <c r="RUO24" s="906">
        <f t="shared" ref="RUO24" si="6496">$C$24*RUM24</f>
        <v>100000</v>
      </c>
      <c r="RUQ24" s="906">
        <f t="shared" ref="RUQ24" si="6497">$C$24*RUO24</f>
        <v>100000</v>
      </c>
      <c r="RUS24" s="906">
        <f t="shared" ref="RUS24" si="6498">$C$24*RUQ24</f>
        <v>100000</v>
      </c>
      <c r="RUU24" s="906">
        <f t="shared" ref="RUU24" si="6499">$C$24*RUS24</f>
        <v>100000</v>
      </c>
      <c r="RUW24" s="906">
        <f t="shared" ref="RUW24" si="6500">$C$24*RUU24</f>
        <v>100000</v>
      </c>
      <c r="RUY24" s="906">
        <f t="shared" ref="RUY24" si="6501">$C$24*RUW24</f>
        <v>100000</v>
      </c>
      <c r="RVA24" s="906">
        <f t="shared" ref="RVA24" si="6502">$C$24*RUY24</f>
        <v>100000</v>
      </c>
      <c r="RVC24" s="906">
        <f t="shared" ref="RVC24" si="6503">$C$24*RVA24</f>
        <v>100000</v>
      </c>
      <c r="RVE24" s="906">
        <f t="shared" ref="RVE24" si="6504">$C$24*RVC24</f>
        <v>100000</v>
      </c>
      <c r="RVG24" s="906">
        <f t="shared" ref="RVG24" si="6505">$C$24*RVE24</f>
        <v>100000</v>
      </c>
      <c r="RVI24" s="906">
        <f t="shared" ref="RVI24" si="6506">$C$24*RVG24</f>
        <v>100000</v>
      </c>
      <c r="RVK24" s="906">
        <f t="shared" ref="RVK24" si="6507">$C$24*RVI24</f>
        <v>100000</v>
      </c>
      <c r="RVM24" s="906">
        <f t="shared" ref="RVM24" si="6508">$C$24*RVK24</f>
        <v>100000</v>
      </c>
      <c r="RVO24" s="906">
        <f t="shared" ref="RVO24" si="6509">$C$24*RVM24</f>
        <v>100000</v>
      </c>
      <c r="RVQ24" s="906">
        <f t="shared" ref="RVQ24" si="6510">$C$24*RVO24</f>
        <v>100000</v>
      </c>
      <c r="RVS24" s="906">
        <f t="shared" ref="RVS24" si="6511">$C$24*RVQ24</f>
        <v>100000</v>
      </c>
      <c r="RVU24" s="906">
        <f t="shared" ref="RVU24" si="6512">$C$24*RVS24</f>
        <v>100000</v>
      </c>
      <c r="RVW24" s="906">
        <f t="shared" ref="RVW24" si="6513">$C$24*RVU24</f>
        <v>100000</v>
      </c>
      <c r="RVY24" s="906">
        <f t="shared" ref="RVY24" si="6514">$C$24*RVW24</f>
        <v>100000</v>
      </c>
      <c r="RWA24" s="906">
        <f t="shared" ref="RWA24" si="6515">$C$24*RVY24</f>
        <v>100000</v>
      </c>
      <c r="RWC24" s="906">
        <f t="shared" ref="RWC24" si="6516">$C$24*RWA24</f>
        <v>100000</v>
      </c>
      <c r="RWE24" s="906">
        <f t="shared" ref="RWE24" si="6517">$C$24*RWC24</f>
        <v>100000</v>
      </c>
      <c r="RWG24" s="906">
        <f t="shared" ref="RWG24" si="6518">$C$24*RWE24</f>
        <v>100000</v>
      </c>
      <c r="RWI24" s="906">
        <f t="shared" ref="RWI24" si="6519">$C$24*RWG24</f>
        <v>100000</v>
      </c>
      <c r="RWK24" s="906">
        <f t="shared" ref="RWK24" si="6520">$C$24*RWI24</f>
        <v>100000</v>
      </c>
      <c r="RWM24" s="906">
        <f t="shared" ref="RWM24" si="6521">$C$24*RWK24</f>
        <v>100000</v>
      </c>
      <c r="RWO24" s="906">
        <f t="shared" ref="RWO24" si="6522">$C$24*RWM24</f>
        <v>100000</v>
      </c>
      <c r="RWQ24" s="906">
        <f t="shared" ref="RWQ24" si="6523">$C$24*RWO24</f>
        <v>100000</v>
      </c>
      <c r="RWS24" s="906">
        <f t="shared" ref="RWS24" si="6524">$C$24*RWQ24</f>
        <v>100000</v>
      </c>
      <c r="RWU24" s="906">
        <f t="shared" ref="RWU24" si="6525">$C$24*RWS24</f>
        <v>100000</v>
      </c>
      <c r="RWW24" s="906">
        <f t="shared" ref="RWW24" si="6526">$C$24*RWU24</f>
        <v>100000</v>
      </c>
      <c r="RWY24" s="906">
        <f t="shared" ref="RWY24" si="6527">$C$24*RWW24</f>
        <v>100000</v>
      </c>
      <c r="RXA24" s="906">
        <f t="shared" ref="RXA24" si="6528">$C$24*RWY24</f>
        <v>100000</v>
      </c>
      <c r="RXC24" s="906">
        <f t="shared" ref="RXC24" si="6529">$C$24*RXA24</f>
        <v>100000</v>
      </c>
      <c r="RXE24" s="906">
        <f t="shared" ref="RXE24" si="6530">$C$24*RXC24</f>
        <v>100000</v>
      </c>
      <c r="RXG24" s="906">
        <f t="shared" ref="RXG24" si="6531">$C$24*RXE24</f>
        <v>100000</v>
      </c>
      <c r="RXI24" s="906">
        <f t="shared" ref="RXI24" si="6532">$C$24*RXG24</f>
        <v>100000</v>
      </c>
      <c r="RXK24" s="906">
        <f t="shared" ref="RXK24" si="6533">$C$24*RXI24</f>
        <v>100000</v>
      </c>
      <c r="RXM24" s="906">
        <f t="shared" ref="RXM24" si="6534">$C$24*RXK24</f>
        <v>100000</v>
      </c>
      <c r="RXO24" s="906">
        <f t="shared" ref="RXO24" si="6535">$C$24*RXM24</f>
        <v>100000</v>
      </c>
      <c r="RXQ24" s="906">
        <f t="shared" ref="RXQ24" si="6536">$C$24*RXO24</f>
        <v>100000</v>
      </c>
      <c r="RXS24" s="906">
        <f t="shared" ref="RXS24" si="6537">$C$24*RXQ24</f>
        <v>100000</v>
      </c>
      <c r="RXU24" s="906">
        <f t="shared" ref="RXU24" si="6538">$C$24*RXS24</f>
        <v>100000</v>
      </c>
      <c r="RXW24" s="906">
        <f t="shared" ref="RXW24" si="6539">$C$24*RXU24</f>
        <v>100000</v>
      </c>
      <c r="RXY24" s="906">
        <f t="shared" ref="RXY24" si="6540">$C$24*RXW24</f>
        <v>100000</v>
      </c>
      <c r="RYA24" s="906">
        <f t="shared" ref="RYA24" si="6541">$C$24*RXY24</f>
        <v>100000</v>
      </c>
      <c r="RYC24" s="906">
        <f t="shared" ref="RYC24" si="6542">$C$24*RYA24</f>
        <v>100000</v>
      </c>
      <c r="RYE24" s="906">
        <f t="shared" ref="RYE24" si="6543">$C$24*RYC24</f>
        <v>100000</v>
      </c>
      <c r="RYG24" s="906">
        <f t="shared" ref="RYG24" si="6544">$C$24*RYE24</f>
        <v>100000</v>
      </c>
      <c r="RYI24" s="906">
        <f t="shared" ref="RYI24" si="6545">$C$24*RYG24</f>
        <v>100000</v>
      </c>
      <c r="RYK24" s="906">
        <f t="shared" ref="RYK24" si="6546">$C$24*RYI24</f>
        <v>100000</v>
      </c>
      <c r="RYM24" s="906">
        <f t="shared" ref="RYM24" si="6547">$C$24*RYK24</f>
        <v>100000</v>
      </c>
      <c r="RYO24" s="906">
        <f t="shared" ref="RYO24" si="6548">$C$24*RYM24</f>
        <v>100000</v>
      </c>
      <c r="RYQ24" s="906">
        <f t="shared" ref="RYQ24" si="6549">$C$24*RYO24</f>
        <v>100000</v>
      </c>
      <c r="RYS24" s="906">
        <f t="shared" ref="RYS24" si="6550">$C$24*RYQ24</f>
        <v>100000</v>
      </c>
      <c r="RYU24" s="906">
        <f t="shared" ref="RYU24" si="6551">$C$24*RYS24</f>
        <v>100000</v>
      </c>
      <c r="RYW24" s="906">
        <f t="shared" ref="RYW24" si="6552">$C$24*RYU24</f>
        <v>100000</v>
      </c>
      <c r="RYY24" s="906">
        <f t="shared" ref="RYY24" si="6553">$C$24*RYW24</f>
        <v>100000</v>
      </c>
      <c r="RZA24" s="906">
        <f t="shared" ref="RZA24" si="6554">$C$24*RYY24</f>
        <v>100000</v>
      </c>
      <c r="RZC24" s="906">
        <f t="shared" ref="RZC24" si="6555">$C$24*RZA24</f>
        <v>100000</v>
      </c>
      <c r="RZE24" s="906">
        <f t="shared" ref="RZE24" si="6556">$C$24*RZC24</f>
        <v>100000</v>
      </c>
      <c r="RZG24" s="906">
        <f t="shared" ref="RZG24" si="6557">$C$24*RZE24</f>
        <v>100000</v>
      </c>
      <c r="RZI24" s="906">
        <f t="shared" ref="RZI24" si="6558">$C$24*RZG24</f>
        <v>100000</v>
      </c>
      <c r="RZK24" s="906">
        <f t="shared" ref="RZK24" si="6559">$C$24*RZI24</f>
        <v>100000</v>
      </c>
      <c r="RZM24" s="906">
        <f t="shared" ref="RZM24" si="6560">$C$24*RZK24</f>
        <v>100000</v>
      </c>
      <c r="RZO24" s="906">
        <f t="shared" ref="RZO24" si="6561">$C$24*RZM24</f>
        <v>100000</v>
      </c>
      <c r="RZQ24" s="906">
        <f t="shared" ref="RZQ24" si="6562">$C$24*RZO24</f>
        <v>100000</v>
      </c>
      <c r="RZS24" s="906">
        <f t="shared" ref="RZS24" si="6563">$C$24*RZQ24</f>
        <v>100000</v>
      </c>
      <c r="RZU24" s="906">
        <f t="shared" ref="RZU24" si="6564">$C$24*RZS24</f>
        <v>100000</v>
      </c>
      <c r="RZW24" s="906">
        <f t="shared" ref="RZW24" si="6565">$C$24*RZU24</f>
        <v>100000</v>
      </c>
      <c r="RZY24" s="906">
        <f t="shared" ref="RZY24" si="6566">$C$24*RZW24</f>
        <v>100000</v>
      </c>
      <c r="SAA24" s="906">
        <f t="shared" ref="SAA24" si="6567">$C$24*RZY24</f>
        <v>100000</v>
      </c>
      <c r="SAC24" s="906">
        <f t="shared" ref="SAC24" si="6568">$C$24*SAA24</f>
        <v>100000</v>
      </c>
      <c r="SAE24" s="906">
        <f t="shared" ref="SAE24" si="6569">$C$24*SAC24</f>
        <v>100000</v>
      </c>
      <c r="SAG24" s="906">
        <f t="shared" ref="SAG24" si="6570">$C$24*SAE24</f>
        <v>100000</v>
      </c>
      <c r="SAI24" s="906">
        <f t="shared" ref="SAI24" si="6571">$C$24*SAG24</f>
        <v>100000</v>
      </c>
      <c r="SAK24" s="906">
        <f t="shared" ref="SAK24" si="6572">$C$24*SAI24</f>
        <v>100000</v>
      </c>
      <c r="SAM24" s="906">
        <f t="shared" ref="SAM24" si="6573">$C$24*SAK24</f>
        <v>100000</v>
      </c>
      <c r="SAO24" s="906">
        <f t="shared" ref="SAO24" si="6574">$C$24*SAM24</f>
        <v>100000</v>
      </c>
      <c r="SAQ24" s="906">
        <f t="shared" ref="SAQ24" si="6575">$C$24*SAO24</f>
        <v>100000</v>
      </c>
      <c r="SAS24" s="906">
        <f t="shared" ref="SAS24" si="6576">$C$24*SAQ24</f>
        <v>100000</v>
      </c>
      <c r="SAU24" s="906">
        <f t="shared" ref="SAU24" si="6577">$C$24*SAS24</f>
        <v>100000</v>
      </c>
      <c r="SAW24" s="906">
        <f t="shared" ref="SAW24" si="6578">$C$24*SAU24</f>
        <v>100000</v>
      </c>
      <c r="SAY24" s="906">
        <f t="shared" ref="SAY24" si="6579">$C$24*SAW24</f>
        <v>100000</v>
      </c>
      <c r="SBA24" s="906">
        <f t="shared" ref="SBA24" si="6580">$C$24*SAY24</f>
        <v>100000</v>
      </c>
      <c r="SBC24" s="906">
        <f t="shared" ref="SBC24" si="6581">$C$24*SBA24</f>
        <v>100000</v>
      </c>
      <c r="SBE24" s="906">
        <f t="shared" ref="SBE24" si="6582">$C$24*SBC24</f>
        <v>100000</v>
      </c>
      <c r="SBG24" s="906">
        <f t="shared" ref="SBG24" si="6583">$C$24*SBE24</f>
        <v>100000</v>
      </c>
      <c r="SBI24" s="906">
        <f t="shared" ref="SBI24" si="6584">$C$24*SBG24</f>
        <v>100000</v>
      </c>
      <c r="SBK24" s="906">
        <f t="shared" ref="SBK24" si="6585">$C$24*SBI24</f>
        <v>100000</v>
      </c>
      <c r="SBM24" s="906">
        <f t="shared" ref="SBM24" si="6586">$C$24*SBK24</f>
        <v>100000</v>
      </c>
      <c r="SBO24" s="906">
        <f t="shared" ref="SBO24" si="6587">$C$24*SBM24</f>
        <v>100000</v>
      </c>
      <c r="SBQ24" s="906">
        <f t="shared" ref="SBQ24" si="6588">$C$24*SBO24</f>
        <v>100000</v>
      </c>
      <c r="SBS24" s="906">
        <f t="shared" ref="SBS24" si="6589">$C$24*SBQ24</f>
        <v>100000</v>
      </c>
      <c r="SBU24" s="906">
        <f t="shared" ref="SBU24" si="6590">$C$24*SBS24</f>
        <v>100000</v>
      </c>
      <c r="SBW24" s="906">
        <f t="shared" ref="SBW24" si="6591">$C$24*SBU24</f>
        <v>100000</v>
      </c>
      <c r="SBY24" s="906">
        <f t="shared" ref="SBY24" si="6592">$C$24*SBW24</f>
        <v>100000</v>
      </c>
      <c r="SCA24" s="906">
        <f t="shared" ref="SCA24" si="6593">$C$24*SBY24</f>
        <v>100000</v>
      </c>
      <c r="SCC24" s="906">
        <f t="shared" ref="SCC24" si="6594">$C$24*SCA24</f>
        <v>100000</v>
      </c>
      <c r="SCE24" s="906">
        <f t="shared" ref="SCE24" si="6595">$C$24*SCC24</f>
        <v>100000</v>
      </c>
      <c r="SCG24" s="906">
        <f t="shared" ref="SCG24" si="6596">$C$24*SCE24</f>
        <v>100000</v>
      </c>
      <c r="SCI24" s="906">
        <f t="shared" ref="SCI24" si="6597">$C$24*SCG24</f>
        <v>100000</v>
      </c>
      <c r="SCK24" s="906">
        <f t="shared" ref="SCK24" si="6598">$C$24*SCI24</f>
        <v>100000</v>
      </c>
      <c r="SCM24" s="906">
        <f t="shared" ref="SCM24" si="6599">$C$24*SCK24</f>
        <v>100000</v>
      </c>
      <c r="SCO24" s="906">
        <f t="shared" ref="SCO24" si="6600">$C$24*SCM24</f>
        <v>100000</v>
      </c>
      <c r="SCQ24" s="906">
        <f t="shared" ref="SCQ24" si="6601">$C$24*SCO24</f>
        <v>100000</v>
      </c>
      <c r="SCS24" s="906">
        <f t="shared" ref="SCS24" si="6602">$C$24*SCQ24</f>
        <v>100000</v>
      </c>
      <c r="SCU24" s="906">
        <f t="shared" ref="SCU24" si="6603">$C$24*SCS24</f>
        <v>100000</v>
      </c>
      <c r="SCW24" s="906">
        <f t="shared" ref="SCW24" si="6604">$C$24*SCU24</f>
        <v>100000</v>
      </c>
      <c r="SCY24" s="906">
        <f t="shared" ref="SCY24" si="6605">$C$24*SCW24</f>
        <v>100000</v>
      </c>
      <c r="SDA24" s="906">
        <f t="shared" ref="SDA24" si="6606">$C$24*SCY24</f>
        <v>100000</v>
      </c>
      <c r="SDC24" s="906">
        <f t="shared" ref="SDC24" si="6607">$C$24*SDA24</f>
        <v>100000</v>
      </c>
      <c r="SDE24" s="906">
        <f t="shared" ref="SDE24" si="6608">$C$24*SDC24</f>
        <v>100000</v>
      </c>
      <c r="SDG24" s="906">
        <f t="shared" ref="SDG24" si="6609">$C$24*SDE24</f>
        <v>100000</v>
      </c>
      <c r="SDI24" s="906">
        <f t="shared" ref="SDI24" si="6610">$C$24*SDG24</f>
        <v>100000</v>
      </c>
      <c r="SDK24" s="906">
        <f t="shared" ref="SDK24" si="6611">$C$24*SDI24</f>
        <v>100000</v>
      </c>
      <c r="SDM24" s="906">
        <f t="shared" ref="SDM24" si="6612">$C$24*SDK24</f>
        <v>100000</v>
      </c>
      <c r="SDO24" s="906">
        <f t="shared" ref="SDO24" si="6613">$C$24*SDM24</f>
        <v>100000</v>
      </c>
      <c r="SDQ24" s="906">
        <f t="shared" ref="SDQ24" si="6614">$C$24*SDO24</f>
        <v>100000</v>
      </c>
      <c r="SDS24" s="906">
        <f t="shared" ref="SDS24" si="6615">$C$24*SDQ24</f>
        <v>100000</v>
      </c>
      <c r="SDU24" s="906">
        <f t="shared" ref="SDU24" si="6616">$C$24*SDS24</f>
        <v>100000</v>
      </c>
      <c r="SDW24" s="906">
        <f t="shared" ref="SDW24" si="6617">$C$24*SDU24</f>
        <v>100000</v>
      </c>
      <c r="SDY24" s="906">
        <f t="shared" ref="SDY24" si="6618">$C$24*SDW24</f>
        <v>100000</v>
      </c>
      <c r="SEA24" s="906">
        <f t="shared" ref="SEA24" si="6619">$C$24*SDY24</f>
        <v>100000</v>
      </c>
      <c r="SEC24" s="906">
        <f t="shared" ref="SEC24" si="6620">$C$24*SEA24</f>
        <v>100000</v>
      </c>
      <c r="SEE24" s="906">
        <f t="shared" ref="SEE24" si="6621">$C$24*SEC24</f>
        <v>100000</v>
      </c>
      <c r="SEG24" s="906">
        <f t="shared" ref="SEG24" si="6622">$C$24*SEE24</f>
        <v>100000</v>
      </c>
      <c r="SEI24" s="906">
        <f t="shared" ref="SEI24" si="6623">$C$24*SEG24</f>
        <v>100000</v>
      </c>
      <c r="SEK24" s="906">
        <f t="shared" ref="SEK24" si="6624">$C$24*SEI24</f>
        <v>100000</v>
      </c>
      <c r="SEM24" s="906">
        <f t="shared" ref="SEM24" si="6625">$C$24*SEK24</f>
        <v>100000</v>
      </c>
      <c r="SEO24" s="906">
        <f t="shared" ref="SEO24" si="6626">$C$24*SEM24</f>
        <v>100000</v>
      </c>
      <c r="SEQ24" s="906">
        <f t="shared" ref="SEQ24" si="6627">$C$24*SEO24</f>
        <v>100000</v>
      </c>
      <c r="SES24" s="906">
        <f t="shared" ref="SES24" si="6628">$C$24*SEQ24</f>
        <v>100000</v>
      </c>
      <c r="SEU24" s="906">
        <f t="shared" ref="SEU24" si="6629">$C$24*SES24</f>
        <v>100000</v>
      </c>
      <c r="SEW24" s="906">
        <f t="shared" ref="SEW24" si="6630">$C$24*SEU24</f>
        <v>100000</v>
      </c>
      <c r="SEY24" s="906">
        <f t="shared" ref="SEY24" si="6631">$C$24*SEW24</f>
        <v>100000</v>
      </c>
      <c r="SFA24" s="906">
        <f t="shared" ref="SFA24" si="6632">$C$24*SEY24</f>
        <v>100000</v>
      </c>
      <c r="SFC24" s="906">
        <f t="shared" ref="SFC24" si="6633">$C$24*SFA24</f>
        <v>100000</v>
      </c>
      <c r="SFE24" s="906">
        <f t="shared" ref="SFE24" si="6634">$C$24*SFC24</f>
        <v>100000</v>
      </c>
      <c r="SFG24" s="906">
        <f t="shared" ref="SFG24" si="6635">$C$24*SFE24</f>
        <v>100000</v>
      </c>
      <c r="SFI24" s="906">
        <f t="shared" ref="SFI24" si="6636">$C$24*SFG24</f>
        <v>100000</v>
      </c>
      <c r="SFK24" s="906">
        <f t="shared" ref="SFK24" si="6637">$C$24*SFI24</f>
        <v>100000</v>
      </c>
      <c r="SFM24" s="906">
        <f t="shared" ref="SFM24" si="6638">$C$24*SFK24</f>
        <v>100000</v>
      </c>
      <c r="SFO24" s="906">
        <f t="shared" ref="SFO24" si="6639">$C$24*SFM24</f>
        <v>100000</v>
      </c>
      <c r="SFQ24" s="906">
        <f t="shared" ref="SFQ24" si="6640">$C$24*SFO24</f>
        <v>100000</v>
      </c>
      <c r="SFS24" s="906">
        <f t="shared" ref="SFS24" si="6641">$C$24*SFQ24</f>
        <v>100000</v>
      </c>
      <c r="SFU24" s="906">
        <f t="shared" ref="SFU24" si="6642">$C$24*SFS24</f>
        <v>100000</v>
      </c>
      <c r="SFW24" s="906">
        <f t="shared" ref="SFW24" si="6643">$C$24*SFU24</f>
        <v>100000</v>
      </c>
      <c r="SFY24" s="906">
        <f t="shared" ref="SFY24" si="6644">$C$24*SFW24</f>
        <v>100000</v>
      </c>
      <c r="SGA24" s="906">
        <f t="shared" ref="SGA24" si="6645">$C$24*SFY24</f>
        <v>100000</v>
      </c>
      <c r="SGC24" s="906">
        <f t="shared" ref="SGC24" si="6646">$C$24*SGA24</f>
        <v>100000</v>
      </c>
      <c r="SGE24" s="906">
        <f t="shared" ref="SGE24" si="6647">$C$24*SGC24</f>
        <v>100000</v>
      </c>
      <c r="SGG24" s="906">
        <f t="shared" ref="SGG24" si="6648">$C$24*SGE24</f>
        <v>100000</v>
      </c>
      <c r="SGI24" s="906">
        <f t="shared" ref="SGI24" si="6649">$C$24*SGG24</f>
        <v>100000</v>
      </c>
      <c r="SGK24" s="906">
        <f t="shared" ref="SGK24" si="6650">$C$24*SGI24</f>
        <v>100000</v>
      </c>
      <c r="SGM24" s="906">
        <f t="shared" ref="SGM24" si="6651">$C$24*SGK24</f>
        <v>100000</v>
      </c>
      <c r="SGO24" s="906">
        <f t="shared" ref="SGO24" si="6652">$C$24*SGM24</f>
        <v>100000</v>
      </c>
      <c r="SGQ24" s="906">
        <f t="shared" ref="SGQ24" si="6653">$C$24*SGO24</f>
        <v>100000</v>
      </c>
      <c r="SGS24" s="906">
        <f t="shared" ref="SGS24" si="6654">$C$24*SGQ24</f>
        <v>100000</v>
      </c>
      <c r="SGU24" s="906">
        <f t="shared" ref="SGU24" si="6655">$C$24*SGS24</f>
        <v>100000</v>
      </c>
      <c r="SGW24" s="906">
        <f t="shared" ref="SGW24" si="6656">$C$24*SGU24</f>
        <v>100000</v>
      </c>
      <c r="SGY24" s="906">
        <f t="shared" ref="SGY24" si="6657">$C$24*SGW24</f>
        <v>100000</v>
      </c>
      <c r="SHA24" s="906">
        <f t="shared" ref="SHA24" si="6658">$C$24*SGY24</f>
        <v>100000</v>
      </c>
      <c r="SHC24" s="906">
        <f t="shared" ref="SHC24" si="6659">$C$24*SHA24</f>
        <v>100000</v>
      </c>
      <c r="SHE24" s="906">
        <f t="shared" ref="SHE24" si="6660">$C$24*SHC24</f>
        <v>100000</v>
      </c>
      <c r="SHG24" s="906">
        <f t="shared" ref="SHG24" si="6661">$C$24*SHE24</f>
        <v>100000</v>
      </c>
      <c r="SHI24" s="906">
        <f t="shared" ref="SHI24" si="6662">$C$24*SHG24</f>
        <v>100000</v>
      </c>
      <c r="SHK24" s="906">
        <f t="shared" ref="SHK24" si="6663">$C$24*SHI24</f>
        <v>100000</v>
      </c>
      <c r="SHM24" s="906">
        <f t="shared" ref="SHM24" si="6664">$C$24*SHK24</f>
        <v>100000</v>
      </c>
      <c r="SHO24" s="906">
        <f t="shared" ref="SHO24" si="6665">$C$24*SHM24</f>
        <v>100000</v>
      </c>
      <c r="SHQ24" s="906">
        <f t="shared" ref="SHQ24" si="6666">$C$24*SHO24</f>
        <v>100000</v>
      </c>
      <c r="SHS24" s="906">
        <f t="shared" ref="SHS24" si="6667">$C$24*SHQ24</f>
        <v>100000</v>
      </c>
      <c r="SHU24" s="906">
        <f t="shared" ref="SHU24" si="6668">$C$24*SHS24</f>
        <v>100000</v>
      </c>
      <c r="SHW24" s="906">
        <f t="shared" ref="SHW24" si="6669">$C$24*SHU24</f>
        <v>100000</v>
      </c>
      <c r="SHY24" s="906">
        <f t="shared" ref="SHY24" si="6670">$C$24*SHW24</f>
        <v>100000</v>
      </c>
      <c r="SIA24" s="906">
        <f t="shared" ref="SIA24" si="6671">$C$24*SHY24</f>
        <v>100000</v>
      </c>
      <c r="SIC24" s="906">
        <f t="shared" ref="SIC24" si="6672">$C$24*SIA24</f>
        <v>100000</v>
      </c>
      <c r="SIE24" s="906">
        <f t="shared" ref="SIE24" si="6673">$C$24*SIC24</f>
        <v>100000</v>
      </c>
      <c r="SIG24" s="906">
        <f t="shared" ref="SIG24" si="6674">$C$24*SIE24</f>
        <v>100000</v>
      </c>
      <c r="SII24" s="906">
        <f t="shared" ref="SII24" si="6675">$C$24*SIG24</f>
        <v>100000</v>
      </c>
      <c r="SIK24" s="906">
        <f t="shared" ref="SIK24" si="6676">$C$24*SII24</f>
        <v>100000</v>
      </c>
      <c r="SIM24" s="906">
        <f t="shared" ref="SIM24" si="6677">$C$24*SIK24</f>
        <v>100000</v>
      </c>
      <c r="SIO24" s="906">
        <f t="shared" ref="SIO24" si="6678">$C$24*SIM24</f>
        <v>100000</v>
      </c>
      <c r="SIQ24" s="906">
        <f t="shared" ref="SIQ24" si="6679">$C$24*SIO24</f>
        <v>100000</v>
      </c>
      <c r="SIS24" s="906">
        <f t="shared" ref="SIS24" si="6680">$C$24*SIQ24</f>
        <v>100000</v>
      </c>
      <c r="SIU24" s="906">
        <f t="shared" ref="SIU24" si="6681">$C$24*SIS24</f>
        <v>100000</v>
      </c>
      <c r="SIW24" s="906">
        <f t="shared" ref="SIW24" si="6682">$C$24*SIU24</f>
        <v>100000</v>
      </c>
      <c r="SIY24" s="906">
        <f t="shared" ref="SIY24" si="6683">$C$24*SIW24</f>
        <v>100000</v>
      </c>
      <c r="SJA24" s="906">
        <f t="shared" ref="SJA24" si="6684">$C$24*SIY24</f>
        <v>100000</v>
      </c>
      <c r="SJC24" s="906">
        <f t="shared" ref="SJC24" si="6685">$C$24*SJA24</f>
        <v>100000</v>
      </c>
      <c r="SJE24" s="906">
        <f t="shared" ref="SJE24" si="6686">$C$24*SJC24</f>
        <v>100000</v>
      </c>
      <c r="SJG24" s="906">
        <f t="shared" ref="SJG24" si="6687">$C$24*SJE24</f>
        <v>100000</v>
      </c>
      <c r="SJI24" s="906">
        <f t="shared" ref="SJI24" si="6688">$C$24*SJG24</f>
        <v>100000</v>
      </c>
      <c r="SJK24" s="906">
        <f t="shared" ref="SJK24" si="6689">$C$24*SJI24</f>
        <v>100000</v>
      </c>
      <c r="SJM24" s="906">
        <f t="shared" ref="SJM24" si="6690">$C$24*SJK24</f>
        <v>100000</v>
      </c>
      <c r="SJO24" s="906">
        <f t="shared" ref="SJO24" si="6691">$C$24*SJM24</f>
        <v>100000</v>
      </c>
      <c r="SJQ24" s="906">
        <f t="shared" ref="SJQ24" si="6692">$C$24*SJO24</f>
        <v>100000</v>
      </c>
      <c r="SJS24" s="906">
        <f t="shared" ref="SJS24" si="6693">$C$24*SJQ24</f>
        <v>100000</v>
      </c>
      <c r="SJU24" s="906">
        <f t="shared" ref="SJU24" si="6694">$C$24*SJS24</f>
        <v>100000</v>
      </c>
      <c r="SJW24" s="906">
        <f t="shared" ref="SJW24" si="6695">$C$24*SJU24</f>
        <v>100000</v>
      </c>
      <c r="SJY24" s="906">
        <f t="shared" ref="SJY24" si="6696">$C$24*SJW24</f>
        <v>100000</v>
      </c>
      <c r="SKA24" s="906">
        <f t="shared" ref="SKA24" si="6697">$C$24*SJY24</f>
        <v>100000</v>
      </c>
      <c r="SKC24" s="906">
        <f t="shared" ref="SKC24" si="6698">$C$24*SKA24</f>
        <v>100000</v>
      </c>
      <c r="SKE24" s="906">
        <f t="shared" ref="SKE24" si="6699">$C$24*SKC24</f>
        <v>100000</v>
      </c>
      <c r="SKG24" s="906">
        <f t="shared" ref="SKG24" si="6700">$C$24*SKE24</f>
        <v>100000</v>
      </c>
      <c r="SKI24" s="906">
        <f t="shared" ref="SKI24" si="6701">$C$24*SKG24</f>
        <v>100000</v>
      </c>
      <c r="SKK24" s="906">
        <f t="shared" ref="SKK24" si="6702">$C$24*SKI24</f>
        <v>100000</v>
      </c>
      <c r="SKM24" s="906">
        <f t="shared" ref="SKM24" si="6703">$C$24*SKK24</f>
        <v>100000</v>
      </c>
      <c r="SKO24" s="906">
        <f t="shared" ref="SKO24" si="6704">$C$24*SKM24</f>
        <v>100000</v>
      </c>
      <c r="SKQ24" s="906">
        <f t="shared" ref="SKQ24" si="6705">$C$24*SKO24</f>
        <v>100000</v>
      </c>
      <c r="SKS24" s="906">
        <f t="shared" ref="SKS24" si="6706">$C$24*SKQ24</f>
        <v>100000</v>
      </c>
      <c r="SKU24" s="906">
        <f t="shared" ref="SKU24" si="6707">$C$24*SKS24</f>
        <v>100000</v>
      </c>
      <c r="SKW24" s="906">
        <f t="shared" ref="SKW24" si="6708">$C$24*SKU24</f>
        <v>100000</v>
      </c>
      <c r="SKY24" s="906">
        <f t="shared" ref="SKY24" si="6709">$C$24*SKW24</f>
        <v>100000</v>
      </c>
      <c r="SLA24" s="906">
        <f t="shared" ref="SLA24" si="6710">$C$24*SKY24</f>
        <v>100000</v>
      </c>
      <c r="SLC24" s="906">
        <f t="shared" ref="SLC24" si="6711">$C$24*SLA24</f>
        <v>100000</v>
      </c>
      <c r="SLE24" s="906">
        <f t="shared" ref="SLE24" si="6712">$C$24*SLC24</f>
        <v>100000</v>
      </c>
      <c r="SLG24" s="906">
        <f t="shared" ref="SLG24" si="6713">$C$24*SLE24</f>
        <v>100000</v>
      </c>
      <c r="SLI24" s="906">
        <f t="shared" ref="SLI24" si="6714">$C$24*SLG24</f>
        <v>100000</v>
      </c>
      <c r="SLK24" s="906">
        <f t="shared" ref="SLK24" si="6715">$C$24*SLI24</f>
        <v>100000</v>
      </c>
      <c r="SLM24" s="906">
        <f t="shared" ref="SLM24" si="6716">$C$24*SLK24</f>
        <v>100000</v>
      </c>
      <c r="SLO24" s="906">
        <f t="shared" ref="SLO24" si="6717">$C$24*SLM24</f>
        <v>100000</v>
      </c>
      <c r="SLQ24" s="906">
        <f t="shared" ref="SLQ24" si="6718">$C$24*SLO24</f>
        <v>100000</v>
      </c>
      <c r="SLS24" s="906">
        <f t="shared" ref="SLS24" si="6719">$C$24*SLQ24</f>
        <v>100000</v>
      </c>
      <c r="SLU24" s="906">
        <f t="shared" ref="SLU24" si="6720">$C$24*SLS24</f>
        <v>100000</v>
      </c>
      <c r="SLW24" s="906">
        <f t="shared" ref="SLW24" si="6721">$C$24*SLU24</f>
        <v>100000</v>
      </c>
      <c r="SLY24" s="906">
        <f t="shared" ref="SLY24" si="6722">$C$24*SLW24</f>
        <v>100000</v>
      </c>
      <c r="SMA24" s="906">
        <f t="shared" ref="SMA24" si="6723">$C$24*SLY24</f>
        <v>100000</v>
      </c>
      <c r="SMC24" s="906">
        <f t="shared" ref="SMC24" si="6724">$C$24*SMA24</f>
        <v>100000</v>
      </c>
      <c r="SME24" s="906">
        <f t="shared" ref="SME24" si="6725">$C$24*SMC24</f>
        <v>100000</v>
      </c>
      <c r="SMG24" s="906">
        <f t="shared" ref="SMG24" si="6726">$C$24*SME24</f>
        <v>100000</v>
      </c>
      <c r="SMI24" s="906">
        <f t="shared" ref="SMI24" si="6727">$C$24*SMG24</f>
        <v>100000</v>
      </c>
      <c r="SMK24" s="906">
        <f t="shared" ref="SMK24" si="6728">$C$24*SMI24</f>
        <v>100000</v>
      </c>
      <c r="SMM24" s="906">
        <f t="shared" ref="SMM24" si="6729">$C$24*SMK24</f>
        <v>100000</v>
      </c>
      <c r="SMO24" s="906">
        <f t="shared" ref="SMO24" si="6730">$C$24*SMM24</f>
        <v>100000</v>
      </c>
      <c r="SMQ24" s="906">
        <f t="shared" ref="SMQ24" si="6731">$C$24*SMO24</f>
        <v>100000</v>
      </c>
      <c r="SMS24" s="906">
        <f t="shared" ref="SMS24" si="6732">$C$24*SMQ24</f>
        <v>100000</v>
      </c>
      <c r="SMU24" s="906">
        <f t="shared" ref="SMU24" si="6733">$C$24*SMS24</f>
        <v>100000</v>
      </c>
      <c r="SMW24" s="906">
        <f t="shared" ref="SMW24" si="6734">$C$24*SMU24</f>
        <v>100000</v>
      </c>
      <c r="SMY24" s="906">
        <f t="shared" ref="SMY24" si="6735">$C$24*SMW24</f>
        <v>100000</v>
      </c>
      <c r="SNA24" s="906">
        <f t="shared" ref="SNA24" si="6736">$C$24*SMY24</f>
        <v>100000</v>
      </c>
      <c r="SNC24" s="906">
        <f t="shared" ref="SNC24" si="6737">$C$24*SNA24</f>
        <v>100000</v>
      </c>
      <c r="SNE24" s="906">
        <f t="shared" ref="SNE24" si="6738">$C$24*SNC24</f>
        <v>100000</v>
      </c>
      <c r="SNG24" s="906">
        <f t="shared" ref="SNG24" si="6739">$C$24*SNE24</f>
        <v>100000</v>
      </c>
      <c r="SNI24" s="906">
        <f t="shared" ref="SNI24" si="6740">$C$24*SNG24</f>
        <v>100000</v>
      </c>
      <c r="SNK24" s="906">
        <f t="shared" ref="SNK24" si="6741">$C$24*SNI24</f>
        <v>100000</v>
      </c>
      <c r="SNM24" s="906">
        <f t="shared" ref="SNM24" si="6742">$C$24*SNK24</f>
        <v>100000</v>
      </c>
      <c r="SNO24" s="906">
        <f t="shared" ref="SNO24" si="6743">$C$24*SNM24</f>
        <v>100000</v>
      </c>
      <c r="SNQ24" s="906">
        <f t="shared" ref="SNQ24" si="6744">$C$24*SNO24</f>
        <v>100000</v>
      </c>
      <c r="SNS24" s="906">
        <f t="shared" ref="SNS24" si="6745">$C$24*SNQ24</f>
        <v>100000</v>
      </c>
      <c r="SNU24" s="906">
        <f t="shared" ref="SNU24" si="6746">$C$24*SNS24</f>
        <v>100000</v>
      </c>
      <c r="SNW24" s="906">
        <f t="shared" ref="SNW24" si="6747">$C$24*SNU24</f>
        <v>100000</v>
      </c>
      <c r="SNY24" s="906">
        <f t="shared" ref="SNY24" si="6748">$C$24*SNW24</f>
        <v>100000</v>
      </c>
      <c r="SOA24" s="906">
        <f t="shared" ref="SOA24" si="6749">$C$24*SNY24</f>
        <v>100000</v>
      </c>
      <c r="SOC24" s="906">
        <f t="shared" ref="SOC24" si="6750">$C$24*SOA24</f>
        <v>100000</v>
      </c>
      <c r="SOE24" s="906">
        <f t="shared" ref="SOE24" si="6751">$C$24*SOC24</f>
        <v>100000</v>
      </c>
      <c r="SOG24" s="906">
        <f t="shared" ref="SOG24" si="6752">$C$24*SOE24</f>
        <v>100000</v>
      </c>
      <c r="SOI24" s="906">
        <f t="shared" ref="SOI24" si="6753">$C$24*SOG24</f>
        <v>100000</v>
      </c>
      <c r="SOK24" s="906">
        <f t="shared" ref="SOK24" si="6754">$C$24*SOI24</f>
        <v>100000</v>
      </c>
      <c r="SOM24" s="906">
        <f t="shared" ref="SOM24" si="6755">$C$24*SOK24</f>
        <v>100000</v>
      </c>
      <c r="SOO24" s="906">
        <f t="shared" ref="SOO24" si="6756">$C$24*SOM24</f>
        <v>100000</v>
      </c>
      <c r="SOQ24" s="906">
        <f t="shared" ref="SOQ24" si="6757">$C$24*SOO24</f>
        <v>100000</v>
      </c>
      <c r="SOS24" s="906">
        <f t="shared" ref="SOS24" si="6758">$C$24*SOQ24</f>
        <v>100000</v>
      </c>
      <c r="SOU24" s="906">
        <f t="shared" ref="SOU24" si="6759">$C$24*SOS24</f>
        <v>100000</v>
      </c>
      <c r="SOW24" s="906">
        <f t="shared" ref="SOW24" si="6760">$C$24*SOU24</f>
        <v>100000</v>
      </c>
      <c r="SOY24" s="906">
        <f t="shared" ref="SOY24" si="6761">$C$24*SOW24</f>
        <v>100000</v>
      </c>
      <c r="SPA24" s="906">
        <f t="shared" ref="SPA24" si="6762">$C$24*SOY24</f>
        <v>100000</v>
      </c>
      <c r="SPC24" s="906">
        <f t="shared" ref="SPC24" si="6763">$C$24*SPA24</f>
        <v>100000</v>
      </c>
      <c r="SPE24" s="906">
        <f t="shared" ref="SPE24" si="6764">$C$24*SPC24</f>
        <v>100000</v>
      </c>
      <c r="SPG24" s="906">
        <f t="shared" ref="SPG24" si="6765">$C$24*SPE24</f>
        <v>100000</v>
      </c>
      <c r="SPI24" s="906">
        <f t="shared" ref="SPI24" si="6766">$C$24*SPG24</f>
        <v>100000</v>
      </c>
      <c r="SPK24" s="906">
        <f t="shared" ref="SPK24" si="6767">$C$24*SPI24</f>
        <v>100000</v>
      </c>
      <c r="SPM24" s="906">
        <f t="shared" ref="SPM24" si="6768">$C$24*SPK24</f>
        <v>100000</v>
      </c>
      <c r="SPO24" s="906">
        <f t="shared" ref="SPO24" si="6769">$C$24*SPM24</f>
        <v>100000</v>
      </c>
      <c r="SPQ24" s="906">
        <f t="shared" ref="SPQ24" si="6770">$C$24*SPO24</f>
        <v>100000</v>
      </c>
      <c r="SPS24" s="906">
        <f t="shared" ref="SPS24" si="6771">$C$24*SPQ24</f>
        <v>100000</v>
      </c>
      <c r="SPU24" s="906">
        <f t="shared" ref="SPU24" si="6772">$C$24*SPS24</f>
        <v>100000</v>
      </c>
      <c r="SPW24" s="906">
        <f t="shared" ref="SPW24" si="6773">$C$24*SPU24</f>
        <v>100000</v>
      </c>
      <c r="SPY24" s="906">
        <f t="shared" ref="SPY24" si="6774">$C$24*SPW24</f>
        <v>100000</v>
      </c>
      <c r="SQA24" s="906">
        <f t="shared" ref="SQA24" si="6775">$C$24*SPY24</f>
        <v>100000</v>
      </c>
      <c r="SQC24" s="906">
        <f t="shared" ref="SQC24" si="6776">$C$24*SQA24</f>
        <v>100000</v>
      </c>
      <c r="SQE24" s="906">
        <f t="shared" ref="SQE24" si="6777">$C$24*SQC24</f>
        <v>100000</v>
      </c>
      <c r="SQG24" s="906">
        <f t="shared" ref="SQG24" si="6778">$C$24*SQE24</f>
        <v>100000</v>
      </c>
      <c r="SQI24" s="906">
        <f t="shared" ref="SQI24" si="6779">$C$24*SQG24</f>
        <v>100000</v>
      </c>
      <c r="SQK24" s="906">
        <f t="shared" ref="SQK24" si="6780">$C$24*SQI24</f>
        <v>100000</v>
      </c>
      <c r="SQM24" s="906">
        <f t="shared" ref="SQM24" si="6781">$C$24*SQK24</f>
        <v>100000</v>
      </c>
      <c r="SQO24" s="906">
        <f t="shared" ref="SQO24" si="6782">$C$24*SQM24</f>
        <v>100000</v>
      </c>
      <c r="SQQ24" s="906">
        <f t="shared" ref="SQQ24" si="6783">$C$24*SQO24</f>
        <v>100000</v>
      </c>
      <c r="SQS24" s="906">
        <f t="shared" ref="SQS24" si="6784">$C$24*SQQ24</f>
        <v>100000</v>
      </c>
      <c r="SQU24" s="906">
        <f t="shared" ref="SQU24" si="6785">$C$24*SQS24</f>
        <v>100000</v>
      </c>
      <c r="SQW24" s="906">
        <f t="shared" ref="SQW24" si="6786">$C$24*SQU24</f>
        <v>100000</v>
      </c>
      <c r="SQY24" s="906">
        <f t="shared" ref="SQY24" si="6787">$C$24*SQW24</f>
        <v>100000</v>
      </c>
      <c r="SRA24" s="906">
        <f t="shared" ref="SRA24" si="6788">$C$24*SQY24</f>
        <v>100000</v>
      </c>
      <c r="SRC24" s="906">
        <f t="shared" ref="SRC24" si="6789">$C$24*SRA24</f>
        <v>100000</v>
      </c>
      <c r="SRE24" s="906">
        <f t="shared" ref="SRE24" si="6790">$C$24*SRC24</f>
        <v>100000</v>
      </c>
      <c r="SRG24" s="906">
        <f t="shared" ref="SRG24" si="6791">$C$24*SRE24</f>
        <v>100000</v>
      </c>
      <c r="SRI24" s="906">
        <f t="shared" ref="SRI24" si="6792">$C$24*SRG24</f>
        <v>100000</v>
      </c>
      <c r="SRK24" s="906">
        <f t="shared" ref="SRK24" si="6793">$C$24*SRI24</f>
        <v>100000</v>
      </c>
      <c r="SRM24" s="906">
        <f t="shared" ref="SRM24" si="6794">$C$24*SRK24</f>
        <v>100000</v>
      </c>
      <c r="SRO24" s="906">
        <f t="shared" ref="SRO24" si="6795">$C$24*SRM24</f>
        <v>100000</v>
      </c>
      <c r="SRQ24" s="906">
        <f t="shared" ref="SRQ24" si="6796">$C$24*SRO24</f>
        <v>100000</v>
      </c>
      <c r="SRS24" s="906">
        <f t="shared" ref="SRS24" si="6797">$C$24*SRQ24</f>
        <v>100000</v>
      </c>
      <c r="SRU24" s="906">
        <f t="shared" ref="SRU24" si="6798">$C$24*SRS24</f>
        <v>100000</v>
      </c>
      <c r="SRW24" s="906">
        <f t="shared" ref="SRW24" si="6799">$C$24*SRU24</f>
        <v>100000</v>
      </c>
      <c r="SRY24" s="906">
        <f t="shared" ref="SRY24" si="6800">$C$24*SRW24</f>
        <v>100000</v>
      </c>
      <c r="SSA24" s="906">
        <f t="shared" ref="SSA24" si="6801">$C$24*SRY24</f>
        <v>100000</v>
      </c>
      <c r="SSC24" s="906">
        <f t="shared" ref="SSC24" si="6802">$C$24*SSA24</f>
        <v>100000</v>
      </c>
      <c r="SSE24" s="906">
        <f t="shared" ref="SSE24" si="6803">$C$24*SSC24</f>
        <v>100000</v>
      </c>
      <c r="SSG24" s="906">
        <f t="shared" ref="SSG24" si="6804">$C$24*SSE24</f>
        <v>100000</v>
      </c>
      <c r="SSI24" s="906">
        <f t="shared" ref="SSI24" si="6805">$C$24*SSG24</f>
        <v>100000</v>
      </c>
      <c r="SSK24" s="906">
        <f t="shared" ref="SSK24" si="6806">$C$24*SSI24</f>
        <v>100000</v>
      </c>
      <c r="SSM24" s="906">
        <f t="shared" ref="SSM24" si="6807">$C$24*SSK24</f>
        <v>100000</v>
      </c>
      <c r="SSO24" s="906">
        <f t="shared" ref="SSO24" si="6808">$C$24*SSM24</f>
        <v>100000</v>
      </c>
      <c r="SSQ24" s="906">
        <f t="shared" ref="SSQ24" si="6809">$C$24*SSO24</f>
        <v>100000</v>
      </c>
      <c r="SSS24" s="906">
        <f t="shared" ref="SSS24" si="6810">$C$24*SSQ24</f>
        <v>100000</v>
      </c>
      <c r="SSU24" s="906">
        <f t="shared" ref="SSU24" si="6811">$C$24*SSS24</f>
        <v>100000</v>
      </c>
      <c r="SSW24" s="906">
        <f t="shared" ref="SSW24" si="6812">$C$24*SSU24</f>
        <v>100000</v>
      </c>
      <c r="SSY24" s="906">
        <f t="shared" ref="SSY24" si="6813">$C$24*SSW24</f>
        <v>100000</v>
      </c>
      <c r="STA24" s="906">
        <f t="shared" ref="STA24" si="6814">$C$24*SSY24</f>
        <v>100000</v>
      </c>
      <c r="STC24" s="906">
        <f t="shared" ref="STC24" si="6815">$C$24*STA24</f>
        <v>100000</v>
      </c>
      <c r="STE24" s="906">
        <f t="shared" ref="STE24" si="6816">$C$24*STC24</f>
        <v>100000</v>
      </c>
      <c r="STG24" s="906">
        <f t="shared" ref="STG24" si="6817">$C$24*STE24</f>
        <v>100000</v>
      </c>
      <c r="STI24" s="906">
        <f t="shared" ref="STI24" si="6818">$C$24*STG24</f>
        <v>100000</v>
      </c>
      <c r="STK24" s="906">
        <f t="shared" ref="STK24" si="6819">$C$24*STI24</f>
        <v>100000</v>
      </c>
      <c r="STM24" s="906">
        <f t="shared" ref="STM24" si="6820">$C$24*STK24</f>
        <v>100000</v>
      </c>
      <c r="STO24" s="906">
        <f t="shared" ref="STO24" si="6821">$C$24*STM24</f>
        <v>100000</v>
      </c>
      <c r="STQ24" s="906">
        <f t="shared" ref="STQ24" si="6822">$C$24*STO24</f>
        <v>100000</v>
      </c>
      <c r="STS24" s="906">
        <f t="shared" ref="STS24" si="6823">$C$24*STQ24</f>
        <v>100000</v>
      </c>
      <c r="STU24" s="906">
        <f t="shared" ref="STU24" si="6824">$C$24*STS24</f>
        <v>100000</v>
      </c>
      <c r="STW24" s="906">
        <f t="shared" ref="STW24" si="6825">$C$24*STU24</f>
        <v>100000</v>
      </c>
      <c r="STY24" s="906">
        <f t="shared" ref="STY24" si="6826">$C$24*STW24</f>
        <v>100000</v>
      </c>
      <c r="SUA24" s="906">
        <f t="shared" ref="SUA24" si="6827">$C$24*STY24</f>
        <v>100000</v>
      </c>
      <c r="SUC24" s="906">
        <f t="shared" ref="SUC24" si="6828">$C$24*SUA24</f>
        <v>100000</v>
      </c>
      <c r="SUE24" s="906">
        <f t="shared" ref="SUE24" si="6829">$C$24*SUC24</f>
        <v>100000</v>
      </c>
      <c r="SUG24" s="906">
        <f t="shared" ref="SUG24" si="6830">$C$24*SUE24</f>
        <v>100000</v>
      </c>
      <c r="SUI24" s="906">
        <f t="shared" ref="SUI24" si="6831">$C$24*SUG24</f>
        <v>100000</v>
      </c>
      <c r="SUK24" s="906">
        <f t="shared" ref="SUK24" si="6832">$C$24*SUI24</f>
        <v>100000</v>
      </c>
      <c r="SUM24" s="906">
        <f t="shared" ref="SUM24" si="6833">$C$24*SUK24</f>
        <v>100000</v>
      </c>
      <c r="SUO24" s="906">
        <f t="shared" ref="SUO24" si="6834">$C$24*SUM24</f>
        <v>100000</v>
      </c>
      <c r="SUQ24" s="906">
        <f t="shared" ref="SUQ24" si="6835">$C$24*SUO24</f>
        <v>100000</v>
      </c>
      <c r="SUS24" s="906">
        <f t="shared" ref="SUS24" si="6836">$C$24*SUQ24</f>
        <v>100000</v>
      </c>
      <c r="SUU24" s="906">
        <f t="shared" ref="SUU24" si="6837">$C$24*SUS24</f>
        <v>100000</v>
      </c>
      <c r="SUW24" s="906">
        <f t="shared" ref="SUW24" si="6838">$C$24*SUU24</f>
        <v>100000</v>
      </c>
      <c r="SUY24" s="906">
        <f t="shared" ref="SUY24" si="6839">$C$24*SUW24</f>
        <v>100000</v>
      </c>
      <c r="SVA24" s="906">
        <f t="shared" ref="SVA24" si="6840">$C$24*SUY24</f>
        <v>100000</v>
      </c>
      <c r="SVC24" s="906">
        <f t="shared" ref="SVC24" si="6841">$C$24*SVA24</f>
        <v>100000</v>
      </c>
      <c r="SVE24" s="906">
        <f t="shared" ref="SVE24" si="6842">$C$24*SVC24</f>
        <v>100000</v>
      </c>
      <c r="SVG24" s="906">
        <f t="shared" ref="SVG24" si="6843">$C$24*SVE24</f>
        <v>100000</v>
      </c>
      <c r="SVI24" s="906">
        <f t="shared" ref="SVI24" si="6844">$C$24*SVG24</f>
        <v>100000</v>
      </c>
      <c r="SVK24" s="906">
        <f t="shared" ref="SVK24" si="6845">$C$24*SVI24</f>
        <v>100000</v>
      </c>
      <c r="SVM24" s="906">
        <f t="shared" ref="SVM24" si="6846">$C$24*SVK24</f>
        <v>100000</v>
      </c>
      <c r="SVO24" s="906">
        <f t="shared" ref="SVO24" si="6847">$C$24*SVM24</f>
        <v>100000</v>
      </c>
      <c r="SVQ24" s="906">
        <f t="shared" ref="SVQ24" si="6848">$C$24*SVO24</f>
        <v>100000</v>
      </c>
      <c r="SVS24" s="906">
        <f t="shared" ref="SVS24" si="6849">$C$24*SVQ24</f>
        <v>100000</v>
      </c>
      <c r="SVU24" s="906">
        <f t="shared" ref="SVU24" si="6850">$C$24*SVS24</f>
        <v>100000</v>
      </c>
      <c r="SVW24" s="906">
        <f t="shared" ref="SVW24" si="6851">$C$24*SVU24</f>
        <v>100000</v>
      </c>
      <c r="SVY24" s="906">
        <f t="shared" ref="SVY24" si="6852">$C$24*SVW24</f>
        <v>100000</v>
      </c>
      <c r="SWA24" s="906">
        <f t="shared" ref="SWA24" si="6853">$C$24*SVY24</f>
        <v>100000</v>
      </c>
      <c r="SWC24" s="906">
        <f t="shared" ref="SWC24" si="6854">$C$24*SWA24</f>
        <v>100000</v>
      </c>
      <c r="SWE24" s="906">
        <f t="shared" ref="SWE24" si="6855">$C$24*SWC24</f>
        <v>100000</v>
      </c>
      <c r="SWG24" s="906">
        <f t="shared" ref="SWG24" si="6856">$C$24*SWE24</f>
        <v>100000</v>
      </c>
      <c r="SWI24" s="906">
        <f t="shared" ref="SWI24" si="6857">$C$24*SWG24</f>
        <v>100000</v>
      </c>
      <c r="SWK24" s="906">
        <f t="shared" ref="SWK24" si="6858">$C$24*SWI24</f>
        <v>100000</v>
      </c>
      <c r="SWM24" s="906">
        <f t="shared" ref="SWM24" si="6859">$C$24*SWK24</f>
        <v>100000</v>
      </c>
      <c r="SWO24" s="906">
        <f t="shared" ref="SWO24" si="6860">$C$24*SWM24</f>
        <v>100000</v>
      </c>
      <c r="SWQ24" s="906">
        <f t="shared" ref="SWQ24" si="6861">$C$24*SWO24</f>
        <v>100000</v>
      </c>
      <c r="SWS24" s="906">
        <f t="shared" ref="SWS24" si="6862">$C$24*SWQ24</f>
        <v>100000</v>
      </c>
      <c r="SWU24" s="906">
        <f t="shared" ref="SWU24" si="6863">$C$24*SWS24</f>
        <v>100000</v>
      </c>
      <c r="SWW24" s="906">
        <f t="shared" ref="SWW24" si="6864">$C$24*SWU24</f>
        <v>100000</v>
      </c>
      <c r="SWY24" s="906">
        <f t="shared" ref="SWY24" si="6865">$C$24*SWW24</f>
        <v>100000</v>
      </c>
      <c r="SXA24" s="906">
        <f t="shared" ref="SXA24" si="6866">$C$24*SWY24</f>
        <v>100000</v>
      </c>
      <c r="SXC24" s="906">
        <f t="shared" ref="SXC24" si="6867">$C$24*SXA24</f>
        <v>100000</v>
      </c>
      <c r="SXE24" s="906">
        <f t="shared" ref="SXE24" si="6868">$C$24*SXC24</f>
        <v>100000</v>
      </c>
      <c r="SXG24" s="906">
        <f t="shared" ref="SXG24" si="6869">$C$24*SXE24</f>
        <v>100000</v>
      </c>
      <c r="SXI24" s="906">
        <f t="shared" ref="SXI24" si="6870">$C$24*SXG24</f>
        <v>100000</v>
      </c>
      <c r="SXK24" s="906">
        <f t="shared" ref="SXK24" si="6871">$C$24*SXI24</f>
        <v>100000</v>
      </c>
      <c r="SXM24" s="906">
        <f t="shared" ref="SXM24" si="6872">$C$24*SXK24</f>
        <v>100000</v>
      </c>
      <c r="SXO24" s="906">
        <f t="shared" ref="SXO24" si="6873">$C$24*SXM24</f>
        <v>100000</v>
      </c>
      <c r="SXQ24" s="906">
        <f t="shared" ref="SXQ24" si="6874">$C$24*SXO24</f>
        <v>100000</v>
      </c>
      <c r="SXS24" s="906">
        <f t="shared" ref="SXS24" si="6875">$C$24*SXQ24</f>
        <v>100000</v>
      </c>
      <c r="SXU24" s="906">
        <f t="shared" ref="SXU24" si="6876">$C$24*SXS24</f>
        <v>100000</v>
      </c>
      <c r="SXW24" s="906">
        <f t="shared" ref="SXW24" si="6877">$C$24*SXU24</f>
        <v>100000</v>
      </c>
      <c r="SXY24" s="906">
        <f t="shared" ref="SXY24" si="6878">$C$24*SXW24</f>
        <v>100000</v>
      </c>
      <c r="SYA24" s="906">
        <f t="shared" ref="SYA24" si="6879">$C$24*SXY24</f>
        <v>100000</v>
      </c>
      <c r="SYC24" s="906">
        <f t="shared" ref="SYC24" si="6880">$C$24*SYA24</f>
        <v>100000</v>
      </c>
      <c r="SYE24" s="906">
        <f t="shared" ref="SYE24" si="6881">$C$24*SYC24</f>
        <v>100000</v>
      </c>
      <c r="SYG24" s="906">
        <f t="shared" ref="SYG24" si="6882">$C$24*SYE24</f>
        <v>100000</v>
      </c>
      <c r="SYI24" s="906">
        <f t="shared" ref="SYI24" si="6883">$C$24*SYG24</f>
        <v>100000</v>
      </c>
      <c r="SYK24" s="906">
        <f t="shared" ref="SYK24" si="6884">$C$24*SYI24</f>
        <v>100000</v>
      </c>
      <c r="SYM24" s="906">
        <f t="shared" ref="SYM24" si="6885">$C$24*SYK24</f>
        <v>100000</v>
      </c>
      <c r="SYO24" s="906">
        <f t="shared" ref="SYO24" si="6886">$C$24*SYM24</f>
        <v>100000</v>
      </c>
      <c r="SYQ24" s="906">
        <f t="shared" ref="SYQ24" si="6887">$C$24*SYO24</f>
        <v>100000</v>
      </c>
      <c r="SYS24" s="906">
        <f t="shared" ref="SYS24" si="6888">$C$24*SYQ24</f>
        <v>100000</v>
      </c>
      <c r="SYU24" s="906">
        <f t="shared" ref="SYU24" si="6889">$C$24*SYS24</f>
        <v>100000</v>
      </c>
      <c r="SYW24" s="906">
        <f t="shared" ref="SYW24" si="6890">$C$24*SYU24</f>
        <v>100000</v>
      </c>
      <c r="SYY24" s="906">
        <f t="shared" ref="SYY24" si="6891">$C$24*SYW24</f>
        <v>100000</v>
      </c>
      <c r="SZA24" s="906">
        <f t="shared" ref="SZA24" si="6892">$C$24*SYY24</f>
        <v>100000</v>
      </c>
      <c r="SZC24" s="906">
        <f t="shared" ref="SZC24" si="6893">$C$24*SZA24</f>
        <v>100000</v>
      </c>
      <c r="SZE24" s="906">
        <f t="shared" ref="SZE24" si="6894">$C$24*SZC24</f>
        <v>100000</v>
      </c>
      <c r="SZG24" s="906">
        <f t="shared" ref="SZG24" si="6895">$C$24*SZE24</f>
        <v>100000</v>
      </c>
      <c r="SZI24" s="906">
        <f t="shared" ref="SZI24" si="6896">$C$24*SZG24</f>
        <v>100000</v>
      </c>
      <c r="SZK24" s="906">
        <f t="shared" ref="SZK24" si="6897">$C$24*SZI24</f>
        <v>100000</v>
      </c>
      <c r="SZM24" s="906">
        <f t="shared" ref="SZM24" si="6898">$C$24*SZK24</f>
        <v>100000</v>
      </c>
      <c r="SZO24" s="906">
        <f t="shared" ref="SZO24" si="6899">$C$24*SZM24</f>
        <v>100000</v>
      </c>
      <c r="SZQ24" s="906">
        <f t="shared" ref="SZQ24" si="6900">$C$24*SZO24</f>
        <v>100000</v>
      </c>
      <c r="SZS24" s="906">
        <f t="shared" ref="SZS24" si="6901">$C$24*SZQ24</f>
        <v>100000</v>
      </c>
      <c r="SZU24" s="906">
        <f t="shared" ref="SZU24" si="6902">$C$24*SZS24</f>
        <v>100000</v>
      </c>
      <c r="SZW24" s="906">
        <f t="shared" ref="SZW24" si="6903">$C$24*SZU24</f>
        <v>100000</v>
      </c>
      <c r="SZY24" s="906">
        <f t="shared" ref="SZY24" si="6904">$C$24*SZW24</f>
        <v>100000</v>
      </c>
      <c r="TAA24" s="906">
        <f t="shared" ref="TAA24" si="6905">$C$24*SZY24</f>
        <v>100000</v>
      </c>
      <c r="TAC24" s="906">
        <f t="shared" ref="TAC24" si="6906">$C$24*TAA24</f>
        <v>100000</v>
      </c>
      <c r="TAE24" s="906">
        <f t="shared" ref="TAE24" si="6907">$C$24*TAC24</f>
        <v>100000</v>
      </c>
      <c r="TAG24" s="906">
        <f t="shared" ref="TAG24" si="6908">$C$24*TAE24</f>
        <v>100000</v>
      </c>
      <c r="TAI24" s="906">
        <f t="shared" ref="TAI24" si="6909">$C$24*TAG24</f>
        <v>100000</v>
      </c>
      <c r="TAK24" s="906">
        <f t="shared" ref="TAK24" si="6910">$C$24*TAI24</f>
        <v>100000</v>
      </c>
      <c r="TAM24" s="906">
        <f t="shared" ref="TAM24" si="6911">$C$24*TAK24</f>
        <v>100000</v>
      </c>
      <c r="TAO24" s="906">
        <f t="shared" ref="TAO24" si="6912">$C$24*TAM24</f>
        <v>100000</v>
      </c>
      <c r="TAQ24" s="906">
        <f t="shared" ref="TAQ24" si="6913">$C$24*TAO24</f>
        <v>100000</v>
      </c>
      <c r="TAS24" s="906">
        <f t="shared" ref="TAS24" si="6914">$C$24*TAQ24</f>
        <v>100000</v>
      </c>
      <c r="TAU24" s="906">
        <f t="shared" ref="TAU24" si="6915">$C$24*TAS24</f>
        <v>100000</v>
      </c>
      <c r="TAW24" s="906">
        <f t="shared" ref="TAW24" si="6916">$C$24*TAU24</f>
        <v>100000</v>
      </c>
      <c r="TAY24" s="906">
        <f t="shared" ref="TAY24" si="6917">$C$24*TAW24</f>
        <v>100000</v>
      </c>
      <c r="TBA24" s="906">
        <f t="shared" ref="TBA24" si="6918">$C$24*TAY24</f>
        <v>100000</v>
      </c>
      <c r="TBC24" s="906">
        <f t="shared" ref="TBC24" si="6919">$C$24*TBA24</f>
        <v>100000</v>
      </c>
      <c r="TBE24" s="906">
        <f t="shared" ref="TBE24" si="6920">$C$24*TBC24</f>
        <v>100000</v>
      </c>
      <c r="TBG24" s="906">
        <f t="shared" ref="TBG24" si="6921">$C$24*TBE24</f>
        <v>100000</v>
      </c>
      <c r="TBI24" s="906">
        <f t="shared" ref="TBI24" si="6922">$C$24*TBG24</f>
        <v>100000</v>
      </c>
      <c r="TBK24" s="906">
        <f t="shared" ref="TBK24" si="6923">$C$24*TBI24</f>
        <v>100000</v>
      </c>
      <c r="TBM24" s="906">
        <f t="shared" ref="TBM24" si="6924">$C$24*TBK24</f>
        <v>100000</v>
      </c>
      <c r="TBO24" s="906">
        <f t="shared" ref="TBO24" si="6925">$C$24*TBM24</f>
        <v>100000</v>
      </c>
      <c r="TBQ24" s="906">
        <f t="shared" ref="TBQ24" si="6926">$C$24*TBO24</f>
        <v>100000</v>
      </c>
      <c r="TBS24" s="906">
        <f t="shared" ref="TBS24" si="6927">$C$24*TBQ24</f>
        <v>100000</v>
      </c>
      <c r="TBU24" s="906">
        <f t="shared" ref="TBU24" si="6928">$C$24*TBS24</f>
        <v>100000</v>
      </c>
      <c r="TBW24" s="906">
        <f t="shared" ref="TBW24" si="6929">$C$24*TBU24</f>
        <v>100000</v>
      </c>
      <c r="TBY24" s="906">
        <f t="shared" ref="TBY24" si="6930">$C$24*TBW24</f>
        <v>100000</v>
      </c>
      <c r="TCA24" s="906">
        <f t="shared" ref="TCA24" si="6931">$C$24*TBY24</f>
        <v>100000</v>
      </c>
      <c r="TCC24" s="906">
        <f t="shared" ref="TCC24" si="6932">$C$24*TCA24</f>
        <v>100000</v>
      </c>
      <c r="TCE24" s="906">
        <f t="shared" ref="TCE24" si="6933">$C$24*TCC24</f>
        <v>100000</v>
      </c>
      <c r="TCG24" s="906">
        <f t="shared" ref="TCG24" si="6934">$C$24*TCE24</f>
        <v>100000</v>
      </c>
      <c r="TCI24" s="906">
        <f t="shared" ref="TCI24" si="6935">$C$24*TCG24</f>
        <v>100000</v>
      </c>
      <c r="TCK24" s="906">
        <f t="shared" ref="TCK24" si="6936">$C$24*TCI24</f>
        <v>100000</v>
      </c>
      <c r="TCM24" s="906">
        <f t="shared" ref="TCM24" si="6937">$C$24*TCK24</f>
        <v>100000</v>
      </c>
      <c r="TCO24" s="906">
        <f t="shared" ref="TCO24" si="6938">$C$24*TCM24</f>
        <v>100000</v>
      </c>
      <c r="TCQ24" s="906">
        <f t="shared" ref="TCQ24" si="6939">$C$24*TCO24</f>
        <v>100000</v>
      </c>
      <c r="TCS24" s="906">
        <f t="shared" ref="TCS24" si="6940">$C$24*TCQ24</f>
        <v>100000</v>
      </c>
      <c r="TCU24" s="906">
        <f t="shared" ref="TCU24" si="6941">$C$24*TCS24</f>
        <v>100000</v>
      </c>
      <c r="TCW24" s="906">
        <f t="shared" ref="TCW24" si="6942">$C$24*TCU24</f>
        <v>100000</v>
      </c>
      <c r="TCY24" s="906">
        <f t="shared" ref="TCY24" si="6943">$C$24*TCW24</f>
        <v>100000</v>
      </c>
      <c r="TDA24" s="906">
        <f t="shared" ref="TDA24" si="6944">$C$24*TCY24</f>
        <v>100000</v>
      </c>
      <c r="TDC24" s="906">
        <f t="shared" ref="TDC24" si="6945">$C$24*TDA24</f>
        <v>100000</v>
      </c>
      <c r="TDE24" s="906">
        <f t="shared" ref="TDE24" si="6946">$C$24*TDC24</f>
        <v>100000</v>
      </c>
      <c r="TDG24" s="906">
        <f t="shared" ref="TDG24" si="6947">$C$24*TDE24</f>
        <v>100000</v>
      </c>
      <c r="TDI24" s="906">
        <f t="shared" ref="TDI24" si="6948">$C$24*TDG24</f>
        <v>100000</v>
      </c>
      <c r="TDK24" s="906">
        <f t="shared" ref="TDK24" si="6949">$C$24*TDI24</f>
        <v>100000</v>
      </c>
      <c r="TDM24" s="906">
        <f t="shared" ref="TDM24" si="6950">$C$24*TDK24</f>
        <v>100000</v>
      </c>
      <c r="TDO24" s="906">
        <f t="shared" ref="TDO24" si="6951">$C$24*TDM24</f>
        <v>100000</v>
      </c>
      <c r="TDQ24" s="906">
        <f t="shared" ref="TDQ24" si="6952">$C$24*TDO24</f>
        <v>100000</v>
      </c>
      <c r="TDS24" s="906">
        <f t="shared" ref="TDS24" si="6953">$C$24*TDQ24</f>
        <v>100000</v>
      </c>
      <c r="TDU24" s="906">
        <f t="shared" ref="TDU24" si="6954">$C$24*TDS24</f>
        <v>100000</v>
      </c>
      <c r="TDW24" s="906">
        <f t="shared" ref="TDW24" si="6955">$C$24*TDU24</f>
        <v>100000</v>
      </c>
      <c r="TDY24" s="906">
        <f t="shared" ref="TDY24" si="6956">$C$24*TDW24</f>
        <v>100000</v>
      </c>
      <c r="TEA24" s="906">
        <f t="shared" ref="TEA24" si="6957">$C$24*TDY24</f>
        <v>100000</v>
      </c>
      <c r="TEC24" s="906">
        <f t="shared" ref="TEC24" si="6958">$C$24*TEA24</f>
        <v>100000</v>
      </c>
      <c r="TEE24" s="906">
        <f t="shared" ref="TEE24" si="6959">$C$24*TEC24</f>
        <v>100000</v>
      </c>
      <c r="TEG24" s="906">
        <f t="shared" ref="TEG24" si="6960">$C$24*TEE24</f>
        <v>100000</v>
      </c>
      <c r="TEI24" s="906">
        <f t="shared" ref="TEI24" si="6961">$C$24*TEG24</f>
        <v>100000</v>
      </c>
      <c r="TEK24" s="906">
        <f t="shared" ref="TEK24" si="6962">$C$24*TEI24</f>
        <v>100000</v>
      </c>
      <c r="TEM24" s="906">
        <f t="shared" ref="TEM24" si="6963">$C$24*TEK24</f>
        <v>100000</v>
      </c>
      <c r="TEO24" s="906">
        <f t="shared" ref="TEO24" si="6964">$C$24*TEM24</f>
        <v>100000</v>
      </c>
      <c r="TEQ24" s="906">
        <f t="shared" ref="TEQ24" si="6965">$C$24*TEO24</f>
        <v>100000</v>
      </c>
      <c r="TES24" s="906">
        <f t="shared" ref="TES24" si="6966">$C$24*TEQ24</f>
        <v>100000</v>
      </c>
      <c r="TEU24" s="906">
        <f t="shared" ref="TEU24" si="6967">$C$24*TES24</f>
        <v>100000</v>
      </c>
      <c r="TEW24" s="906">
        <f t="shared" ref="TEW24" si="6968">$C$24*TEU24</f>
        <v>100000</v>
      </c>
      <c r="TEY24" s="906">
        <f t="shared" ref="TEY24" si="6969">$C$24*TEW24</f>
        <v>100000</v>
      </c>
      <c r="TFA24" s="906">
        <f t="shared" ref="TFA24" si="6970">$C$24*TEY24</f>
        <v>100000</v>
      </c>
      <c r="TFC24" s="906">
        <f t="shared" ref="TFC24" si="6971">$C$24*TFA24</f>
        <v>100000</v>
      </c>
      <c r="TFE24" s="906">
        <f t="shared" ref="TFE24" si="6972">$C$24*TFC24</f>
        <v>100000</v>
      </c>
      <c r="TFG24" s="906">
        <f t="shared" ref="TFG24" si="6973">$C$24*TFE24</f>
        <v>100000</v>
      </c>
      <c r="TFI24" s="906">
        <f t="shared" ref="TFI24" si="6974">$C$24*TFG24</f>
        <v>100000</v>
      </c>
      <c r="TFK24" s="906">
        <f t="shared" ref="TFK24" si="6975">$C$24*TFI24</f>
        <v>100000</v>
      </c>
      <c r="TFM24" s="906">
        <f t="shared" ref="TFM24" si="6976">$C$24*TFK24</f>
        <v>100000</v>
      </c>
      <c r="TFO24" s="906">
        <f t="shared" ref="TFO24" si="6977">$C$24*TFM24</f>
        <v>100000</v>
      </c>
      <c r="TFQ24" s="906">
        <f t="shared" ref="TFQ24" si="6978">$C$24*TFO24</f>
        <v>100000</v>
      </c>
      <c r="TFS24" s="906">
        <f t="shared" ref="TFS24" si="6979">$C$24*TFQ24</f>
        <v>100000</v>
      </c>
      <c r="TFU24" s="906">
        <f t="shared" ref="TFU24" si="6980">$C$24*TFS24</f>
        <v>100000</v>
      </c>
      <c r="TFW24" s="906">
        <f t="shared" ref="TFW24" si="6981">$C$24*TFU24</f>
        <v>100000</v>
      </c>
      <c r="TFY24" s="906">
        <f t="shared" ref="TFY24" si="6982">$C$24*TFW24</f>
        <v>100000</v>
      </c>
      <c r="TGA24" s="906">
        <f t="shared" ref="TGA24" si="6983">$C$24*TFY24</f>
        <v>100000</v>
      </c>
      <c r="TGC24" s="906">
        <f t="shared" ref="TGC24" si="6984">$C$24*TGA24</f>
        <v>100000</v>
      </c>
      <c r="TGE24" s="906">
        <f t="shared" ref="TGE24" si="6985">$C$24*TGC24</f>
        <v>100000</v>
      </c>
      <c r="TGG24" s="906">
        <f t="shared" ref="TGG24" si="6986">$C$24*TGE24</f>
        <v>100000</v>
      </c>
      <c r="TGI24" s="906">
        <f t="shared" ref="TGI24" si="6987">$C$24*TGG24</f>
        <v>100000</v>
      </c>
      <c r="TGK24" s="906">
        <f t="shared" ref="TGK24" si="6988">$C$24*TGI24</f>
        <v>100000</v>
      </c>
      <c r="TGM24" s="906">
        <f t="shared" ref="TGM24" si="6989">$C$24*TGK24</f>
        <v>100000</v>
      </c>
      <c r="TGO24" s="906">
        <f t="shared" ref="TGO24" si="6990">$C$24*TGM24</f>
        <v>100000</v>
      </c>
      <c r="TGQ24" s="906">
        <f t="shared" ref="TGQ24" si="6991">$C$24*TGO24</f>
        <v>100000</v>
      </c>
      <c r="TGS24" s="906">
        <f t="shared" ref="TGS24" si="6992">$C$24*TGQ24</f>
        <v>100000</v>
      </c>
      <c r="TGU24" s="906">
        <f t="shared" ref="TGU24" si="6993">$C$24*TGS24</f>
        <v>100000</v>
      </c>
      <c r="TGW24" s="906">
        <f t="shared" ref="TGW24" si="6994">$C$24*TGU24</f>
        <v>100000</v>
      </c>
      <c r="TGY24" s="906">
        <f t="shared" ref="TGY24" si="6995">$C$24*TGW24</f>
        <v>100000</v>
      </c>
      <c r="THA24" s="906">
        <f t="shared" ref="THA24" si="6996">$C$24*TGY24</f>
        <v>100000</v>
      </c>
      <c r="THC24" s="906">
        <f t="shared" ref="THC24" si="6997">$C$24*THA24</f>
        <v>100000</v>
      </c>
      <c r="THE24" s="906">
        <f t="shared" ref="THE24" si="6998">$C$24*THC24</f>
        <v>100000</v>
      </c>
      <c r="THG24" s="906">
        <f t="shared" ref="THG24" si="6999">$C$24*THE24</f>
        <v>100000</v>
      </c>
      <c r="THI24" s="906">
        <f t="shared" ref="THI24" si="7000">$C$24*THG24</f>
        <v>100000</v>
      </c>
      <c r="THK24" s="906">
        <f t="shared" ref="THK24" si="7001">$C$24*THI24</f>
        <v>100000</v>
      </c>
      <c r="THM24" s="906">
        <f t="shared" ref="THM24" si="7002">$C$24*THK24</f>
        <v>100000</v>
      </c>
      <c r="THO24" s="906">
        <f t="shared" ref="THO24" si="7003">$C$24*THM24</f>
        <v>100000</v>
      </c>
      <c r="THQ24" s="906">
        <f t="shared" ref="THQ24" si="7004">$C$24*THO24</f>
        <v>100000</v>
      </c>
      <c r="THS24" s="906">
        <f t="shared" ref="THS24" si="7005">$C$24*THQ24</f>
        <v>100000</v>
      </c>
      <c r="THU24" s="906">
        <f t="shared" ref="THU24" si="7006">$C$24*THS24</f>
        <v>100000</v>
      </c>
      <c r="THW24" s="906">
        <f t="shared" ref="THW24" si="7007">$C$24*THU24</f>
        <v>100000</v>
      </c>
      <c r="THY24" s="906">
        <f t="shared" ref="THY24" si="7008">$C$24*THW24</f>
        <v>100000</v>
      </c>
      <c r="TIA24" s="906">
        <f t="shared" ref="TIA24" si="7009">$C$24*THY24</f>
        <v>100000</v>
      </c>
      <c r="TIC24" s="906">
        <f t="shared" ref="TIC24" si="7010">$C$24*TIA24</f>
        <v>100000</v>
      </c>
      <c r="TIE24" s="906">
        <f t="shared" ref="TIE24" si="7011">$C$24*TIC24</f>
        <v>100000</v>
      </c>
      <c r="TIG24" s="906">
        <f t="shared" ref="TIG24" si="7012">$C$24*TIE24</f>
        <v>100000</v>
      </c>
      <c r="TII24" s="906">
        <f t="shared" ref="TII24" si="7013">$C$24*TIG24</f>
        <v>100000</v>
      </c>
      <c r="TIK24" s="906">
        <f t="shared" ref="TIK24" si="7014">$C$24*TII24</f>
        <v>100000</v>
      </c>
      <c r="TIM24" s="906">
        <f t="shared" ref="TIM24" si="7015">$C$24*TIK24</f>
        <v>100000</v>
      </c>
      <c r="TIO24" s="906">
        <f t="shared" ref="TIO24" si="7016">$C$24*TIM24</f>
        <v>100000</v>
      </c>
      <c r="TIQ24" s="906">
        <f t="shared" ref="TIQ24" si="7017">$C$24*TIO24</f>
        <v>100000</v>
      </c>
      <c r="TIS24" s="906">
        <f t="shared" ref="TIS24" si="7018">$C$24*TIQ24</f>
        <v>100000</v>
      </c>
      <c r="TIU24" s="906">
        <f t="shared" ref="TIU24" si="7019">$C$24*TIS24</f>
        <v>100000</v>
      </c>
      <c r="TIW24" s="906">
        <f t="shared" ref="TIW24" si="7020">$C$24*TIU24</f>
        <v>100000</v>
      </c>
      <c r="TIY24" s="906">
        <f t="shared" ref="TIY24" si="7021">$C$24*TIW24</f>
        <v>100000</v>
      </c>
      <c r="TJA24" s="906">
        <f t="shared" ref="TJA24" si="7022">$C$24*TIY24</f>
        <v>100000</v>
      </c>
      <c r="TJC24" s="906">
        <f t="shared" ref="TJC24" si="7023">$C$24*TJA24</f>
        <v>100000</v>
      </c>
      <c r="TJE24" s="906">
        <f t="shared" ref="TJE24" si="7024">$C$24*TJC24</f>
        <v>100000</v>
      </c>
      <c r="TJG24" s="906">
        <f t="shared" ref="TJG24" si="7025">$C$24*TJE24</f>
        <v>100000</v>
      </c>
      <c r="TJI24" s="906">
        <f t="shared" ref="TJI24" si="7026">$C$24*TJG24</f>
        <v>100000</v>
      </c>
      <c r="TJK24" s="906">
        <f t="shared" ref="TJK24" si="7027">$C$24*TJI24</f>
        <v>100000</v>
      </c>
      <c r="TJM24" s="906">
        <f t="shared" ref="TJM24" si="7028">$C$24*TJK24</f>
        <v>100000</v>
      </c>
      <c r="TJO24" s="906">
        <f t="shared" ref="TJO24" si="7029">$C$24*TJM24</f>
        <v>100000</v>
      </c>
      <c r="TJQ24" s="906">
        <f t="shared" ref="TJQ24" si="7030">$C$24*TJO24</f>
        <v>100000</v>
      </c>
      <c r="TJS24" s="906">
        <f t="shared" ref="TJS24" si="7031">$C$24*TJQ24</f>
        <v>100000</v>
      </c>
      <c r="TJU24" s="906">
        <f t="shared" ref="TJU24" si="7032">$C$24*TJS24</f>
        <v>100000</v>
      </c>
      <c r="TJW24" s="906">
        <f t="shared" ref="TJW24" si="7033">$C$24*TJU24</f>
        <v>100000</v>
      </c>
      <c r="TJY24" s="906">
        <f t="shared" ref="TJY24" si="7034">$C$24*TJW24</f>
        <v>100000</v>
      </c>
      <c r="TKA24" s="906">
        <f t="shared" ref="TKA24" si="7035">$C$24*TJY24</f>
        <v>100000</v>
      </c>
      <c r="TKC24" s="906">
        <f t="shared" ref="TKC24" si="7036">$C$24*TKA24</f>
        <v>100000</v>
      </c>
      <c r="TKE24" s="906">
        <f t="shared" ref="TKE24" si="7037">$C$24*TKC24</f>
        <v>100000</v>
      </c>
      <c r="TKG24" s="906">
        <f t="shared" ref="TKG24" si="7038">$C$24*TKE24</f>
        <v>100000</v>
      </c>
      <c r="TKI24" s="906">
        <f t="shared" ref="TKI24" si="7039">$C$24*TKG24</f>
        <v>100000</v>
      </c>
      <c r="TKK24" s="906">
        <f t="shared" ref="TKK24" si="7040">$C$24*TKI24</f>
        <v>100000</v>
      </c>
      <c r="TKM24" s="906">
        <f t="shared" ref="TKM24" si="7041">$C$24*TKK24</f>
        <v>100000</v>
      </c>
      <c r="TKO24" s="906">
        <f t="shared" ref="TKO24" si="7042">$C$24*TKM24</f>
        <v>100000</v>
      </c>
      <c r="TKQ24" s="906">
        <f t="shared" ref="TKQ24" si="7043">$C$24*TKO24</f>
        <v>100000</v>
      </c>
      <c r="TKS24" s="906">
        <f t="shared" ref="TKS24" si="7044">$C$24*TKQ24</f>
        <v>100000</v>
      </c>
      <c r="TKU24" s="906">
        <f t="shared" ref="TKU24" si="7045">$C$24*TKS24</f>
        <v>100000</v>
      </c>
      <c r="TKW24" s="906">
        <f t="shared" ref="TKW24" si="7046">$C$24*TKU24</f>
        <v>100000</v>
      </c>
      <c r="TKY24" s="906">
        <f t="shared" ref="TKY24" si="7047">$C$24*TKW24</f>
        <v>100000</v>
      </c>
      <c r="TLA24" s="906">
        <f t="shared" ref="TLA24" si="7048">$C$24*TKY24</f>
        <v>100000</v>
      </c>
      <c r="TLC24" s="906">
        <f t="shared" ref="TLC24" si="7049">$C$24*TLA24</f>
        <v>100000</v>
      </c>
      <c r="TLE24" s="906">
        <f t="shared" ref="TLE24" si="7050">$C$24*TLC24</f>
        <v>100000</v>
      </c>
      <c r="TLG24" s="906">
        <f t="shared" ref="TLG24" si="7051">$C$24*TLE24</f>
        <v>100000</v>
      </c>
      <c r="TLI24" s="906">
        <f t="shared" ref="TLI24" si="7052">$C$24*TLG24</f>
        <v>100000</v>
      </c>
      <c r="TLK24" s="906">
        <f t="shared" ref="TLK24" si="7053">$C$24*TLI24</f>
        <v>100000</v>
      </c>
      <c r="TLM24" s="906">
        <f t="shared" ref="TLM24" si="7054">$C$24*TLK24</f>
        <v>100000</v>
      </c>
      <c r="TLO24" s="906">
        <f t="shared" ref="TLO24" si="7055">$C$24*TLM24</f>
        <v>100000</v>
      </c>
      <c r="TLQ24" s="906">
        <f t="shared" ref="TLQ24" si="7056">$C$24*TLO24</f>
        <v>100000</v>
      </c>
      <c r="TLS24" s="906">
        <f t="shared" ref="TLS24" si="7057">$C$24*TLQ24</f>
        <v>100000</v>
      </c>
      <c r="TLU24" s="906">
        <f t="shared" ref="TLU24" si="7058">$C$24*TLS24</f>
        <v>100000</v>
      </c>
      <c r="TLW24" s="906">
        <f t="shared" ref="TLW24" si="7059">$C$24*TLU24</f>
        <v>100000</v>
      </c>
      <c r="TLY24" s="906">
        <f t="shared" ref="TLY24" si="7060">$C$24*TLW24</f>
        <v>100000</v>
      </c>
      <c r="TMA24" s="906">
        <f t="shared" ref="TMA24" si="7061">$C$24*TLY24</f>
        <v>100000</v>
      </c>
      <c r="TMC24" s="906">
        <f t="shared" ref="TMC24" si="7062">$C$24*TMA24</f>
        <v>100000</v>
      </c>
      <c r="TME24" s="906">
        <f t="shared" ref="TME24" si="7063">$C$24*TMC24</f>
        <v>100000</v>
      </c>
      <c r="TMG24" s="906">
        <f t="shared" ref="TMG24" si="7064">$C$24*TME24</f>
        <v>100000</v>
      </c>
      <c r="TMI24" s="906">
        <f t="shared" ref="TMI24" si="7065">$C$24*TMG24</f>
        <v>100000</v>
      </c>
      <c r="TMK24" s="906">
        <f t="shared" ref="TMK24" si="7066">$C$24*TMI24</f>
        <v>100000</v>
      </c>
      <c r="TMM24" s="906">
        <f t="shared" ref="TMM24" si="7067">$C$24*TMK24</f>
        <v>100000</v>
      </c>
      <c r="TMO24" s="906">
        <f t="shared" ref="TMO24" si="7068">$C$24*TMM24</f>
        <v>100000</v>
      </c>
      <c r="TMQ24" s="906">
        <f t="shared" ref="TMQ24" si="7069">$C$24*TMO24</f>
        <v>100000</v>
      </c>
      <c r="TMS24" s="906">
        <f t="shared" ref="TMS24" si="7070">$C$24*TMQ24</f>
        <v>100000</v>
      </c>
      <c r="TMU24" s="906">
        <f t="shared" ref="TMU24" si="7071">$C$24*TMS24</f>
        <v>100000</v>
      </c>
      <c r="TMW24" s="906">
        <f t="shared" ref="TMW24" si="7072">$C$24*TMU24</f>
        <v>100000</v>
      </c>
      <c r="TMY24" s="906">
        <f t="shared" ref="TMY24" si="7073">$C$24*TMW24</f>
        <v>100000</v>
      </c>
      <c r="TNA24" s="906">
        <f t="shared" ref="TNA24" si="7074">$C$24*TMY24</f>
        <v>100000</v>
      </c>
      <c r="TNC24" s="906">
        <f t="shared" ref="TNC24" si="7075">$C$24*TNA24</f>
        <v>100000</v>
      </c>
      <c r="TNE24" s="906">
        <f t="shared" ref="TNE24" si="7076">$C$24*TNC24</f>
        <v>100000</v>
      </c>
      <c r="TNG24" s="906">
        <f t="shared" ref="TNG24" si="7077">$C$24*TNE24</f>
        <v>100000</v>
      </c>
      <c r="TNI24" s="906">
        <f t="shared" ref="TNI24" si="7078">$C$24*TNG24</f>
        <v>100000</v>
      </c>
      <c r="TNK24" s="906">
        <f t="shared" ref="TNK24" si="7079">$C$24*TNI24</f>
        <v>100000</v>
      </c>
      <c r="TNM24" s="906">
        <f t="shared" ref="TNM24" si="7080">$C$24*TNK24</f>
        <v>100000</v>
      </c>
      <c r="TNO24" s="906">
        <f t="shared" ref="TNO24" si="7081">$C$24*TNM24</f>
        <v>100000</v>
      </c>
      <c r="TNQ24" s="906">
        <f t="shared" ref="TNQ24" si="7082">$C$24*TNO24</f>
        <v>100000</v>
      </c>
      <c r="TNS24" s="906">
        <f t="shared" ref="TNS24" si="7083">$C$24*TNQ24</f>
        <v>100000</v>
      </c>
      <c r="TNU24" s="906">
        <f t="shared" ref="TNU24" si="7084">$C$24*TNS24</f>
        <v>100000</v>
      </c>
      <c r="TNW24" s="906">
        <f t="shared" ref="TNW24" si="7085">$C$24*TNU24</f>
        <v>100000</v>
      </c>
      <c r="TNY24" s="906">
        <f t="shared" ref="TNY24" si="7086">$C$24*TNW24</f>
        <v>100000</v>
      </c>
      <c r="TOA24" s="906">
        <f t="shared" ref="TOA24" si="7087">$C$24*TNY24</f>
        <v>100000</v>
      </c>
      <c r="TOC24" s="906">
        <f t="shared" ref="TOC24" si="7088">$C$24*TOA24</f>
        <v>100000</v>
      </c>
      <c r="TOE24" s="906">
        <f t="shared" ref="TOE24" si="7089">$C$24*TOC24</f>
        <v>100000</v>
      </c>
      <c r="TOG24" s="906">
        <f t="shared" ref="TOG24" si="7090">$C$24*TOE24</f>
        <v>100000</v>
      </c>
      <c r="TOI24" s="906">
        <f t="shared" ref="TOI24" si="7091">$C$24*TOG24</f>
        <v>100000</v>
      </c>
      <c r="TOK24" s="906">
        <f t="shared" ref="TOK24" si="7092">$C$24*TOI24</f>
        <v>100000</v>
      </c>
      <c r="TOM24" s="906">
        <f t="shared" ref="TOM24" si="7093">$C$24*TOK24</f>
        <v>100000</v>
      </c>
      <c r="TOO24" s="906">
        <f t="shared" ref="TOO24" si="7094">$C$24*TOM24</f>
        <v>100000</v>
      </c>
      <c r="TOQ24" s="906">
        <f t="shared" ref="TOQ24" si="7095">$C$24*TOO24</f>
        <v>100000</v>
      </c>
      <c r="TOS24" s="906">
        <f t="shared" ref="TOS24" si="7096">$C$24*TOQ24</f>
        <v>100000</v>
      </c>
      <c r="TOU24" s="906">
        <f t="shared" ref="TOU24" si="7097">$C$24*TOS24</f>
        <v>100000</v>
      </c>
      <c r="TOW24" s="906">
        <f t="shared" ref="TOW24" si="7098">$C$24*TOU24</f>
        <v>100000</v>
      </c>
      <c r="TOY24" s="906">
        <f t="shared" ref="TOY24" si="7099">$C$24*TOW24</f>
        <v>100000</v>
      </c>
      <c r="TPA24" s="906">
        <f t="shared" ref="TPA24" si="7100">$C$24*TOY24</f>
        <v>100000</v>
      </c>
      <c r="TPC24" s="906">
        <f t="shared" ref="TPC24" si="7101">$C$24*TPA24</f>
        <v>100000</v>
      </c>
      <c r="TPE24" s="906">
        <f t="shared" ref="TPE24" si="7102">$C$24*TPC24</f>
        <v>100000</v>
      </c>
      <c r="TPG24" s="906">
        <f t="shared" ref="TPG24" si="7103">$C$24*TPE24</f>
        <v>100000</v>
      </c>
      <c r="TPI24" s="906">
        <f t="shared" ref="TPI24" si="7104">$C$24*TPG24</f>
        <v>100000</v>
      </c>
      <c r="TPK24" s="906">
        <f t="shared" ref="TPK24" si="7105">$C$24*TPI24</f>
        <v>100000</v>
      </c>
      <c r="TPM24" s="906">
        <f t="shared" ref="TPM24" si="7106">$C$24*TPK24</f>
        <v>100000</v>
      </c>
      <c r="TPO24" s="906">
        <f t="shared" ref="TPO24" si="7107">$C$24*TPM24</f>
        <v>100000</v>
      </c>
      <c r="TPQ24" s="906">
        <f t="shared" ref="TPQ24" si="7108">$C$24*TPO24</f>
        <v>100000</v>
      </c>
      <c r="TPS24" s="906">
        <f t="shared" ref="TPS24" si="7109">$C$24*TPQ24</f>
        <v>100000</v>
      </c>
      <c r="TPU24" s="906">
        <f t="shared" ref="TPU24" si="7110">$C$24*TPS24</f>
        <v>100000</v>
      </c>
      <c r="TPW24" s="906">
        <f t="shared" ref="TPW24" si="7111">$C$24*TPU24</f>
        <v>100000</v>
      </c>
      <c r="TPY24" s="906">
        <f t="shared" ref="TPY24" si="7112">$C$24*TPW24</f>
        <v>100000</v>
      </c>
      <c r="TQA24" s="906">
        <f t="shared" ref="TQA24" si="7113">$C$24*TPY24</f>
        <v>100000</v>
      </c>
      <c r="TQC24" s="906">
        <f t="shared" ref="TQC24" si="7114">$C$24*TQA24</f>
        <v>100000</v>
      </c>
      <c r="TQE24" s="906">
        <f t="shared" ref="TQE24" si="7115">$C$24*TQC24</f>
        <v>100000</v>
      </c>
      <c r="TQG24" s="906">
        <f t="shared" ref="TQG24" si="7116">$C$24*TQE24</f>
        <v>100000</v>
      </c>
      <c r="TQI24" s="906">
        <f t="shared" ref="TQI24" si="7117">$C$24*TQG24</f>
        <v>100000</v>
      </c>
      <c r="TQK24" s="906">
        <f t="shared" ref="TQK24" si="7118">$C$24*TQI24</f>
        <v>100000</v>
      </c>
      <c r="TQM24" s="906">
        <f t="shared" ref="TQM24" si="7119">$C$24*TQK24</f>
        <v>100000</v>
      </c>
      <c r="TQO24" s="906">
        <f t="shared" ref="TQO24" si="7120">$C$24*TQM24</f>
        <v>100000</v>
      </c>
      <c r="TQQ24" s="906">
        <f t="shared" ref="TQQ24" si="7121">$C$24*TQO24</f>
        <v>100000</v>
      </c>
      <c r="TQS24" s="906">
        <f t="shared" ref="TQS24" si="7122">$C$24*TQQ24</f>
        <v>100000</v>
      </c>
      <c r="TQU24" s="906">
        <f t="shared" ref="TQU24" si="7123">$C$24*TQS24</f>
        <v>100000</v>
      </c>
      <c r="TQW24" s="906">
        <f t="shared" ref="TQW24" si="7124">$C$24*TQU24</f>
        <v>100000</v>
      </c>
      <c r="TQY24" s="906">
        <f t="shared" ref="TQY24" si="7125">$C$24*TQW24</f>
        <v>100000</v>
      </c>
      <c r="TRA24" s="906">
        <f t="shared" ref="TRA24" si="7126">$C$24*TQY24</f>
        <v>100000</v>
      </c>
      <c r="TRC24" s="906">
        <f t="shared" ref="TRC24" si="7127">$C$24*TRA24</f>
        <v>100000</v>
      </c>
      <c r="TRE24" s="906">
        <f t="shared" ref="TRE24" si="7128">$C$24*TRC24</f>
        <v>100000</v>
      </c>
      <c r="TRG24" s="906">
        <f t="shared" ref="TRG24" si="7129">$C$24*TRE24</f>
        <v>100000</v>
      </c>
      <c r="TRI24" s="906">
        <f t="shared" ref="TRI24" si="7130">$C$24*TRG24</f>
        <v>100000</v>
      </c>
      <c r="TRK24" s="906">
        <f t="shared" ref="TRK24" si="7131">$C$24*TRI24</f>
        <v>100000</v>
      </c>
      <c r="TRM24" s="906">
        <f t="shared" ref="TRM24" si="7132">$C$24*TRK24</f>
        <v>100000</v>
      </c>
      <c r="TRO24" s="906">
        <f t="shared" ref="TRO24" si="7133">$C$24*TRM24</f>
        <v>100000</v>
      </c>
      <c r="TRQ24" s="906">
        <f t="shared" ref="TRQ24" si="7134">$C$24*TRO24</f>
        <v>100000</v>
      </c>
      <c r="TRS24" s="906">
        <f t="shared" ref="TRS24" si="7135">$C$24*TRQ24</f>
        <v>100000</v>
      </c>
      <c r="TRU24" s="906">
        <f t="shared" ref="TRU24" si="7136">$C$24*TRS24</f>
        <v>100000</v>
      </c>
      <c r="TRW24" s="906">
        <f t="shared" ref="TRW24" si="7137">$C$24*TRU24</f>
        <v>100000</v>
      </c>
      <c r="TRY24" s="906">
        <f t="shared" ref="TRY24" si="7138">$C$24*TRW24</f>
        <v>100000</v>
      </c>
      <c r="TSA24" s="906">
        <f t="shared" ref="TSA24" si="7139">$C$24*TRY24</f>
        <v>100000</v>
      </c>
      <c r="TSC24" s="906">
        <f t="shared" ref="TSC24" si="7140">$C$24*TSA24</f>
        <v>100000</v>
      </c>
      <c r="TSE24" s="906">
        <f t="shared" ref="TSE24" si="7141">$C$24*TSC24</f>
        <v>100000</v>
      </c>
      <c r="TSG24" s="906">
        <f t="shared" ref="TSG24" si="7142">$C$24*TSE24</f>
        <v>100000</v>
      </c>
      <c r="TSI24" s="906">
        <f t="shared" ref="TSI24" si="7143">$C$24*TSG24</f>
        <v>100000</v>
      </c>
      <c r="TSK24" s="906">
        <f t="shared" ref="TSK24" si="7144">$C$24*TSI24</f>
        <v>100000</v>
      </c>
      <c r="TSM24" s="906">
        <f t="shared" ref="TSM24" si="7145">$C$24*TSK24</f>
        <v>100000</v>
      </c>
      <c r="TSO24" s="906">
        <f t="shared" ref="TSO24" si="7146">$C$24*TSM24</f>
        <v>100000</v>
      </c>
      <c r="TSQ24" s="906">
        <f t="shared" ref="TSQ24" si="7147">$C$24*TSO24</f>
        <v>100000</v>
      </c>
      <c r="TSS24" s="906">
        <f t="shared" ref="TSS24" si="7148">$C$24*TSQ24</f>
        <v>100000</v>
      </c>
      <c r="TSU24" s="906">
        <f t="shared" ref="TSU24" si="7149">$C$24*TSS24</f>
        <v>100000</v>
      </c>
      <c r="TSW24" s="906">
        <f t="shared" ref="TSW24" si="7150">$C$24*TSU24</f>
        <v>100000</v>
      </c>
      <c r="TSY24" s="906">
        <f t="shared" ref="TSY24" si="7151">$C$24*TSW24</f>
        <v>100000</v>
      </c>
      <c r="TTA24" s="906">
        <f t="shared" ref="TTA24" si="7152">$C$24*TSY24</f>
        <v>100000</v>
      </c>
      <c r="TTC24" s="906">
        <f t="shared" ref="TTC24" si="7153">$C$24*TTA24</f>
        <v>100000</v>
      </c>
      <c r="TTE24" s="906">
        <f t="shared" ref="TTE24" si="7154">$C$24*TTC24</f>
        <v>100000</v>
      </c>
      <c r="TTG24" s="906">
        <f t="shared" ref="TTG24" si="7155">$C$24*TTE24</f>
        <v>100000</v>
      </c>
      <c r="TTI24" s="906">
        <f t="shared" ref="TTI24" si="7156">$C$24*TTG24</f>
        <v>100000</v>
      </c>
      <c r="TTK24" s="906">
        <f t="shared" ref="TTK24" si="7157">$C$24*TTI24</f>
        <v>100000</v>
      </c>
      <c r="TTM24" s="906">
        <f t="shared" ref="TTM24" si="7158">$C$24*TTK24</f>
        <v>100000</v>
      </c>
      <c r="TTO24" s="906">
        <f t="shared" ref="TTO24" si="7159">$C$24*TTM24</f>
        <v>100000</v>
      </c>
      <c r="TTQ24" s="906">
        <f t="shared" ref="TTQ24" si="7160">$C$24*TTO24</f>
        <v>100000</v>
      </c>
      <c r="TTS24" s="906">
        <f t="shared" ref="TTS24" si="7161">$C$24*TTQ24</f>
        <v>100000</v>
      </c>
      <c r="TTU24" s="906">
        <f t="shared" ref="TTU24" si="7162">$C$24*TTS24</f>
        <v>100000</v>
      </c>
      <c r="TTW24" s="906">
        <f t="shared" ref="TTW24" si="7163">$C$24*TTU24</f>
        <v>100000</v>
      </c>
      <c r="TTY24" s="906">
        <f t="shared" ref="TTY24" si="7164">$C$24*TTW24</f>
        <v>100000</v>
      </c>
      <c r="TUA24" s="906">
        <f t="shared" ref="TUA24" si="7165">$C$24*TTY24</f>
        <v>100000</v>
      </c>
      <c r="TUC24" s="906">
        <f t="shared" ref="TUC24" si="7166">$C$24*TUA24</f>
        <v>100000</v>
      </c>
      <c r="TUE24" s="906">
        <f t="shared" ref="TUE24" si="7167">$C$24*TUC24</f>
        <v>100000</v>
      </c>
      <c r="TUG24" s="906">
        <f t="shared" ref="TUG24" si="7168">$C$24*TUE24</f>
        <v>100000</v>
      </c>
      <c r="TUI24" s="906">
        <f t="shared" ref="TUI24" si="7169">$C$24*TUG24</f>
        <v>100000</v>
      </c>
      <c r="TUK24" s="906">
        <f t="shared" ref="TUK24" si="7170">$C$24*TUI24</f>
        <v>100000</v>
      </c>
      <c r="TUM24" s="906">
        <f t="shared" ref="TUM24" si="7171">$C$24*TUK24</f>
        <v>100000</v>
      </c>
      <c r="TUO24" s="906">
        <f t="shared" ref="TUO24" si="7172">$C$24*TUM24</f>
        <v>100000</v>
      </c>
      <c r="TUQ24" s="906">
        <f t="shared" ref="TUQ24" si="7173">$C$24*TUO24</f>
        <v>100000</v>
      </c>
      <c r="TUS24" s="906">
        <f t="shared" ref="TUS24" si="7174">$C$24*TUQ24</f>
        <v>100000</v>
      </c>
      <c r="TUU24" s="906">
        <f t="shared" ref="TUU24" si="7175">$C$24*TUS24</f>
        <v>100000</v>
      </c>
      <c r="TUW24" s="906">
        <f t="shared" ref="TUW24" si="7176">$C$24*TUU24</f>
        <v>100000</v>
      </c>
      <c r="TUY24" s="906">
        <f t="shared" ref="TUY24" si="7177">$C$24*TUW24</f>
        <v>100000</v>
      </c>
      <c r="TVA24" s="906">
        <f t="shared" ref="TVA24" si="7178">$C$24*TUY24</f>
        <v>100000</v>
      </c>
      <c r="TVC24" s="906">
        <f t="shared" ref="TVC24" si="7179">$C$24*TVA24</f>
        <v>100000</v>
      </c>
      <c r="TVE24" s="906">
        <f t="shared" ref="TVE24" si="7180">$C$24*TVC24</f>
        <v>100000</v>
      </c>
      <c r="TVG24" s="906">
        <f t="shared" ref="TVG24" si="7181">$C$24*TVE24</f>
        <v>100000</v>
      </c>
      <c r="TVI24" s="906">
        <f t="shared" ref="TVI24" si="7182">$C$24*TVG24</f>
        <v>100000</v>
      </c>
      <c r="TVK24" s="906">
        <f t="shared" ref="TVK24" si="7183">$C$24*TVI24</f>
        <v>100000</v>
      </c>
      <c r="TVM24" s="906">
        <f t="shared" ref="TVM24" si="7184">$C$24*TVK24</f>
        <v>100000</v>
      </c>
      <c r="TVO24" s="906">
        <f t="shared" ref="TVO24" si="7185">$C$24*TVM24</f>
        <v>100000</v>
      </c>
      <c r="TVQ24" s="906">
        <f t="shared" ref="TVQ24" si="7186">$C$24*TVO24</f>
        <v>100000</v>
      </c>
      <c r="TVS24" s="906">
        <f t="shared" ref="TVS24" si="7187">$C$24*TVQ24</f>
        <v>100000</v>
      </c>
      <c r="TVU24" s="906">
        <f t="shared" ref="TVU24" si="7188">$C$24*TVS24</f>
        <v>100000</v>
      </c>
      <c r="TVW24" s="906">
        <f t="shared" ref="TVW24" si="7189">$C$24*TVU24</f>
        <v>100000</v>
      </c>
      <c r="TVY24" s="906">
        <f t="shared" ref="TVY24" si="7190">$C$24*TVW24</f>
        <v>100000</v>
      </c>
      <c r="TWA24" s="906">
        <f t="shared" ref="TWA24" si="7191">$C$24*TVY24</f>
        <v>100000</v>
      </c>
      <c r="TWC24" s="906">
        <f t="shared" ref="TWC24" si="7192">$C$24*TWA24</f>
        <v>100000</v>
      </c>
      <c r="TWE24" s="906">
        <f t="shared" ref="TWE24" si="7193">$C$24*TWC24</f>
        <v>100000</v>
      </c>
      <c r="TWG24" s="906">
        <f t="shared" ref="TWG24" si="7194">$C$24*TWE24</f>
        <v>100000</v>
      </c>
      <c r="TWI24" s="906">
        <f t="shared" ref="TWI24" si="7195">$C$24*TWG24</f>
        <v>100000</v>
      </c>
      <c r="TWK24" s="906">
        <f t="shared" ref="TWK24" si="7196">$C$24*TWI24</f>
        <v>100000</v>
      </c>
      <c r="TWM24" s="906">
        <f t="shared" ref="TWM24" si="7197">$C$24*TWK24</f>
        <v>100000</v>
      </c>
      <c r="TWO24" s="906">
        <f t="shared" ref="TWO24" si="7198">$C$24*TWM24</f>
        <v>100000</v>
      </c>
      <c r="TWQ24" s="906">
        <f t="shared" ref="TWQ24" si="7199">$C$24*TWO24</f>
        <v>100000</v>
      </c>
      <c r="TWS24" s="906">
        <f t="shared" ref="TWS24" si="7200">$C$24*TWQ24</f>
        <v>100000</v>
      </c>
      <c r="TWU24" s="906">
        <f t="shared" ref="TWU24" si="7201">$C$24*TWS24</f>
        <v>100000</v>
      </c>
      <c r="TWW24" s="906">
        <f t="shared" ref="TWW24" si="7202">$C$24*TWU24</f>
        <v>100000</v>
      </c>
      <c r="TWY24" s="906">
        <f t="shared" ref="TWY24" si="7203">$C$24*TWW24</f>
        <v>100000</v>
      </c>
      <c r="TXA24" s="906">
        <f t="shared" ref="TXA24" si="7204">$C$24*TWY24</f>
        <v>100000</v>
      </c>
      <c r="TXC24" s="906">
        <f t="shared" ref="TXC24" si="7205">$C$24*TXA24</f>
        <v>100000</v>
      </c>
      <c r="TXE24" s="906">
        <f t="shared" ref="TXE24" si="7206">$C$24*TXC24</f>
        <v>100000</v>
      </c>
      <c r="TXG24" s="906">
        <f t="shared" ref="TXG24" si="7207">$C$24*TXE24</f>
        <v>100000</v>
      </c>
      <c r="TXI24" s="906">
        <f t="shared" ref="TXI24" si="7208">$C$24*TXG24</f>
        <v>100000</v>
      </c>
      <c r="TXK24" s="906">
        <f t="shared" ref="TXK24" si="7209">$C$24*TXI24</f>
        <v>100000</v>
      </c>
      <c r="TXM24" s="906">
        <f t="shared" ref="TXM24" si="7210">$C$24*TXK24</f>
        <v>100000</v>
      </c>
      <c r="TXO24" s="906">
        <f t="shared" ref="TXO24" si="7211">$C$24*TXM24</f>
        <v>100000</v>
      </c>
      <c r="TXQ24" s="906">
        <f t="shared" ref="TXQ24" si="7212">$C$24*TXO24</f>
        <v>100000</v>
      </c>
      <c r="TXS24" s="906">
        <f t="shared" ref="TXS24" si="7213">$C$24*TXQ24</f>
        <v>100000</v>
      </c>
      <c r="TXU24" s="906">
        <f t="shared" ref="TXU24" si="7214">$C$24*TXS24</f>
        <v>100000</v>
      </c>
      <c r="TXW24" s="906">
        <f t="shared" ref="TXW24" si="7215">$C$24*TXU24</f>
        <v>100000</v>
      </c>
      <c r="TXY24" s="906">
        <f t="shared" ref="TXY24" si="7216">$C$24*TXW24</f>
        <v>100000</v>
      </c>
      <c r="TYA24" s="906">
        <f t="shared" ref="TYA24" si="7217">$C$24*TXY24</f>
        <v>100000</v>
      </c>
      <c r="TYC24" s="906">
        <f t="shared" ref="TYC24" si="7218">$C$24*TYA24</f>
        <v>100000</v>
      </c>
      <c r="TYE24" s="906">
        <f t="shared" ref="TYE24" si="7219">$C$24*TYC24</f>
        <v>100000</v>
      </c>
      <c r="TYG24" s="906">
        <f t="shared" ref="TYG24" si="7220">$C$24*TYE24</f>
        <v>100000</v>
      </c>
      <c r="TYI24" s="906">
        <f t="shared" ref="TYI24" si="7221">$C$24*TYG24</f>
        <v>100000</v>
      </c>
      <c r="TYK24" s="906">
        <f t="shared" ref="TYK24" si="7222">$C$24*TYI24</f>
        <v>100000</v>
      </c>
      <c r="TYM24" s="906">
        <f t="shared" ref="TYM24" si="7223">$C$24*TYK24</f>
        <v>100000</v>
      </c>
      <c r="TYO24" s="906">
        <f t="shared" ref="TYO24" si="7224">$C$24*TYM24</f>
        <v>100000</v>
      </c>
      <c r="TYQ24" s="906">
        <f t="shared" ref="TYQ24" si="7225">$C$24*TYO24</f>
        <v>100000</v>
      </c>
      <c r="TYS24" s="906">
        <f t="shared" ref="TYS24" si="7226">$C$24*TYQ24</f>
        <v>100000</v>
      </c>
      <c r="TYU24" s="906">
        <f t="shared" ref="TYU24" si="7227">$C$24*TYS24</f>
        <v>100000</v>
      </c>
      <c r="TYW24" s="906">
        <f t="shared" ref="TYW24" si="7228">$C$24*TYU24</f>
        <v>100000</v>
      </c>
      <c r="TYY24" s="906">
        <f t="shared" ref="TYY24" si="7229">$C$24*TYW24</f>
        <v>100000</v>
      </c>
      <c r="TZA24" s="906">
        <f t="shared" ref="TZA24" si="7230">$C$24*TYY24</f>
        <v>100000</v>
      </c>
      <c r="TZC24" s="906">
        <f t="shared" ref="TZC24" si="7231">$C$24*TZA24</f>
        <v>100000</v>
      </c>
      <c r="TZE24" s="906">
        <f t="shared" ref="TZE24" si="7232">$C$24*TZC24</f>
        <v>100000</v>
      </c>
      <c r="TZG24" s="906">
        <f t="shared" ref="TZG24" si="7233">$C$24*TZE24</f>
        <v>100000</v>
      </c>
      <c r="TZI24" s="906">
        <f t="shared" ref="TZI24" si="7234">$C$24*TZG24</f>
        <v>100000</v>
      </c>
      <c r="TZK24" s="906">
        <f t="shared" ref="TZK24" si="7235">$C$24*TZI24</f>
        <v>100000</v>
      </c>
      <c r="TZM24" s="906">
        <f t="shared" ref="TZM24" si="7236">$C$24*TZK24</f>
        <v>100000</v>
      </c>
      <c r="TZO24" s="906">
        <f t="shared" ref="TZO24" si="7237">$C$24*TZM24</f>
        <v>100000</v>
      </c>
      <c r="TZQ24" s="906">
        <f t="shared" ref="TZQ24" si="7238">$C$24*TZO24</f>
        <v>100000</v>
      </c>
      <c r="TZS24" s="906">
        <f t="shared" ref="TZS24" si="7239">$C$24*TZQ24</f>
        <v>100000</v>
      </c>
      <c r="TZU24" s="906">
        <f t="shared" ref="TZU24" si="7240">$C$24*TZS24</f>
        <v>100000</v>
      </c>
      <c r="TZW24" s="906">
        <f t="shared" ref="TZW24" si="7241">$C$24*TZU24</f>
        <v>100000</v>
      </c>
      <c r="TZY24" s="906">
        <f t="shared" ref="TZY24" si="7242">$C$24*TZW24</f>
        <v>100000</v>
      </c>
      <c r="UAA24" s="906">
        <f t="shared" ref="UAA24" si="7243">$C$24*TZY24</f>
        <v>100000</v>
      </c>
      <c r="UAC24" s="906">
        <f t="shared" ref="UAC24" si="7244">$C$24*UAA24</f>
        <v>100000</v>
      </c>
      <c r="UAE24" s="906">
        <f t="shared" ref="UAE24" si="7245">$C$24*UAC24</f>
        <v>100000</v>
      </c>
      <c r="UAG24" s="906">
        <f t="shared" ref="UAG24" si="7246">$C$24*UAE24</f>
        <v>100000</v>
      </c>
      <c r="UAI24" s="906">
        <f t="shared" ref="UAI24" si="7247">$C$24*UAG24</f>
        <v>100000</v>
      </c>
      <c r="UAK24" s="906">
        <f t="shared" ref="UAK24" si="7248">$C$24*UAI24</f>
        <v>100000</v>
      </c>
      <c r="UAM24" s="906">
        <f t="shared" ref="UAM24" si="7249">$C$24*UAK24</f>
        <v>100000</v>
      </c>
      <c r="UAO24" s="906">
        <f t="shared" ref="UAO24" si="7250">$C$24*UAM24</f>
        <v>100000</v>
      </c>
      <c r="UAQ24" s="906">
        <f t="shared" ref="UAQ24" si="7251">$C$24*UAO24</f>
        <v>100000</v>
      </c>
      <c r="UAS24" s="906">
        <f t="shared" ref="UAS24" si="7252">$C$24*UAQ24</f>
        <v>100000</v>
      </c>
      <c r="UAU24" s="906">
        <f t="shared" ref="UAU24" si="7253">$C$24*UAS24</f>
        <v>100000</v>
      </c>
      <c r="UAW24" s="906">
        <f t="shared" ref="UAW24" si="7254">$C$24*UAU24</f>
        <v>100000</v>
      </c>
      <c r="UAY24" s="906">
        <f t="shared" ref="UAY24" si="7255">$C$24*UAW24</f>
        <v>100000</v>
      </c>
      <c r="UBA24" s="906">
        <f t="shared" ref="UBA24" si="7256">$C$24*UAY24</f>
        <v>100000</v>
      </c>
      <c r="UBC24" s="906">
        <f t="shared" ref="UBC24" si="7257">$C$24*UBA24</f>
        <v>100000</v>
      </c>
      <c r="UBE24" s="906">
        <f t="shared" ref="UBE24" si="7258">$C$24*UBC24</f>
        <v>100000</v>
      </c>
      <c r="UBG24" s="906">
        <f t="shared" ref="UBG24" si="7259">$C$24*UBE24</f>
        <v>100000</v>
      </c>
      <c r="UBI24" s="906">
        <f t="shared" ref="UBI24" si="7260">$C$24*UBG24</f>
        <v>100000</v>
      </c>
      <c r="UBK24" s="906">
        <f t="shared" ref="UBK24" si="7261">$C$24*UBI24</f>
        <v>100000</v>
      </c>
      <c r="UBM24" s="906">
        <f t="shared" ref="UBM24" si="7262">$C$24*UBK24</f>
        <v>100000</v>
      </c>
      <c r="UBO24" s="906">
        <f t="shared" ref="UBO24" si="7263">$C$24*UBM24</f>
        <v>100000</v>
      </c>
      <c r="UBQ24" s="906">
        <f t="shared" ref="UBQ24" si="7264">$C$24*UBO24</f>
        <v>100000</v>
      </c>
      <c r="UBS24" s="906">
        <f t="shared" ref="UBS24" si="7265">$C$24*UBQ24</f>
        <v>100000</v>
      </c>
      <c r="UBU24" s="906">
        <f t="shared" ref="UBU24" si="7266">$C$24*UBS24</f>
        <v>100000</v>
      </c>
      <c r="UBW24" s="906">
        <f t="shared" ref="UBW24" si="7267">$C$24*UBU24</f>
        <v>100000</v>
      </c>
      <c r="UBY24" s="906">
        <f t="shared" ref="UBY24" si="7268">$C$24*UBW24</f>
        <v>100000</v>
      </c>
      <c r="UCA24" s="906">
        <f t="shared" ref="UCA24" si="7269">$C$24*UBY24</f>
        <v>100000</v>
      </c>
      <c r="UCC24" s="906">
        <f t="shared" ref="UCC24" si="7270">$C$24*UCA24</f>
        <v>100000</v>
      </c>
      <c r="UCE24" s="906">
        <f t="shared" ref="UCE24" si="7271">$C$24*UCC24</f>
        <v>100000</v>
      </c>
      <c r="UCG24" s="906">
        <f t="shared" ref="UCG24" si="7272">$C$24*UCE24</f>
        <v>100000</v>
      </c>
      <c r="UCI24" s="906">
        <f t="shared" ref="UCI24" si="7273">$C$24*UCG24</f>
        <v>100000</v>
      </c>
      <c r="UCK24" s="906">
        <f t="shared" ref="UCK24" si="7274">$C$24*UCI24</f>
        <v>100000</v>
      </c>
      <c r="UCM24" s="906">
        <f t="shared" ref="UCM24" si="7275">$C$24*UCK24</f>
        <v>100000</v>
      </c>
      <c r="UCO24" s="906">
        <f t="shared" ref="UCO24" si="7276">$C$24*UCM24</f>
        <v>100000</v>
      </c>
      <c r="UCQ24" s="906">
        <f t="shared" ref="UCQ24" si="7277">$C$24*UCO24</f>
        <v>100000</v>
      </c>
      <c r="UCS24" s="906">
        <f t="shared" ref="UCS24" si="7278">$C$24*UCQ24</f>
        <v>100000</v>
      </c>
      <c r="UCU24" s="906">
        <f t="shared" ref="UCU24" si="7279">$C$24*UCS24</f>
        <v>100000</v>
      </c>
      <c r="UCW24" s="906">
        <f t="shared" ref="UCW24" si="7280">$C$24*UCU24</f>
        <v>100000</v>
      </c>
      <c r="UCY24" s="906">
        <f t="shared" ref="UCY24" si="7281">$C$24*UCW24</f>
        <v>100000</v>
      </c>
      <c r="UDA24" s="906">
        <f t="shared" ref="UDA24" si="7282">$C$24*UCY24</f>
        <v>100000</v>
      </c>
      <c r="UDC24" s="906">
        <f t="shared" ref="UDC24" si="7283">$C$24*UDA24</f>
        <v>100000</v>
      </c>
      <c r="UDE24" s="906">
        <f t="shared" ref="UDE24" si="7284">$C$24*UDC24</f>
        <v>100000</v>
      </c>
      <c r="UDG24" s="906">
        <f t="shared" ref="UDG24" si="7285">$C$24*UDE24</f>
        <v>100000</v>
      </c>
      <c r="UDI24" s="906">
        <f t="shared" ref="UDI24" si="7286">$C$24*UDG24</f>
        <v>100000</v>
      </c>
      <c r="UDK24" s="906">
        <f t="shared" ref="UDK24" si="7287">$C$24*UDI24</f>
        <v>100000</v>
      </c>
      <c r="UDM24" s="906">
        <f t="shared" ref="UDM24" si="7288">$C$24*UDK24</f>
        <v>100000</v>
      </c>
      <c r="UDO24" s="906">
        <f t="shared" ref="UDO24" si="7289">$C$24*UDM24</f>
        <v>100000</v>
      </c>
      <c r="UDQ24" s="906">
        <f t="shared" ref="UDQ24" si="7290">$C$24*UDO24</f>
        <v>100000</v>
      </c>
      <c r="UDS24" s="906">
        <f t="shared" ref="UDS24" si="7291">$C$24*UDQ24</f>
        <v>100000</v>
      </c>
      <c r="UDU24" s="906">
        <f t="shared" ref="UDU24" si="7292">$C$24*UDS24</f>
        <v>100000</v>
      </c>
      <c r="UDW24" s="906">
        <f t="shared" ref="UDW24" si="7293">$C$24*UDU24</f>
        <v>100000</v>
      </c>
      <c r="UDY24" s="906">
        <f t="shared" ref="UDY24" si="7294">$C$24*UDW24</f>
        <v>100000</v>
      </c>
      <c r="UEA24" s="906">
        <f t="shared" ref="UEA24" si="7295">$C$24*UDY24</f>
        <v>100000</v>
      </c>
      <c r="UEC24" s="906">
        <f t="shared" ref="UEC24" si="7296">$C$24*UEA24</f>
        <v>100000</v>
      </c>
      <c r="UEE24" s="906">
        <f t="shared" ref="UEE24" si="7297">$C$24*UEC24</f>
        <v>100000</v>
      </c>
      <c r="UEG24" s="906">
        <f t="shared" ref="UEG24" si="7298">$C$24*UEE24</f>
        <v>100000</v>
      </c>
      <c r="UEI24" s="906">
        <f t="shared" ref="UEI24" si="7299">$C$24*UEG24</f>
        <v>100000</v>
      </c>
      <c r="UEK24" s="906">
        <f t="shared" ref="UEK24" si="7300">$C$24*UEI24</f>
        <v>100000</v>
      </c>
      <c r="UEM24" s="906">
        <f t="shared" ref="UEM24" si="7301">$C$24*UEK24</f>
        <v>100000</v>
      </c>
      <c r="UEO24" s="906">
        <f t="shared" ref="UEO24" si="7302">$C$24*UEM24</f>
        <v>100000</v>
      </c>
      <c r="UEQ24" s="906">
        <f t="shared" ref="UEQ24" si="7303">$C$24*UEO24</f>
        <v>100000</v>
      </c>
      <c r="UES24" s="906">
        <f t="shared" ref="UES24" si="7304">$C$24*UEQ24</f>
        <v>100000</v>
      </c>
      <c r="UEU24" s="906">
        <f t="shared" ref="UEU24" si="7305">$C$24*UES24</f>
        <v>100000</v>
      </c>
      <c r="UEW24" s="906">
        <f t="shared" ref="UEW24" si="7306">$C$24*UEU24</f>
        <v>100000</v>
      </c>
      <c r="UEY24" s="906">
        <f t="shared" ref="UEY24" si="7307">$C$24*UEW24</f>
        <v>100000</v>
      </c>
      <c r="UFA24" s="906">
        <f t="shared" ref="UFA24" si="7308">$C$24*UEY24</f>
        <v>100000</v>
      </c>
      <c r="UFC24" s="906">
        <f t="shared" ref="UFC24" si="7309">$C$24*UFA24</f>
        <v>100000</v>
      </c>
      <c r="UFE24" s="906">
        <f t="shared" ref="UFE24" si="7310">$C$24*UFC24</f>
        <v>100000</v>
      </c>
      <c r="UFG24" s="906">
        <f t="shared" ref="UFG24" si="7311">$C$24*UFE24</f>
        <v>100000</v>
      </c>
      <c r="UFI24" s="906">
        <f t="shared" ref="UFI24" si="7312">$C$24*UFG24</f>
        <v>100000</v>
      </c>
      <c r="UFK24" s="906">
        <f t="shared" ref="UFK24" si="7313">$C$24*UFI24</f>
        <v>100000</v>
      </c>
      <c r="UFM24" s="906">
        <f t="shared" ref="UFM24" si="7314">$C$24*UFK24</f>
        <v>100000</v>
      </c>
      <c r="UFO24" s="906">
        <f t="shared" ref="UFO24" si="7315">$C$24*UFM24</f>
        <v>100000</v>
      </c>
      <c r="UFQ24" s="906">
        <f t="shared" ref="UFQ24" si="7316">$C$24*UFO24</f>
        <v>100000</v>
      </c>
      <c r="UFS24" s="906">
        <f t="shared" ref="UFS24" si="7317">$C$24*UFQ24</f>
        <v>100000</v>
      </c>
      <c r="UFU24" s="906">
        <f t="shared" ref="UFU24" si="7318">$C$24*UFS24</f>
        <v>100000</v>
      </c>
      <c r="UFW24" s="906">
        <f t="shared" ref="UFW24" si="7319">$C$24*UFU24</f>
        <v>100000</v>
      </c>
      <c r="UFY24" s="906">
        <f t="shared" ref="UFY24" si="7320">$C$24*UFW24</f>
        <v>100000</v>
      </c>
      <c r="UGA24" s="906">
        <f t="shared" ref="UGA24" si="7321">$C$24*UFY24</f>
        <v>100000</v>
      </c>
      <c r="UGC24" s="906">
        <f t="shared" ref="UGC24" si="7322">$C$24*UGA24</f>
        <v>100000</v>
      </c>
      <c r="UGE24" s="906">
        <f t="shared" ref="UGE24" si="7323">$C$24*UGC24</f>
        <v>100000</v>
      </c>
      <c r="UGG24" s="906">
        <f t="shared" ref="UGG24" si="7324">$C$24*UGE24</f>
        <v>100000</v>
      </c>
      <c r="UGI24" s="906">
        <f t="shared" ref="UGI24" si="7325">$C$24*UGG24</f>
        <v>100000</v>
      </c>
      <c r="UGK24" s="906">
        <f t="shared" ref="UGK24" si="7326">$C$24*UGI24</f>
        <v>100000</v>
      </c>
      <c r="UGM24" s="906">
        <f t="shared" ref="UGM24" si="7327">$C$24*UGK24</f>
        <v>100000</v>
      </c>
      <c r="UGO24" s="906">
        <f t="shared" ref="UGO24" si="7328">$C$24*UGM24</f>
        <v>100000</v>
      </c>
      <c r="UGQ24" s="906">
        <f t="shared" ref="UGQ24" si="7329">$C$24*UGO24</f>
        <v>100000</v>
      </c>
      <c r="UGS24" s="906">
        <f t="shared" ref="UGS24" si="7330">$C$24*UGQ24</f>
        <v>100000</v>
      </c>
      <c r="UGU24" s="906">
        <f t="shared" ref="UGU24" si="7331">$C$24*UGS24</f>
        <v>100000</v>
      </c>
      <c r="UGW24" s="906">
        <f t="shared" ref="UGW24" si="7332">$C$24*UGU24</f>
        <v>100000</v>
      </c>
      <c r="UGY24" s="906">
        <f t="shared" ref="UGY24" si="7333">$C$24*UGW24</f>
        <v>100000</v>
      </c>
      <c r="UHA24" s="906">
        <f t="shared" ref="UHA24" si="7334">$C$24*UGY24</f>
        <v>100000</v>
      </c>
      <c r="UHC24" s="906">
        <f t="shared" ref="UHC24" si="7335">$C$24*UHA24</f>
        <v>100000</v>
      </c>
      <c r="UHE24" s="906">
        <f t="shared" ref="UHE24" si="7336">$C$24*UHC24</f>
        <v>100000</v>
      </c>
      <c r="UHG24" s="906">
        <f t="shared" ref="UHG24" si="7337">$C$24*UHE24</f>
        <v>100000</v>
      </c>
      <c r="UHI24" s="906">
        <f t="shared" ref="UHI24" si="7338">$C$24*UHG24</f>
        <v>100000</v>
      </c>
      <c r="UHK24" s="906">
        <f t="shared" ref="UHK24" si="7339">$C$24*UHI24</f>
        <v>100000</v>
      </c>
      <c r="UHM24" s="906">
        <f t="shared" ref="UHM24" si="7340">$C$24*UHK24</f>
        <v>100000</v>
      </c>
      <c r="UHO24" s="906">
        <f t="shared" ref="UHO24" si="7341">$C$24*UHM24</f>
        <v>100000</v>
      </c>
      <c r="UHQ24" s="906">
        <f t="shared" ref="UHQ24" si="7342">$C$24*UHO24</f>
        <v>100000</v>
      </c>
      <c r="UHS24" s="906">
        <f t="shared" ref="UHS24" si="7343">$C$24*UHQ24</f>
        <v>100000</v>
      </c>
      <c r="UHU24" s="906">
        <f t="shared" ref="UHU24" si="7344">$C$24*UHS24</f>
        <v>100000</v>
      </c>
      <c r="UHW24" s="906">
        <f t="shared" ref="UHW24" si="7345">$C$24*UHU24</f>
        <v>100000</v>
      </c>
      <c r="UHY24" s="906">
        <f t="shared" ref="UHY24" si="7346">$C$24*UHW24</f>
        <v>100000</v>
      </c>
      <c r="UIA24" s="906">
        <f t="shared" ref="UIA24" si="7347">$C$24*UHY24</f>
        <v>100000</v>
      </c>
      <c r="UIC24" s="906">
        <f t="shared" ref="UIC24" si="7348">$C$24*UIA24</f>
        <v>100000</v>
      </c>
      <c r="UIE24" s="906">
        <f t="shared" ref="UIE24" si="7349">$C$24*UIC24</f>
        <v>100000</v>
      </c>
      <c r="UIG24" s="906">
        <f t="shared" ref="UIG24" si="7350">$C$24*UIE24</f>
        <v>100000</v>
      </c>
      <c r="UII24" s="906">
        <f t="shared" ref="UII24" si="7351">$C$24*UIG24</f>
        <v>100000</v>
      </c>
      <c r="UIK24" s="906">
        <f t="shared" ref="UIK24" si="7352">$C$24*UII24</f>
        <v>100000</v>
      </c>
      <c r="UIM24" s="906">
        <f t="shared" ref="UIM24" si="7353">$C$24*UIK24</f>
        <v>100000</v>
      </c>
      <c r="UIO24" s="906">
        <f t="shared" ref="UIO24" si="7354">$C$24*UIM24</f>
        <v>100000</v>
      </c>
      <c r="UIQ24" s="906">
        <f t="shared" ref="UIQ24" si="7355">$C$24*UIO24</f>
        <v>100000</v>
      </c>
      <c r="UIS24" s="906">
        <f t="shared" ref="UIS24" si="7356">$C$24*UIQ24</f>
        <v>100000</v>
      </c>
      <c r="UIU24" s="906">
        <f t="shared" ref="UIU24" si="7357">$C$24*UIS24</f>
        <v>100000</v>
      </c>
      <c r="UIW24" s="906">
        <f t="shared" ref="UIW24" si="7358">$C$24*UIU24</f>
        <v>100000</v>
      </c>
      <c r="UIY24" s="906">
        <f t="shared" ref="UIY24" si="7359">$C$24*UIW24</f>
        <v>100000</v>
      </c>
      <c r="UJA24" s="906">
        <f t="shared" ref="UJA24" si="7360">$C$24*UIY24</f>
        <v>100000</v>
      </c>
      <c r="UJC24" s="906">
        <f t="shared" ref="UJC24" si="7361">$C$24*UJA24</f>
        <v>100000</v>
      </c>
      <c r="UJE24" s="906">
        <f t="shared" ref="UJE24" si="7362">$C$24*UJC24</f>
        <v>100000</v>
      </c>
      <c r="UJG24" s="906">
        <f t="shared" ref="UJG24" si="7363">$C$24*UJE24</f>
        <v>100000</v>
      </c>
      <c r="UJI24" s="906">
        <f t="shared" ref="UJI24" si="7364">$C$24*UJG24</f>
        <v>100000</v>
      </c>
      <c r="UJK24" s="906">
        <f t="shared" ref="UJK24" si="7365">$C$24*UJI24</f>
        <v>100000</v>
      </c>
      <c r="UJM24" s="906">
        <f t="shared" ref="UJM24" si="7366">$C$24*UJK24</f>
        <v>100000</v>
      </c>
      <c r="UJO24" s="906">
        <f t="shared" ref="UJO24" si="7367">$C$24*UJM24</f>
        <v>100000</v>
      </c>
      <c r="UJQ24" s="906">
        <f t="shared" ref="UJQ24" si="7368">$C$24*UJO24</f>
        <v>100000</v>
      </c>
      <c r="UJS24" s="906">
        <f t="shared" ref="UJS24" si="7369">$C$24*UJQ24</f>
        <v>100000</v>
      </c>
      <c r="UJU24" s="906">
        <f t="shared" ref="UJU24" si="7370">$C$24*UJS24</f>
        <v>100000</v>
      </c>
      <c r="UJW24" s="906">
        <f t="shared" ref="UJW24" si="7371">$C$24*UJU24</f>
        <v>100000</v>
      </c>
      <c r="UJY24" s="906">
        <f t="shared" ref="UJY24" si="7372">$C$24*UJW24</f>
        <v>100000</v>
      </c>
      <c r="UKA24" s="906">
        <f t="shared" ref="UKA24" si="7373">$C$24*UJY24</f>
        <v>100000</v>
      </c>
      <c r="UKC24" s="906">
        <f t="shared" ref="UKC24" si="7374">$C$24*UKA24</f>
        <v>100000</v>
      </c>
      <c r="UKE24" s="906">
        <f t="shared" ref="UKE24" si="7375">$C$24*UKC24</f>
        <v>100000</v>
      </c>
      <c r="UKG24" s="906">
        <f t="shared" ref="UKG24" si="7376">$C$24*UKE24</f>
        <v>100000</v>
      </c>
      <c r="UKI24" s="906">
        <f t="shared" ref="UKI24" si="7377">$C$24*UKG24</f>
        <v>100000</v>
      </c>
      <c r="UKK24" s="906">
        <f t="shared" ref="UKK24" si="7378">$C$24*UKI24</f>
        <v>100000</v>
      </c>
      <c r="UKM24" s="906">
        <f t="shared" ref="UKM24" si="7379">$C$24*UKK24</f>
        <v>100000</v>
      </c>
      <c r="UKO24" s="906">
        <f t="shared" ref="UKO24" si="7380">$C$24*UKM24</f>
        <v>100000</v>
      </c>
      <c r="UKQ24" s="906">
        <f t="shared" ref="UKQ24" si="7381">$C$24*UKO24</f>
        <v>100000</v>
      </c>
      <c r="UKS24" s="906">
        <f t="shared" ref="UKS24" si="7382">$C$24*UKQ24</f>
        <v>100000</v>
      </c>
      <c r="UKU24" s="906">
        <f t="shared" ref="UKU24" si="7383">$C$24*UKS24</f>
        <v>100000</v>
      </c>
      <c r="UKW24" s="906">
        <f t="shared" ref="UKW24" si="7384">$C$24*UKU24</f>
        <v>100000</v>
      </c>
      <c r="UKY24" s="906">
        <f t="shared" ref="UKY24" si="7385">$C$24*UKW24</f>
        <v>100000</v>
      </c>
      <c r="ULA24" s="906">
        <f t="shared" ref="ULA24" si="7386">$C$24*UKY24</f>
        <v>100000</v>
      </c>
      <c r="ULC24" s="906">
        <f t="shared" ref="ULC24" si="7387">$C$24*ULA24</f>
        <v>100000</v>
      </c>
      <c r="ULE24" s="906">
        <f t="shared" ref="ULE24" si="7388">$C$24*ULC24</f>
        <v>100000</v>
      </c>
      <c r="ULG24" s="906">
        <f t="shared" ref="ULG24" si="7389">$C$24*ULE24</f>
        <v>100000</v>
      </c>
      <c r="ULI24" s="906">
        <f t="shared" ref="ULI24" si="7390">$C$24*ULG24</f>
        <v>100000</v>
      </c>
      <c r="ULK24" s="906">
        <f t="shared" ref="ULK24" si="7391">$C$24*ULI24</f>
        <v>100000</v>
      </c>
      <c r="ULM24" s="906">
        <f t="shared" ref="ULM24" si="7392">$C$24*ULK24</f>
        <v>100000</v>
      </c>
      <c r="ULO24" s="906">
        <f t="shared" ref="ULO24" si="7393">$C$24*ULM24</f>
        <v>100000</v>
      </c>
      <c r="ULQ24" s="906">
        <f t="shared" ref="ULQ24" si="7394">$C$24*ULO24</f>
        <v>100000</v>
      </c>
      <c r="ULS24" s="906">
        <f t="shared" ref="ULS24" si="7395">$C$24*ULQ24</f>
        <v>100000</v>
      </c>
      <c r="ULU24" s="906">
        <f t="shared" ref="ULU24" si="7396">$C$24*ULS24</f>
        <v>100000</v>
      </c>
      <c r="ULW24" s="906">
        <f t="shared" ref="ULW24" si="7397">$C$24*ULU24</f>
        <v>100000</v>
      </c>
      <c r="ULY24" s="906">
        <f t="shared" ref="ULY24" si="7398">$C$24*ULW24</f>
        <v>100000</v>
      </c>
      <c r="UMA24" s="906">
        <f t="shared" ref="UMA24" si="7399">$C$24*ULY24</f>
        <v>100000</v>
      </c>
      <c r="UMC24" s="906">
        <f t="shared" ref="UMC24" si="7400">$C$24*UMA24</f>
        <v>100000</v>
      </c>
      <c r="UME24" s="906">
        <f t="shared" ref="UME24" si="7401">$C$24*UMC24</f>
        <v>100000</v>
      </c>
      <c r="UMG24" s="906">
        <f t="shared" ref="UMG24" si="7402">$C$24*UME24</f>
        <v>100000</v>
      </c>
      <c r="UMI24" s="906">
        <f t="shared" ref="UMI24" si="7403">$C$24*UMG24</f>
        <v>100000</v>
      </c>
      <c r="UMK24" s="906">
        <f t="shared" ref="UMK24" si="7404">$C$24*UMI24</f>
        <v>100000</v>
      </c>
      <c r="UMM24" s="906">
        <f t="shared" ref="UMM24" si="7405">$C$24*UMK24</f>
        <v>100000</v>
      </c>
      <c r="UMO24" s="906">
        <f t="shared" ref="UMO24" si="7406">$C$24*UMM24</f>
        <v>100000</v>
      </c>
      <c r="UMQ24" s="906">
        <f t="shared" ref="UMQ24" si="7407">$C$24*UMO24</f>
        <v>100000</v>
      </c>
      <c r="UMS24" s="906">
        <f t="shared" ref="UMS24" si="7408">$C$24*UMQ24</f>
        <v>100000</v>
      </c>
      <c r="UMU24" s="906">
        <f t="shared" ref="UMU24" si="7409">$C$24*UMS24</f>
        <v>100000</v>
      </c>
      <c r="UMW24" s="906">
        <f t="shared" ref="UMW24" si="7410">$C$24*UMU24</f>
        <v>100000</v>
      </c>
      <c r="UMY24" s="906">
        <f t="shared" ref="UMY24" si="7411">$C$24*UMW24</f>
        <v>100000</v>
      </c>
      <c r="UNA24" s="906">
        <f t="shared" ref="UNA24" si="7412">$C$24*UMY24</f>
        <v>100000</v>
      </c>
      <c r="UNC24" s="906">
        <f t="shared" ref="UNC24" si="7413">$C$24*UNA24</f>
        <v>100000</v>
      </c>
      <c r="UNE24" s="906">
        <f t="shared" ref="UNE24" si="7414">$C$24*UNC24</f>
        <v>100000</v>
      </c>
      <c r="UNG24" s="906">
        <f t="shared" ref="UNG24" si="7415">$C$24*UNE24</f>
        <v>100000</v>
      </c>
      <c r="UNI24" s="906">
        <f t="shared" ref="UNI24" si="7416">$C$24*UNG24</f>
        <v>100000</v>
      </c>
      <c r="UNK24" s="906">
        <f t="shared" ref="UNK24" si="7417">$C$24*UNI24</f>
        <v>100000</v>
      </c>
      <c r="UNM24" s="906">
        <f t="shared" ref="UNM24" si="7418">$C$24*UNK24</f>
        <v>100000</v>
      </c>
      <c r="UNO24" s="906">
        <f t="shared" ref="UNO24" si="7419">$C$24*UNM24</f>
        <v>100000</v>
      </c>
      <c r="UNQ24" s="906">
        <f t="shared" ref="UNQ24" si="7420">$C$24*UNO24</f>
        <v>100000</v>
      </c>
      <c r="UNS24" s="906">
        <f t="shared" ref="UNS24" si="7421">$C$24*UNQ24</f>
        <v>100000</v>
      </c>
      <c r="UNU24" s="906">
        <f t="shared" ref="UNU24" si="7422">$C$24*UNS24</f>
        <v>100000</v>
      </c>
      <c r="UNW24" s="906">
        <f t="shared" ref="UNW24" si="7423">$C$24*UNU24</f>
        <v>100000</v>
      </c>
      <c r="UNY24" s="906">
        <f t="shared" ref="UNY24" si="7424">$C$24*UNW24</f>
        <v>100000</v>
      </c>
      <c r="UOA24" s="906">
        <f t="shared" ref="UOA24" si="7425">$C$24*UNY24</f>
        <v>100000</v>
      </c>
      <c r="UOC24" s="906">
        <f t="shared" ref="UOC24" si="7426">$C$24*UOA24</f>
        <v>100000</v>
      </c>
      <c r="UOE24" s="906">
        <f t="shared" ref="UOE24" si="7427">$C$24*UOC24</f>
        <v>100000</v>
      </c>
      <c r="UOG24" s="906">
        <f t="shared" ref="UOG24" si="7428">$C$24*UOE24</f>
        <v>100000</v>
      </c>
      <c r="UOI24" s="906">
        <f t="shared" ref="UOI24" si="7429">$C$24*UOG24</f>
        <v>100000</v>
      </c>
      <c r="UOK24" s="906">
        <f t="shared" ref="UOK24" si="7430">$C$24*UOI24</f>
        <v>100000</v>
      </c>
      <c r="UOM24" s="906">
        <f t="shared" ref="UOM24" si="7431">$C$24*UOK24</f>
        <v>100000</v>
      </c>
      <c r="UOO24" s="906">
        <f t="shared" ref="UOO24" si="7432">$C$24*UOM24</f>
        <v>100000</v>
      </c>
      <c r="UOQ24" s="906">
        <f t="shared" ref="UOQ24" si="7433">$C$24*UOO24</f>
        <v>100000</v>
      </c>
      <c r="UOS24" s="906">
        <f t="shared" ref="UOS24" si="7434">$C$24*UOQ24</f>
        <v>100000</v>
      </c>
      <c r="UOU24" s="906">
        <f t="shared" ref="UOU24" si="7435">$C$24*UOS24</f>
        <v>100000</v>
      </c>
      <c r="UOW24" s="906">
        <f t="shared" ref="UOW24" si="7436">$C$24*UOU24</f>
        <v>100000</v>
      </c>
      <c r="UOY24" s="906">
        <f t="shared" ref="UOY24" si="7437">$C$24*UOW24</f>
        <v>100000</v>
      </c>
      <c r="UPA24" s="906">
        <f t="shared" ref="UPA24" si="7438">$C$24*UOY24</f>
        <v>100000</v>
      </c>
      <c r="UPC24" s="906">
        <f t="shared" ref="UPC24" si="7439">$C$24*UPA24</f>
        <v>100000</v>
      </c>
      <c r="UPE24" s="906">
        <f t="shared" ref="UPE24" si="7440">$C$24*UPC24</f>
        <v>100000</v>
      </c>
      <c r="UPG24" s="906">
        <f t="shared" ref="UPG24" si="7441">$C$24*UPE24</f>
        <v>100000</v>
      </c>
      <c r="UPI24" s="906">
        <f t="shared" ref="UPI24" si="7442">$C$24*UPG24</f>
        <v>100000</v>
      </c>
      <c r="UPK24" s="906">
        <f t="shared" ref="UPK24" si="7443">$C$24*UPI24</f>
        <v>100000</v>
      </c>
      <c r="UPM24" s="906">
        <f t="shared" ref="UPM24" si="7444">$C$24*UPK24</f>
        <v>100000</v>
      </c>
      <c r="UPO24" s="906">
        <f t="shared" ref="UPO24" si="7445">$C$24*UPM24</f>
        <v>100000</v>
      </c>
      <c r="UPQ24" s="906">
        <f t="shared" ref="UPQ24" si="7446">$C$24*UPO24</f>
        <v>100000</v>
      </c>
      <c r="UPS24" s="906">
        <f t="shared" ref="UPS24" si="7447">$C$24*UPQ24</f>
        <v>100000</v>
      </c>
      <c r="UPU24" s="906">
        <f t="shared" ref="UPU24" si="7448">$C$24*UPS24</f>
        <v>100000</v>
      </c>
      <c r="UPW24" s="906">
        <f t="shared" ref="UPW24" si="7449">$C$24*UPU24</f>
        <v>100000</v>
      </c>
      <c r="UPY24" s="906">
        <f t="shared" ref="UPY24" si="7450">$C$24*UPW24</f>
        <v>100000</v>
      </c>
      <c r="UQA24" s="906">
        <f t="shared" ref="UQA24" si="7451">$C$24*UPY24</f>
        <v>100000</v>
      </c>
      <c r="UQC24" s="906">
        <f t="shared" ref="UQC24" si="7452">$C$24*UQA24</f>
        <v>100000</v>
      </c>
      <c r="UQE24" s="906">
        <f t="shared" ref="UQE24" si="7453">$C$24*UQC24</f>
        <v>100000</v>
      </c>
      <c r="UQG24" s="906">
        <f t="shared" ref="UQG24" si="7454">$C$24*UQE24</f>
        <v>100000</v>
      </c>
      <c r="UQI24" s="906">
        <f t="shared" ref="UQI24" si="7455">$C$24*UQG24</f>
        <v>100000</v>
      </c>
      <c r="UQK24" s="906">
        <f t="shared" ref="UQK24" si="7456">$C$24*UQI24</f>
        <v>100000</v>
      </c>
      <c r="UQM24" s="906">
        <f t="shared" ref="UQM24" si="7457">$C$24*UQK24</f>
        <v>100000</v>
      </c>
      <c r="UQO24" s="906">
        <f t="shared" ref="UQO24" si="7458">$C$24*UQM24</f>
        <v>100000</v>
      </c>
      <c r="UQQ24" s="906">
        <f t="shared" ref="UQQ24" si="7459">$C$24*UQO24</f>
        <v>100000</v>
      </c>
      <c r="UQS24" s="906">
        <f t="shared" ref="UQS24" si="7460">$C$24*UQQ24</f>
        <v>100000</v>
      </c>
      <c r="UQU24" s="906">
        <f t="shared" ref="UQU24" si="7461">$C$24*UQS24</f>
        <v>100000</v>
      </c>
      <c r="UQW24" s="906">
        <f t="shared" ref="UQW24" si="7462">$C$24*UQU24</f>
        <v>100000</v>
      </c>
      <c r="UQY24" s="906">
        <f t="shared" ref="UQY24" si="7463">$C$24*UQW24</f>
        <v>100000</v>
      </c>
      <c r="URA24" s="906">
        <f t="shared" ref="URA24" si="7464">$C$24*UQY24</f>
        <v>100000</v>
      </c>
      <c r="URC24" s="906">
        <f t="shared" ref="URC24" si="7465">$C$24*URA24</f>
        <v>100000</v>
      </c>
      <c r="URE24" s="906">
        <f t="shared" ref="URE24" si="7466">$C$24*URC24</f>
        <v>100000</v>
      </c>
      <c r="URG24" s="906">
        <f t="shared" ref="URG24" si="7467">$C$24*URE24</f>
        <v>100000</v>
      </c>
      <c r="URI24" s="906">
        <f t="shared" ref="URI24" si="7468">$C$24*URG24</f>
        <v>100000</v>
      </c>
      <c r="URK24" s="906">
        <f t="shared" ref="URK24" si="7469">$C$24*URI24</f>
        <v>100000</v>
      </c>
      <c r="URM24" s="906">
        <f t="shared" ref="URM24" si="7470">$C$24*URK24</f>
        <v>100000</v>
      </c>
      <c r="URO24" s="906">
        <f t="shared" ref="URO24" si="7471">$C$24*URM24</f>
        <v>100000</v>
      </c>
      <c r="URQ24" s="906">
        <f t="shared" ref="URQ24" si="7472">$C$24*URO24</f>
        <v>100000</v>
      </c>
      <c r="URS24" s="906">
        <f t="shared" ref="URS24" si="7473">$C$24*URQ24</f>
        <v>100000</v>
      </c>
      <c r="URU24" s="906">
        <f t="shared" ref="URU24" si="7474">$C$24*URS24</f>
        <v>100000</v>
      </c>
      <c r="URW24" s="906">
        <f t="shared" ref="URW24" si="7475">$C$24*URU24</f>
        <v>100000</v>
      </c>
      <c r="URY24" s="906">
        <f t="shared" ref="URY24" si="7476">$C$24*URW24</f>
        <v>100000</v>
      </c>
      <c r="USA24" s="906">
        <f t="shared" ref="USA24" si="7477">$C$24*URY24</f>
        <v>100000</v>
      </c>
      <c r="USC24" s="906">
        <f t="shared" ref="USC24" si="7478">$C$24*USA24</f>
        <v>100000</v>
      </c>
      <c r="USE24" s="906">
        <f t="shared" ref="USE24" si="7479">$C$24*USC24</f>
        <v>100000</v>
      </c>
      <c r="USG24" s="906">
        <f t="shared" ref="USG24" si="7480">$C$24*USE24</f>
        <v>100000</v>
      </c>
      <c r="USI24" s="906">
        <f t="shared" ref="USI24" si="7481">$C$24*USG24</f>
        <v>100000</v>
      </c>
      <c r="USK24" s="906">
        <f t="shared" ref="USK24" si="7482">$C$24*USI24</f>
        <v>100000</v>
      </c>
      <c r="USM24" s="906">
        <f t="shared" ref="USM24" si="7483">$C$24*USK24</f>
        <v>100000</v>
      </c>
      <c r="USO24" s="906">
        <f t="shared" ref="USO24" si="7484">$C$24*USM24</f>
        <v>100000</v>
      </c>
      <c r="USQ24" s="906">
        <f t="shared" ref="USQ24" si="7485">$C$24*USO24</f>
        <v>100000</v>
      </c>
      <c r="USS24" s="906">
        <f t="shared" ref="USS24" si="7486">$C$24*USQ24</f>
        <v>100000</v>
      </c>
      <c r="USU24" s="906">
        <f t="shared" ref="USU24" si="7487">$C$24*USS24</f>
        <v>100000</v>
      </c>
      <c r="USW24" s="906">
        <f t="shared" ref="USW24" si="7488">$C$24*USU24</f>
        <v>100000</v>
      </c>
      <c r="USY24" s="906">
        <f t="shared" ref="USY24" si="7489">$C$24*USW24</f>
        <v>100000</v>
      </c>
      <c r="UTA24" s="906">
        <f t="shared" ref="UTA24" si="7490">$C$24*USY24</f>
        <v>100000</v>
      </c>
      <c r="UTC24" s="906">
        <f t="shared" ref="UTC24" si="7491">$C$24*UTA24</f>
        <v>100000</v>
      </c>
      <c r="UTE24" s="906">
        <f t="shared" ref="UTE24" si="7492">$C$24*UTC24</f>
        <v>100000</v>
      </c>
      <c r="UTG24" s="906">
        <f t="shared" ref="UTG24" si="7493">$C$24*UTE24</f>
        <v>100000</v>
      </c>
      <c r="UTI24" s="906">
        <f t="shared" ref="UTI24" si="7494">$C$24*UTG24</f>
        <v>100000</v>
      </c>
      <c r="UTK24" s="906">
        <f t="shared" ref="UTK24" si="7495">$C$24*UTI24</f>
        <v>100000</v>
      </c>
      <c r="UTM24" s="906">
        <f t="shared" ref="UTM24" si="7496">$C$24*UTK24</f>
        <v>100000</v>
      </c>
      <c r="UTO24" s="906">
        <f t="shared" ref="UTO24" si="7497">$C$24*UTM24</f>
        <v>100000</v>
      </c>
      <c r="UTQ24" s="906">
        <f t="shared" ref="UTQ24" si="7498">$C$24*UTO24</f>
        <v>100000</v>
      </c>
      <c r="UTS24" s="906">
        <f t="shared" ref="UTS24" si="7499">$C$24*UTQ24</f>
        <v>100000</v>
      </c>
      <c r="UTU24" s="906">
        <f t="shared" ref="UTU24" si="7500">$C$24*UTS24</f>
        <v>100000</v>
      </c>
      <c r="UTW24" s="906">
        <f t="shared" ref="UTW24" si="7501">$C$24*UTU24</f>
        <v>100000</v>
      </c>
      <c r="UTY24" s="906">
        <f t="shared" ref="UTY24" si="7502">$C$24*UTW24</f>
        <v>100000</v>
      </c>
      <c r="UUA24" s="906">
        <f t="shared" ref="UUA24" si="7503">$C$24*UTY24</f>
        <v>100000</v>
      </c>
      <c r="UUC24" s="906">
        <f t="shared" ref="UUC24" si="7504">$C$24*UUA24</f>
        <v>100000</v>
      </c>
      <c r="UUE24" s="906">
        <f t="shared" ref="UUE24" si="7505">$C$24*UUC24</f>
        <v>100000</v>
      </c>
      <c r="UUG24" s="906">
        <f t="shared" ref="UUG24" si="7506">$C$24*UUE24</f>
        <v>100000</v>
      </c>
      <c r="UUI24" s="906">
        <f t="shared" ref="UUI24" si="7507">$C$24*UUG24</f>
        <v>100000</v>
      </c>
      <c r="UUK24" s="906">
        <f t="shared" ref="UUK24" si="7508">$C$24*UUI24</f>
        <v>100000</v>
      </c>
      <c r="UUM24" s="906">
        <f t="shared" ref="UUM24" si="7509">$C$24*UUK24</f>
        <v>100000</v>
      </c>
      <c r="UUO24" s="906">
        <f t="shared" ref="UUO24" si="7510">$C$24*UUM24</f>
        <v>100000</v>
      </c>
      <c r="UUQ24" s="906">
        <f t="shared" ref="UUQ24" si="7511">$C$24*UUO24</f>
        <v>100000</v>
      </c>
      <c r="UUS24" s="906">
        <f t="shared" ref="UUS24" si="7512">$C$24*UUQ24</f>
        <v>100000</v>
      </c>
      <c r="UUU24" s="906">
        <f t="shared" ref="UUU24" si="7513">$C$24*UUS24</f>
        <v>100000</v>
      </c>
      <c r="UUW24" s="906">
        <f t="shared" ref="UUW24" si="7514">$C$24*UUU24</f>
        <v>100000</v>
      </c>
      <c r="UUY24" s="906">
        <f t="shared" ref="UUY24" si="7515">$C$24*UUW24</f>
        <v>100000</v>
      </c>
      <c r="UVA24" s="906">
        <f t="shared" ref="UVA24" si="7516">$C$24*UUY24</f>
        <v>100000</v>
      </c>
      <c r="UVC24" s="906">
        <f t="shared" ref="UVC24" si="7517">$C$24*UVA24</f>
        <v>100000</v>
      </c>
      <c r="UVE24" s="906">
        <f t="shared" ref="UVE24" si="7518">$C$24*UVC24</f>
        <v>100000</v>
      </c>
      <c r="UVG24" s="906">
        <f t="shared" ref="UVG24" si="7519">$C$24*UVE24</f>
        <v>100000</v>
      </c>
      <c r="UVI24" s="906">
        <f t="shared" ref="UVI24" si="7520">$C$24*UVG24</f>
        <v>100000</v>
      </c>
      <c r="UVK24" s="906">
        <f t="shared" ref="UVK24" si="7521">$C$24*UVI24</f>
        <v>100000</v>
      </c>
      <c r="UVM24" s="906">
        <f t="shared" ref="UVM24" si="7522">$C$24*UVK24</f>
        <v>100000</v>
      </c>
      <c r="UVO24" s="906">
        <f t="shared" ref="UVO24" si="7523">$C$24*UVM24</f>
        <v>100000</v>
      </c>
      <c r="UVQ24" s="906">
        <f t="shared" ref="UVQ24" si="7524">$C$24*UVO24</f>
        <v>100000</v>
      </c>
      <c r="UVS24" s="906">
        <f t="shared" ref="UVS24" si="7525">$C$24*UVQ24</f>
        <v>100000</v>
      </c>
      <c r="UVU24" s="906">
        <f t="shared" ref="UVU24" si="7526">$C$24*UVS24</f>
        <v>100000</v>
      </c>
      <c r="UVW24" s="906">
        <f t="shared" ref="UVW24" si="7527">$C$24*UVU24</f>
        <v>100000</v>
      </c>
      <c r="UVY24" s="906">
        <f t="shared" ref="UVY24" si="7528">$C$24*UVW24</f>
        <v>100000</v>
      </c>
      <c r="UWA24" s="906">
        <f t="shared" ref="UWA24" si="7529">$C$24*UVY24</f>
        <v>100000</v>
      </c>
      <c r="UWC24" s="906">
        <f t="shared" ref="UWC24" si="7530">$C$24*UWA24</f>
        <v>100000</v>
      </c>
      <c r="UWE24" s="906">
        <f t="shared" ref="UWE24" si="7531">$C$24*UWC24</f>
        <v>100000</v>
      </c>
      <c r="UWG24" s="906">
        <f t="shared" ref="UWG24" si="7532">$C$24*UWE24</f>
        <v>100000</v>
      </c>
      <c r="UWI24" s="906">
        <f t="shared" ref="UWI24" si="7533">$C$24*UWG24</f>
        <v>100000</v>
      </c>
      <c r="UWK24" s="906">
        <f t="shared" ref="UWK24" si="7534">$C$24*UWI24</f>
        <v>100000</v>
      </c>
      <c r="UWM24" s="906">
        <f t="shared" ref="UWM24" si="7535">$C$24*UWK24</f>
        <v>100000</v>
      </c>
      <c r="UWO24" s="906">
        <f t="shared" ref="UWO24" si="7536">$C$24*UWM24</f>
        <v>100000</v>
      </c>
      <c r="UWQ24" s="906">
        <f t="shared" ref="UWQ24" si="7537">$C$24*UWO24</f>
        <v>100000</v>
      </c>
      <c r="UWS24" s="906">
        <f t="shared" ref="UWS24" si="7538">$C$24*UWQ24</f>
        <v>100000</v>
      </c>
      <c r="UWU24" s="906">
        <f t="shared" ref="UWU24" si="7539">$C$24*UWS24</f>
        <v>100000</v>
      </c>
      <c r="UWW24" s="906">
        <f t="shared" ref="UWW24" si="7540">$C$24*UWU24</f>
        <v>100000</v>
      </c>
      <c r="UWY24" s="906">
        <f t="shared" ref="UWY24" si="7541">$C$24*UWW24</f>
        <v>100000</v>
      </c>
      <c r="UXA24" s="906">
        <f t="shared" ref="UXA24" si="7542">$C$24*UWY24</f>
        <v>100000</v>
      </c>
      <c r="UXC24" s="906">
        <f t="shared" ref="UXC24" si="7543">$C$24*UXA24</f>
        <v>100000</v>
      </c>
      <c r="UXE24" s="906">
        <f t="shared" ref="UXE24" si="7544">$C$24*UXC24</f>
        <v>100000</v>
      </c>
      <c r="UXG24" s="906">
        <f t="shared" ref="UXG24" si="7545">$C$24*UXE24</f>
        <v>100000</v>
      </c>
      <c r="UXI24" s="906">
        <f t="shared" ref="UXI24" si="7546">$C$24*UXG24</f>
        <v>100000</v>
      </c>
      <c r="UXK24" s="906">
        <f t="shared" ref="UXK24" si="7547">$C$24*UXI24</f>
        <v>100000</v>
      </c>
      <c r="UXM24" s="906">
        <f t="shared" ref="UXM24" si="7548">$C$24*UXK24</f>
        <v>100000</v>
      </c>
      <c r="UXO24" s="906">
        <f t="shared" ref="UXO24" si="7549">$C$24*UXM24</f>
        <v>100000</v>
      </c>
      <c r="UXQ24" s="906">
        <f t="shared" ref="UXQ24" si="7550">$C$24*UXO24</f>
        <v>100000</v>
      </c>
      <c r="UXS24" s="906">
        <f t="shared" ref="UXS24" si="7551">$C$24*UXQ24</f>
        <v>100000</v>
      </c>
      <c r="UXU24" s="906">
        <f t="shared" ref="UXU24" si="7552">$C$24*UXS24</f>
        <v>100000</v>
      </c>
      <c r="UXW24" s="906">
        <f t="shared" ref="UXW24" si="7553">$C$24*UXU24</f>
        <v>100000</v>
      </c>
      <c r="UXY24" s="906">
        <f t="shared" ref="UXY24" si="7554">$C$24*UXW24</f>
        <v>100000</v>
      </c>
      <c r="UYA24" s="906">
        <f t="shared" ref="UYA24" si="7555">$C$24*UXY24</f>
        <v>100000</v>
      </c>
      <c r="UYC24" s="906">
        <f t="shared" ref="UYC24" si="7556">$C$24*UYA24</f>
        <v>100000</v>
      </c>
      <c r="UYE24" s="906">
        <f t="shared" ref="UYE24" si="7557">$C$24*UYC24</f>
        <v>100000</v>
      </c>
      <c r="UYG24" s="906">
        <f t="shared" ref="UYG24" si="7558">$C$24*UYE24</f>
        <v>100000</v>
      </c>
      <c r="UYI24" s="906">
        <f t="shared" ref="UYI24" si="7559">$C$24*UYG24</f>
        <v>100000</v>
      </c>
      <c r="UYK24" s="906">
        <f t="shared" ref="UYK24" si="7560">$C$24*UYI24</f>
        <v>100000</v>
      </c>
      <c r="UYM24" s="906">
        <f t="shared" ref="UYM24" si="7561">$C$24*UYK24</f>
        <v>100000</v>
      </c>
      <c r="UYO24" s="906">
        <f t="shared" ref="UYO24" si="7562">$C$24*UYM24</f>
        <v>100000</v>
      </c>
      <c r="UYQ24" s="906">
        <f t="shared" ref="UYQ24" si="7563">$C$24*UYO24</f>
        <v>100000</v>
      </c>
      <c r="UYS24" s="906">
        <f t="shared" ref="UYS24" si="7564">$C$24*UYQ24</f>
        <v>100000</v>
      </c>
      <c r="UYU24" s="906">
        <f t="shared" ref="UYU24" si="7565">$C$24*UYS24</f>
        <v>100000</v>
      </c>
      <c r="UYW24" s="906">
        <f t="shared" ref="UYW24" si="7566">$C$24*UYU24</f>
        <v>100000</v>
      </c>
      <c r="UYY24" s="906">
        <f t="shared" ref="UYY24" si="7567">$C$24*UYW24</f>
        <v>100000</v>
      </c>
      <c r="UZA24" s="906">
        <f t="shared" ref="UZA24" si="7568">$C$24*UYY24</f>
        <v>100000</v>
      </c>
      <c r="UZC24" s="906">
        <f t="shared" ref="UZC24" si="7569">$C$24*UZA24</f>
        <v>100000</v>
      </c>
      <c r="UZE24" s="906">
        <f t="shared" ref="UZE24" si="7570">$C$24*UZC24</f>
        <v>100000</v>
      </c>
      <c r="UZG24" s="906">
        <f t="shared" ref="UZG24" si="7571">$C$24*UZE24</f>
        <v>100000</v>
      </c>
      <c r="UZI24" s="906">
        <f t="shared" ref="UZI24" si="7572">$C$24*UZG24</f>
        <v>100000</v>
      </c>
      <c r="UZK24" s="906">
        <f t="shared" ref="UZK24" si="7573">$C$24*UZI24</f>
        <v>100000</v>
      </c>
      <c r="UZM24" s="906">
        <f t="shared" ref="UZM24" si="7574">$C$24*UZK24</f>
        <v>100000</v>
      </c>
      <c r="UZO24" s="906">
        <f t="shared" ref="UZO24" si="7575">$C$24*UZM24</f>
        <v>100000</v>
      </c>
      <c r="UZQ24" s="906">
        <f t="shared" ref="UZQ24" si="7576">$C$24*UZO24</f>
        <v>100000</v>
      </c>
      <c r="UZS24" s="906">
        <f t="shared" ref="UZS24" si="7577">$C$24*UZQ24</f>
        <v>100000</v>
      </c>
      <c r="UZU24" s="906">
        <f t="shared" ref="UZU24" si="7578">$C$24*UZS24</f>
        <v>100000</v>
      </c>
      <c r="UZW24" s="906">
        <f t="shared" ref="UZW24" si="7579">$C$24*UZU24</f>
        <v>100000</v>
      </c>
      <c r="UZY24" s="906">
        <f t="shared" ref="UZY24" si="7580">$C$24*UZW24</f>
        <v>100000</v>
      </c>
      <c r="VAA24" s="906">
        <f t="shared" ref="VAA24" si="7581">$C$24*UZY24</f>
        <v>100000</v>
      </c>
      <c r="VAC24" s="906">
        <f t="shared" ref="VAC24" si="7582">$C$24*VAA24</f>
        <v>100000</v>
      </c>
      <c r="VAE24" s="906">
        <f t="shared" ref="VAE24" si="7583">$C$24*VAC24</f>
        <v>100000</v>
      </c>
      <c r="VAG24" s="906">
        <f t="shared" ref="VAG24" si="7584">$C$24*VAE24</f>
        <v>100000</v>
      </c>
      <c r="VAI24" s="906">
        <f t="shared" ref="VAI24" si="7585">$C$24*VAG24</f>
        <v>100000</v>
      </c>
      <c r="VAK24" s="906">
        <f t="shared" ref="VAK24" si="7586">$C$24*VAI24</f>
        <v>100000</v>
      </c>
      <c r="VAM24" s="906">
        <f t="shared" ref="VAM24" si="7587">$C$24*VAK24</f>
        <v>100000</v>
      </c>
      <c r="VAO24" s="906">
        <f t="shared" ref="VAO24" si="7588">$C$24*VAM24</f>
        <v>100000</v>
      </c>
      <c r="VAQ24" s="906">
        <f t="shared" ref="VAQ24" si="7589">$C$24*VAO24</f>
        <v>100000</v>
      </c>
      <c r="VAS24" s="906">
        <f t="shared" ref="VAS24" si="7590">$C$24*VAQ24</f>
        <v>100000</v>
      </c>
      <c r="VAU24" s="906">
        <f t="shared" ref="VAU24" si="7591">$C$24*VAS24</f>
        <v>100000</v>
      </c>
      <c r="VAW24" s="906">
        <f t="shared" ref="VAW24" si="7592">$C$24*VAU24</f>
        <v>100000</v>
      </c>
      <c r="VAY24" s="906">
        <f t="shared" ref="VAY24" si="7593">$C$24*VAW24</f>
        <v>100000</v>
      </c>
      <c r="VBA24" s="906">
        <f t="shared" ref="VBA24" si="7594">$C$24*VAY24</f>
        <v>100000</v>
      </c>
      <c r="VBC24" s="906">
        <f t="shared" ref="VBC24" si="7595">$C$24*VBA24</f>
        <v>100000</v>
      </c>
      <c r="VBE24" s="906">
        <f t="shared" ref="VBE24" si="7596">$C$24*VBC24</f>
        <v>100000</v>
      </c>
      <c r="VBG24" s="906">
        <f t="shared" ref="VBG24" si="7597">$C$24*VBE24</f>
        <v>100000</v>
      </c>
      <c r="VBI24" s="906">
        <f t="shared" ref="VBI24" si="7598">$C$24*VBG24</f>
        <v>100000</v>
      </c>
      <c r="VBK24" s="906">
        <f t="shared" ref="VBK24" si="7599">$C$24*VBI24</f>
        <v>100000</v>
      </c>
      <c r="VBM24" s="906">
        <f t="shared" ref="VBM24" si="7600">$C$24*VBK24</f>
        <v>100000</v>
      </c>
      <c r="VBO24" s="906">
        <f t="shared" ref="VBO24" si="7601">$C$24*VBM24</f>
        <v>100000</v>
      </c>
      <c r="VBQ24" s="906">
        <f t="shared" ref="VBQ24" si="7602">$C$24*VBO24</f>
        <v>100000</v>
      </c>
      <c r="VBS24" s="906">
        <f t="shared" ref="VBS24" si="7603">$C$24*VBQ24</f>
        <v>100000</v>
      </c>
      <c r="VBU24" s="906">
        <f t="shared" ref="VBU24" si="7604">$C$24*VBS24</f>
        <v>100000</v>
      </c>
      <c r="VBW24" s="906">
        <f t="shared" ref="VBW24" si="7605">$C$24*VBU24</f>
        <v>100000</v>
      </c>
      <c r="VBY24" s="906">
        <f t="shared" ref="VBY24" si="7606">$C$24*VBW24</f>
        <v>100000</v>
      </c>
      <c r="VCA24" s="906">
        <f t="shared" ref="VCA24" si="7607">$C$24*VBY24</f>
        <v>100000</v>
      </c>
      <c r="VCC24" s="906">
        <f t="shared" ref="VCC24" si="7608">$C$24*VCA24</f>
        <v>100000</v>
      </c>
      <c r="VCE24" s="906">
        <f t="shared" ref="VCE24" si="7609">$C$24*VCC24</f>
        <v>100000</v>
      </c>
      <c r="VCG24" s="906">
        <f t="shared" ref="VCG24" si="7610">$C$24*VCE24</f>
        <v>100000</v>
      </c>
      <c r="VCI24" s="906">
        <f t="shared" ref="VCI24" si="7611">$C$24*VCG24</f>
        <v>100000</v>
      </c>
      <c r="VCK24" s="906">
        <f t="shared" ref="VCK24" si="7612">$C$24*VCI24</f>
        <v>100000</v>
      </c>
      <c r="VCM24" s="906">
        <f t="shared" ref="VCM24" si="7613">$C$24*VCK24</f>
        <v>100000</v>
      </c>
      <c r="VCO24" s="906">
        <f t="shared" ref="VCO24" si="7614">$C$24*VCM24</f>
        <v>100000</v>
      </c>
      <c r="VCQ24" s="906">
        <f t="shared" ref="VCQ24" si="7615">$C$24*VCO24</f>
        <v>100000</v>
      </c>
      <c r="VCS24" s="906">
        <f t="shared" ref="VCS24" si="7616">$C$24*VCQ24</f>
        <v>100000</v>
      </c>
      <c r="VCU24" s="906">
        <f t="shared" ref="VCU24" si="7617">$C$24*VCS24</f>
        <v>100000</v>
      </c>
      <c r="VCW24" s="906">
        <f t="shared" ref="VCW24" si="7618">$C$24*VCU24</f>
        <v>100000</v>
      </c>
      <c r="VCY24" s="906">
        <f t="shared" ref="VCY24" si="7619">$C$24*VCW24</f>
        <v>100000</v>
      </c>
      <c r="VDA24" s="906">
        <f t="shared" ref="VDA24" si="7620">$C$24*VCY24</f>
        <v>100000</v>
      </c>
      <c r="VDC24" s="906">
        <f t="shared" ref="VDC24" si="7621">$C$24*VDA24</f>
        <v>100000</v>
      </c>
      <c r="VDE24" s="906">
        <f t="shared" ref="VDE24" si="7622">$C$24*VDC24</f>
        <v>100000</v>
      </c>
      <c r="VDG24" s="906">
        <f t="shared" ref="VDG24" si="7623">$C$24*VDE24</f>
        <v>100000</v>
      </c>
      <c r="VDI24" s="906">
        <f t="shared" ref="VDI24" si="7624">$C$24*VDG24</f>
        <v>100000</v>
      </c>
      <c r="VDK24" s="906">
        <f t="shared" ref="VDK24" si="7625">$C$24*VDI24</f>
        <v>100000</v>
      </c>
      <c r="VDM24" s="906">
        <f t="shared" ref="VDM24" si="7626">$C$24*VDK24</f>
        <v>100000</v>
      </c>
      <c r="VDO24" s="906">
        <f t="shared" ref="VDO24" si="7627">$C$24*VDM24</f>
        <v>100000</v>
      </c>
      <c r="VDQ24" s="906">
        <f t="shared" ref="VDQ24" si="7628">$C$24*VDO24</f>
        <v>100000</v>
      </c>
      <c r="VDS24" s="906">
        <f t="shared" ref="VDS24" si="7629">$C$24*VDQ24</f>
        <v>100000</v>
      </c>
      <c r="VDU24" s="906">
        <f t="shared" ref="VDU24" si="7630">$C$24*VDS24</f>
        <v>100000</v>
      </c>
      <c r="VDW24" s="906">
        <f t="shared" ref="VDW24" si="7631">$C$24*VDU24</f>
        <v>100000</v>
      </c>
      <c r="VDY24" s="906">
        <f t="shared" ref="VDY24" si="7632">$C$24*VDW24</f>
        <v>100000</v>
      </c>
      <c r="VEA24" s="906">
        <f t="shared" ref="VEA24" si="7633">$C$24*VDY24</f>
        <v>100000</v>
      </c>
      <c r="VEC24" s="906">
        <f t="shared" ref="VEC24" si="7634">$C$24*VEA24</f>
        <v>100000</v>
      </c>
      <c r="VEE24" s="906">
        <f t="shared" ref="VEE24" si="7635">$C$24*VEC24</f>
        <v>100000</v>
      </c>
      <c r="VEG24" s="906">
        <f t="shared" ref="VEG24" si="7636">$C$24*VEE24</f>
        <v>100000</v>
      </c>
      <c r="VEI24" s="906">
        <f t="shared" ref="VEI24" si="7637">$C$24*VEG24</f>
        <v>100000</v>
      </c>
      <c r="VEK24" s="906">
        <f t="shared" ref="VEK24" si="7638">$C$24*VEI24</f>
        <v>100000</v>
      </c>
      <c r="VEM24" s="906">
        <f t="shared" ref="VEM24" si="7639">$C$24*VEK24</f>
        <v>100000</v>
      </c>
      <c r="VEO24" s="906">
        <f t="shared" ref="VEO24" si="7640">$C$24*VEM24</f>
        <v>100000</v>
      </c>
      <c r="VEQ24" s="906">
        <f t="shared" ref="VEQ24" si="7641">$C$24*VEO24</f>
        <v>100000</v>
      </c>
      <c r="VES24" s="906">
        <f t="shared" ref="VES24" si="7642">$C$24*VEQ24</f>
        <v>100000</v>
      </c>
      <c r="VEU24" s="906">
        <f t="shared" ref="VEU24" si="7643">$C$24*VES24</f>
        <v>100000</v>
      </c>
      <c r="VEW24" s="906">
        <f t="shared" ref="VEW24" si="7644">$C$24*VEU24</f>
        <v>100000</v>
      </c>
      <c r="VEY24" s="906">
        <f t="shared" ref="VEY24" si="7645">$C$24*VEW24</f>
        <v>100000</v>
      </c>
      <c r="VFA24" s="906">
        <f t="shared" ref="VFA24" si="7646">$C$24*VEY24</f>
        <v>100000</v>
      </c>
      <c r="VFC24" s="906">
        <f t="shared" ref="VFC24" si="7647">$C$24*VFA24</f>
        <v>100000</v>
      </c>
      <c r="VFE24" s="906">
        <f t="shared" ref="VFE24" si="7648">$C$24*VFC24</f>
        <v>100000</v>
      </c>
      <c r="VFG24" s="906">
        <f t="shared" ref="VFG24" si="7649">$C$24*VFE24</f>
        <v>100000</v>
      </c>
      <c r="VFI24" s="906">
        <f t="shared" ref="VFI24" si="7650">$C$24*VFG24</f>
        <v>100000</v>
      </c>
      <c r="VFK24" s="906">
        <f t="shared" ref="VFK24" si="7651">$C$24*VFI24</f>
        <v>100000</v>
      </c>
      <c r="VFM24" s="906">
        <f t="shared" ref="VFM24" si="7652">$C$24*VFK24</f>
        <v>100000</v>
      </c>
      <c r="VFO24" s="906">
        <f t="shared" ref="VFO24" si="7653">$C$24*VFM24</f>
        <v>100000</v>
      </c>
      <c r="VFQ24" s="906">
        <f t="shared" ref="VFQ24" si="7654">$C$24*VFO24</f>
        <v>100000</v>
      </c>
      <c r="VFS24" s="906">
        <f t="shared" ref="VFS24" si="7655">$C$24*VFQ24</f>
        <v>100000</v>
      </c>
      <c r="VFU24" s="906">
        <f t="shared" ref="VFU24" si="7656">$C$24*VFS24</f>
        <v>100000</v>
      </c>
      <c r="VFW24" s="906">
        <f t="shared" ref="VFW24" si="7657">$C$24*VFU24</f>
        <v>100000</v>
      </c>
      <c r="VFY24" s="906">
        <f t="shared" ref="VFY24" si="7658">$C$24*VFW24</f>
        <v>100000</v>
      </c>
      <c r="VGA24" s="906">
        <f t="shared" ref="VGA24" si="7659">$C$24*VFY24</f>
        <v>100000</v>
      </c>
      <c r="VGC24" s="906">
        <f t="shared" ref="VGC24" si="7660">$C$24*VGA24</f>
        <v>100000</v>
      </c>
      <c r="VGE24" s="906">
        <f t="shared" ref="VGE24" si="7661">$C$24*VGC24</f>
        <v>100000</v>
      </c>
      <c r="VGG24" s="906">
        <f t="shared" ref="VGG24" si="7662">$C$24*VGE24</f>
        <v>100000</v>
      </c>
      <c r="VGI24" s="906">
        <f t="shared" ref="VGI24" si="7663">$C$24*VGG24</f>
        <v>100000</v>
      </c>
      <c r="VGK24" s="906">
        <f t="shared" ref="VGK24" si="7664">$C$24*VGI24</f>
        <v>100000</v>
      </c>
      <c r="VGM24" s="906">
        <f t="shared" ref="VGM24" si="7665">$C$24*VGK24</f>
        <v>100000</v>
      </c>
      <c r="VGO24" s="906">
        <f t="shared" ref="VGO24" si="7666">$C$24*VGM24</f>
        <v>100000</v>
      </c>
      <c r="VGQ24" s="906">
        <f t="shared" ref="VGQ24" si="7667">$C$24*VGO24</f>
        <v>100000</v>
      </c>
      <c r="VGS24" s="906">
        <f t="shared" ref="VGS24" si="7668">$C$24*VGQ24</f>
        <v>100000</v>
      </c>
      <c r="VGU24" s="906">
        <f t="shared" ref="VGU24" si="7669">$C$24*VGS24</f>
        <v>100000</v>
      </c>
      <c r="VGW24" s="906">
        <f t="shared" ref="VGW24" si="7670">$C$24*VGU24</f>
        <v>100000</v>
      </c>
      <c r="VGY24" s="906">
        <f t="shared" ref="VGY24" si="7671">$C$24*VGW24</f>
        <v>100000</v>
      </c>
      <c r="VHA24" s="906">
        <f t="shared" ref="VHA24" si="7672">$C$24*VGY24</f>
        <v>100000</v>
      </c>
      <c r="VHC24" s="906">
        <f t="shared" ref="VHC24" si="7673">$C$24*VHA24</f>
        <v>100000</v>
      </c>
      <c r="VHE24" s="906">
        <f t="shared" ref="VHE24" si="7674">$C$24*VHC24</f>
        <v>100000</v>
      </c>
      <c r="VHG24" s="906">
        <f t="shared" ref="VHG24" si="7675">$C$24*VHE24</f>
        <v>100000</v>
      </c>
      <c r="VHI24" s="906">
        <f t="shared" ref="VHI24" si="7676">$C$24*VHG24</f>
        <v>100000</v>
      </c>
      <c r="VHK24" s="906">
        <f t="shared" ref="VHK24" si="7677">$C$24*VHI24</f>
        <v>100000</v>
      </c>
      <c r="VHM24" s="906">
        <f t="shared" ref="VHM24" si="7678">$C$24*VHK24</f>
        <v>100000</v>
      </c>
      <c r="VHO24" s="906">
        <f t="shared" ref="VHO24" si="7679">$C$24*VHM24</f>
        <v>100000</v>
      </c>
      <c r="VHQ24" s="906">
        <f t="shared" ref="VHQ24" si="7680">$C$24*VHO24</f>
        <v>100000</v>
      </c>
      <c r="VHS24" s="906">
        <f t="shared" ref="VHS24" si="7681">$C$24*VHQ24</f>
        <v>100000</v>
      </c>
      <c r="VHU24" s="906">
        <f t="shared" ref="VHU24" si="7682">$C$24*VHS24</f>
        <v>100000</v>
      </c>
      <c r="VHW24" s="906">
        <f t="shared" ref="VHW24" si="7683">$C$24*VHU24</f>
        <v>100000</v>
      </c>
      <c r="VHY24" s="906">
        <f t="shared" ref="VHY24" si="7684">$C$24*VHW24</f>
        <v>100000</v>
      </c>
      <c r="VIA24" s="906">
        <f t="shared" ref="VIA24" si="7685">$C$24*VHY24</f>
        <v>100000</v>
      </c>
      <c r="VIC24" s="906">
        <f t="shared" ref="VIC24" si="7686">$C$24*VIA24</f>
        <v>100000</v>
      </c>
      <c r="VIE24" s="906">
        <f t="shared" ref="VIE24" si="7687">$C$24*VIC24</f>
        <v>100000</v>
      </c>
      <c r="VIG24" s="906">
        <f t="shared" ref="VIG24" si="7688">$C$24*VIE24</f>
        <v>100000</v>
      </c>
      <c r="VII24" s="906">
        <f t="shared" ref="VII24" si="7689">$C$24*VIG24</f>
        <v>100000</v>
      </c>
      <c r="VIK24" s="906">
        <f t="shared" ref="VIK24" si="7690">$C$24*VII24</f>
        <v>100000</v>
      </c>
      <c r="VIM24" s="906">
        <f t="shared" ref="VIM24" si="7691">$C$24*VIK24</f>
        <v>100000</v>
      </c>
      <c r="VIO24" s="906">
        <f t="shared" ref="VIO24" si="7692">$C$24*VIM24</f>
        <v>100000</v>
      </c>
      <c r="VIQ24" s="906">
        <f t="shared" ref="VIQ24" si="7693">$C$24*VIO24</f>
        <v>100000</v>
      </c>
      <c r="VIS24" s="906">
        <f t="shared" ref="VIS24" si="7694">$C$24*VIQ24</f>
        <v>100000</v>
      </c>
      <c r="VIU24" s="906">
        <f t="shared" ref="VIU24" si="7695">$C$24*VIS24</f>
        <v>100000</v>
      </c>
      <c r="VIW24" s="906">
        <f t="shared" ref="VIW24" si="7696">$C$24*VIU24</f>
        <v>100000</v>
      </c>
      <c r="VIY24" s="906">
        <f t="shared" ref="VIY24" si="7697">$C$24*VIW24</f>
        <v>100000</v>
      </c>
      <c r="VJA24" s="906">
        <f t="shared" ref="VJA24" si="7698">$C$24*VIY24</f>
        <v>100000</v>
      </c>
      <c r="VJC24" s="906">
        <f t="shared" ref="VJC24" si="7699">$C$24*VJA24</f>
        <v>100000</v>
      </c>
      <c r="VJE24" s="906">
        <f t="shared" ref="VJE24" si="7700">$C$24*VJC24</f>
        <v>100000</v>
      </c>
      <c r="VJG24" s="906">
        <f t="shared" ref="VJG24" si="7701">$C$24*VJE24</f>
        <v>100000</v>
      </c>
      <c r="VJI24" s="906">
        <f t="shared" ref="VJI24" si="7702">$C$24*VJG24</f>
        <v>100000</v>
      </c>
      <c r="VJK24" s="906">
        <f t="shared" ref="VJK24" si="7703">$C$24*VJI24</f>
        <v>100000</v>
      </c>
      <c r="VJM24" s="906">
        <f t="shared" ref="VJM24" si="7704">$C$24*VJK24</f>
        <v>100000</v>
      </c>
      <c r="VJO24" s="906">
        <f t="shared" ref="VJO24" si="7705">$C$24*VJM24</f>
        <v>100000</v>
      </c>
      <c r="VJQ24" s="906">
        <f t="shared" ref="VJQ24" si="7706">$C$24*VJO24</f>
        <v>100000</v>
      </c>
      <c r="VJS24" s="906">
        <f t="shared" ref="VJS24" si="7707">$C$24*VJQ24</f>
        <v>100000</v>
      </c>
      <c r="VJU24" s="906">
        <f t="shared" ref="VJU24" si="7708">$C$24*VJS24</f>
        <v>100000</v>
      </c>
      <c r="VJW24" s="906">
        <f t="shared" ref="VJW24" si="7709">$C$24*VJU24</f>
        <v>100000</v>
      </c>
      <c r="VJY24" s="906">
        <f t="shared" ref="VJY24" si="7710">$C$24*VJW24</f>
        <v>100000</v>
      </c>
      <c r="VKA24" s="906">
        <f t="shared" ref="VKA24" si="7711">$C$24*VJY24</f>
        <v>100000</v>
      </c>
      <c r="VKC24" s="906">
        <f t="shared" ref="VKC24" si="7712">$C$24*VKA24</f>
        <v>100000</v>
      </c>
      <c r="VKE24" s="906">
        <f t="shared" ref="VKE24" si="7713">$C$24*VKC24</f>
        <v>100000</v>
      </c>
      <c r="VKG24" s="906">
        <f t="shared" ref="VKG24" si="7714">$C$24*VKE24</f>
        <v>100000</v>
      </c>
      <c r="VKI24" s="906">
        <f t="shared" ref="VKI24" si="7715">$C$24*VKG24</f>
        <v>100000</v>
      </c>
      <c r="VKK24" s="906">
        <f t="shared" ref="VKK24" si="7716">$C$24*VKI24</f>
        <v>100000</v>
      </c>
      <c r="VKM24" s="906">
        <f t="shared" ref="VKM24" si="7717">$C$24*VKK24</f>
        <v>100000</v>
      </c>
      <c r="VKO24" s="906">
        <f t="shared" ref="VKO24" si="7718">$C$24*VKM24</f>
        <v>100000</v>
      </c>
      <c r="VKQ24" s="906">
        <f t="shared" ref="VKQ24" si="7719">$C$24*VKO24</f>
        <v>100000</v>
      </c>
      <c r="VKS24" s="906">
        <f t="shared" ref="VKS24" si="7720">$C$24*VKQ24</f>
        <v>100000</v>
      </c>
      <c r="VKU24" s="906">
        <f t="shared" ref="VKU24" si="7721">$C$24*VKS24</f>
        <v>100000</v>
      </c>
      <c r="VKW24" s="906">
        <f t="shared" ref="VKW24" si="7722">$C$24*VKU24</f>
        <v>100000</v>
      </c>
      <c r="VKY24" s="906">
        <f t="shared" ref="VKY24" si="7723">$C$24*VKW24</f>
        <v>100000</v>
      </c>
      <c r="VLA24" s="906">
        <f t="shared" ref="VLA24" si="7724">$C$24*VKY24</f>
        <v>100000</v>
      </c>
      <c r="VLC24" s="906">
        <f t="shared" ref="VLC24" si="7725">$C$24*VLA24</f>
        <v>100000</v>
      </c>
      <c r="VLE24" s="906">
        <f t="shared" ref="VLE24" si="7726">$C$24*VLC24</f>
        <v>100000</v>
      </c>
      <c r="VLG24" s="906">
        <f t="shared" ref="VLG24" si="7727">$C$24*VLE24</f>
        <v>100000</v>
      </c>
      <c r="VLI24" s="906">
        <f t="shared" ref="VLI24" si="7728">$C$24*VLG24</f>
        <v>100000</v>
      </c>
      <c r="VLK24" s="906">
        <f t="shared" ref="VLK24" si="7729">$C$24*VLI24</f>
        <v>100000</v>
      </c>
      <c r="VLM24" s="906">
        <f t="shared" ref="VLM24" si="7730">$C$24*VLK24</f>
        <v>100000</v>
      </c>
      <c r="VLO24" s="906">
        <f t="shared" ref="VLO24" si="7731">$C$24*VLM24</f>
        <v>100000</v>
      </c>
      <c r="VLQ24" s="906">
        <f t="shared" ref="VLQ24" si="7732">$C$24*VLO24</f>
        <v>100000</v>
      </c>
      <c r="VLS24" s="906">
        <f t="shared" ref="VLS24" si="7733">$C$24*VLQ24</f>
        <v>100000</v>
      </c>
      <c r="VLU24" s="906">
        <f t="shared" ref="VLU24" si="7734">$C$24*VLS24</f>
        <v>100000</v>
      </c>
      <c r="VLW24" s="906">
        <f t="shared" ref="VLW24" si="7735">$C$24*VLU24</f>
        <v>100000</v>
      </c>
      <c r="VLY24" s="906">
        <f t="shared" ref="VLY24" si="7736">$C$24*VLW24</f>
        <v>100000</v>
      </c>
      <c r="VMA24" s="906">
        <f t="shared" ref="VMA24" si="7737">$C$24*VLY24</f>
        <v>100000</v>
      </c>
      <c r="VMC24" s="906">
        <f t="shared" ref="VMC24" si="7738">$C$24*VMA24</f>
        <v>100000</v>
      </c>
      <c r="VME24" s="906">
        <f t="shared" ref="VME24" si="7739">$C$24*VMC24</f>
        <v>100000</v>
      </c>
      <c r="VMG24" s="906">
        <f t="shared" ref="VMG24" si="7740">$C$24*VME24</f>
        <v>100000</v>
      </c>
      <c r="VMI24" s="906">
        <f t="shared" ref="VMI24" si="7741">$C$24*VMG24</f>
        <v>100000</v>
      </c>
      <c r="VMK24" s="906">
        <f t="shared" ref="VMK24" si="7742">$C$24*VMI24</f>
        <v>100000</v>
      </c>
      <c r="VMM24" s="906">
        <f t="shared" ref="VMM24" si="7743">$C$24*VMK24</f>
        <v>100000</v>
      </c>
      <c r="VMO24" s="906">
        <f t="shared" ref="VMO24" si="7744">$C$24*VMM24</f>
        <v>100000</v>
      </c>
      <c r="VMQ24" s="906">
        <f t="shared" ref="VMQ24" si="7745">$C$24*VMO24</f>
        <v>100000</v>
      </c>
      <c r="VMS24" s="906">
        <f t="shared" ref="VMS24" si="7746">$C$24*VMQ24</f>
        <v>100000</v>
      </c>
      <c r="VMU24" s="906">
        <f t="shared" ref="VMU24" si="7747">$C$24*VMS24</f>
        <v>100000</v>
      </c>
      <c r="VMW24" s="906">
        <f t="shared" ref="VMW24" si="7748">$C$24*VMU24</f>
        <v>100000</v>
      </c>
      <c r="VMY24" s="906">
        <f t="shared" ref="VMY24" si="7749">$C$24*VMW24</f>
        <v>100000</v>
      </c>
      <c r="VNA24" s="906">
        <f t="shared" ref="VNA24" si="7750">$C$24*VMY24</f>
        <v>100000</v>
      </c>
      <c r="VNC24" s="906">
        <f t="shared" ref="VNC24" si="7751">$C$24*VNA24</f>
        <v>100000</v>
      </c>
      <c r="VNE24" s="906">
        <f t="shared" ref="VNE24" si="7752">$C$24*VNC24</f>
        <v>100000</v>
      </c>
      <c r="VNG24" s="906">
        <f t="shared" ref="VNG24" si="7753">$C$24*VNE24</f>
        <v>100000</v>
      </c>
      <c r="VNI24" s="906">
        <f t="shared" ref="VNI24" si="7754">$C$24*VNG24</f>
        <v>100000</v>
      </c>
      <c r="VNK24" s="906">
        <f t="shared" ref="VNK24" si="7755">$C$24*VNI24</f>
        <v>100000</v>
      </c>
      <c r="VNM24" s="906">
        <f t="shared" ref="VNM24" si="7756">$C$24*VNK24</f>
        <v>100000</v>
      </c>
      <c r="VNO24" s="906">
        <f t="shared" ref="VNO24" si="7757">$C$24*VNM24</f>
        <v>100000</v>
      </c>
      <c r="VNQ24" s="906">
        <f t="shared" ref="VNQ24" si="7758">$C$24*VNO24</f>
        <v>100000</v>
      </c>
      <c r="VNS24" s="906">
        <f t="shared" ref="VNS24" si="7759">$C$24*VNQ24</f>
        <v>100000</v>
      </c>
      <c r="VNU24" s="906">
        <f t="shared" ref="VNU24" si="7760">$C$24*VNS24</f>
        <v>100000</v>
      </c>
      <c r="VNW24" s="906">
        <f t="shared" ref="VNW24" si="7761">$C$24*VNU24</f>
        <v>100000</v>
      </c>
      <c r="VNY24" s="906">
        <f t="shared" ref="VNY24" si="7762">$C$24*VNW24</f>
        <v>100000</v>
      </c>
      <c r="VOA24" s="906">
        <f t="shared" ref="VOA24" si="7763">$C$24*VNY24</f>
        <v>100000</v>
      </c>
      <c r="VOC24" s="906">
        <f t="shared" ref="VOC24" si="7764">$C$24*VOA24</f>
        <v>100000</v>
      </c>
      <c r="VOE24" s="906">
        <f t="shared" ref="VOE24" si="7765">$C$24*VOC24</f>
        <v>100000</v>
      </c>
      <c r="VOG24" s="906">
        <f t="shared" ref="VOG24" si="7766">$C$24*VOE24</f>
        <v>100000</v>
      </c>
      <c r="VOI24" s="906">
        <f t="shared" ref="VOI24" si="7767">$C$24*VOG24</f>
        <v>100000</v>
      </c>
      <c r="VOK24" s="906">
        <f t="shared" ref="VOK24" si="7768">$C$24*VOI24</f>
        <v>100000</v>
      </c>
      <c r="VOM24" s="906">
        <f t="shared" ref="VOM24" si="7769">$C$24*VOK24</f>
        <v>100000</v>
      </c>
      <c r="VOO24" s="906">
        <f t="shared" ref="VOO24" si="7770">$C$24*VOM24</f>
        <v>100000</v>
      </c>
      <c r="VOQ24" s="906">
        <f t="shared" ref="VOQ24" si="7771">$C$24*VOO24</f>
        <v>100000</v>
      </c>
      <c r="VOS24" s="906">
        <f t="shared" ref="VOS24" si="7772">$C$24*VOQ24</f>
        <v>100000</v>
      </c>
      <c r="VOU24" s="906">
        <f t="shared" ref="VOU24" si="7773">$C$24*VOS24</f>
        <v>100000</v>
      </c>
      <c r="VOW24" s="906">
        <f t="shared" ref="VOW24" si="7774">$C$24*VOU24</f>
        <v>100000</v>
      </c>
      <c r="VOY24" s="906">
        <f t="shared" ref="VOY24" si="7775">$C$24*VOW24</f>
        <v>100000</v>
      </c>
      <c r="VPA24" s="906">
        <f t="shared" ref="VPA24" si="7776">$C$24*VOY24</f>
        <v>100000</v>
      </c>
      <c r="VPC24" s="906">
        <f t="shared" ref="VPC24" si="7777">$C$24*VPA24</f>
        <v>100000</v>
      </c>
      <c r="VPE24" s="906">
        <f t="shared" ref="VPE24" si="7778">$C$24*VPC24</f>
        <v>100000</v>
      </c>
      <c r="VPG24" s="906">
        <f t="shared" ref="VPG24" si="7779">$C$24*VPE24</f>
        <v>100000</v>
      </c>
      <c r="VPI24" s="906">
        <f t="shared" ref="VPI24" si="7780">$C$24*VPG24</f>
        <v>100000</v>
      </c>
      <c r="VPK24" s="906">
        <f t="shared" ref="VPK24" si="7781">$C$24*VPI24</f>
        <v>100000</v>
      </c>
      <c r="VPM24" s="906">
        <f t="shared" ref="VPM24" si="7782">$C$24*VPK24</f>
        <v>100000</v>
      </c>
      <c r="VPO24" s="906">
        <f t="shared" ref="VPO24" si="7783">$C$24*VPM24</f>
        <v>100000</v>
      </c>
      <c r="VPQ24" s="906">
        <f t="shared" ref="VPQ24" si="7784">$C$24*VPO24</f>
        <v>100000</v>
      </c>
      <c r="VPS24" s="906">
        <f t="shared" ref="VPS24" si="7785">$C$24*VPQ24</f>
        <v>100000</v>
      </c>
      <c r="VPU24" s="906">
        <f t="shared" ref="VPU24" si="7786">$C$24*VPS24</f>
        <v>100000</v>
      </c>
      <c r="VPW24" s="906">
        <f t="shared" ref="VPW24" si="7787">$C$24*VPU24</f>
        <v>100000</v>
      </c>
      <c r="VPY24" s="906">
        <f t="shared" ref="VPY24" si="7788">$C$24*VPW24</f>
        <v>100000</v>
      </c>
      <c r="VQA24" s="906">
        <f t="shared" ref="VQA24" si="7789">$C$24*VPY24</f>
        <v>100000</v>
      </c>
      <c r="VQC24" s="906">
        <f t="shared" ref="VQC24" si="7790">$C$24*VQA24</f>
        <v>100000</v>
      </c>
      <c r="VQE24" s="906">
        <f t="shared" ref="VQE24" si="7791">$C$24*VQC24</f>
        <v>100000</v>
      </c>
      <c r="VQG24" s="906">
        <f t="shared" ref="VQG24" si="7792">$C$24*VQE24</f>
        <v>100000</v>
      </c>
      <c r="VQI24" s="906">
        <f t="shared" ref="VQI24" si="7793">$C$24*VQG24</f>
        <v>100000</v>
      </c>
      <c r="VQK24" s="906">
        <f t="shared" ref="VQK24" si="7794">$C$24*VQI24</f>
        <v>100000</v>
      </c>
      <c r="VQM24" s="906">
        <f t="shared" ref="VQM24" si="7795">$C$24*VQK24</f>
        <v>100000</v>
      </c>
      <c r="VQO24" s="906">
        <f t="shared" ref="VQO24" si="7796">$C$24*VQM24</f>
        <v>100000</v>
      </c>
      <c r="VQQ24" s="906">
        <f t="shared" ref="VQQ24" si="7797">$C$24*VQO24</f>
        <v>100000</v>
      </c>
      <c r="VQS24" s="906">
        <f t="shared" ref="VQS24" si="7798">$C$24*VQQ24</f>
        <v>100000</v>
      </c>
      <c r="VQU24" s="906">
        <f t="shared" ref="VQU24" si="7799">$C$24*VQS24</f>
        <v>100000</v>
      </c>
      <c r="VQW24" s="906">
        <f t="shared" ref="VQW24" si="7800">$C$24*VQU24</f>
        <v>100000</v>
      </c>
      <c r="VQY24" s="906">
        <f t="shared" ref="VQY24" si="7801">$C$24*VQW24</f>
        <v>100000</v>
      </c>
      <c r="VRA24" s="906">
        <f t="shared" ref="VRA24" si="7802">$C$24*VQY24</f>
        <v>100000</v>
      </c>
      <c r="VRC24" s="906">
        <f t="shared" ref="VRC24" si="7803">$C$24*VRA24</f>
        <v>100000</v>
      </c>
      <c r="VRE24" s="906">
        <f t="shared" ref="VRE24" si="7804">$C$24*VRC24</f>
        <v>100000</v>
      </c>
      <c r="VRG24" s="906">
        <f t="shared" ref="VRG24" si="7805">$C$24*VRE24</f>
        <v>100000</v>
      </c>
      <c r="VRI24" s="906">
        <f t="shared" ref="VRI24" si="7806">$C$24*VRG24</f>
        <v>100000</v>
      </c>
      <c r="VRK24" s="906">
        <f t="shared" ref="VRK24" si="7807">$C$24*VRI24</f>
        <v>100000</v>
      </c>
      <c r="VRM24" s="906">
        <f t="shared" ref="VRM24" si="7808">$C$24*VRK24</f>
        <v>100000</v>
      </c>
      <c r="VRO24" s="906">
        <f t="shared" ref="VRO24" si="7809">$C$24*VRM24</f>
        <v>100000</v>
      </c>
      <c r="VRQ24" s="906">
        <f t="shared" ref="VRQ24" si="7810">$C$24*VRO24</f>
        <v>100000</v>
      </c>
      <c r="VRS24" s="906">
        <f t="shared" ref="VRS24" si="7811">$C$24*VRQ24</f>
        <v>100000</v>
      </c>
      <c r="VRU24" s="906">
        <f t="shared" ref="VRU24" si="7812">$C$24*VRS24</f>
        <v>100000</v>
      </c>
      <c r="VRW24" s="906">
        <f t="shared" ref="VRW24" si="7813">$C$24*VRU24</f>
        <v>100000</v>
      </c>
      <c r="VRY24" s="906">
        <f t="shared" ref="VRY24" si="7814">$C$24*VRW24</f>
        <v>100000</v>
      </c>
      <c r="VSA24" s="906">
        <f t="shared" ref="VSA24" si="7815">$C$24*VRY24</f>
        <v>100000</v>
      </c>
      <c r="VSC24" s="906">
        <f t="shared" ref="VSC24" si="7816">$C$24*VSA24</f>
        <v>100000</v>
      </c>
      <c r="VSE24" s="906">
        <f t="shared" ref="VSE24" si="7817">$C$24*VSC24</f>
        <v>100000</v>
      </c>
      <c r="VSG24" s="906">
        <f t="shared" ref="VSG24" si="7818">$C$24*VSE24</f>
        <v>100000</v>
      </c>
      <c r="VSI24" s="906">
        <f t="shared" ref="VSI24" si="7819">$C$24*VSG24</f>
        <v>100000</v>
      </c>
      <c r="VSK24" s="906">
        <f t="shared" ref="VSK24" si="7820">$C$24*VSI24</f>
        <v>100000</v>
      </c>
      <c r="VSM24" s="906">
        <f t="shared" ref="VSM24" si="7821">$C$24*VSK24</f>
        <v>100000</v>
      </c>
      <c r="VSO24" s="906">
        <f t="shared" ref="VSO24" si="7822">$C$24*VSM24</f>
        <v>100000</v>
      </c>
      <c r="VSQ24" s="906">
        <f t="shared" ref="VSQ24" si="7823">$C$24*VSO24</f>
        <v>100000</v>
      </c>
      <c r="VSS24" s="906">
        <f t="shared" ref="VSS24" si="7824">$C$24*VSQ24</f>
        <v>100000</v>
      </c>
      <c r="VSU24" s="906">
        <f t="shared" ref="VSU24" si="7825">$C$24*VSS24</f>
        <v>100000</v>
      </c>
      <c r="VSW24" s="906">
        <f t="shared" ref="VSW24" si="7826">$C$24*VSU24</f>
        <v>100000</v>
      </c>
      <c r="VSY24" s="906">
        <f t="shared" ref="VSY24" si="7827">$C$24*VSW24</f>
        <v>100000</v>
      </c>
      <c r="VTA24" s="906">
        <f t="shared" ref="VTA24" si="7828">$C$24*VSY24</f>
        <v>100000</v>
      </c>
      <c r="VTC24" s="906">
        <f t="shared" ref="VTC24" si="7829">$C$24*VTA24</f>
        <v>100000</v>
      </c>
      <c r="VTE24" s="906">
        <f t="shared" ref="VTE24" si="7830">$C$24*VTC24</f>
        <v>100000</v>
      </c>
      <c r="VTG24" s="906">
        <f t="shared" ref="VTG24" si="7831">$C$24*VTE24</f>
        <v>100000</v>
      </c>
      <c r="VTI24" s="906">
        <f t="shared" ref="VTI24" si="7832">$C$24*VTG24</f>
        <v>100000</v>
      </c>
      <c r="VTK24" s="906">
        <f t="shared" ref="VTK24" si="7833">$C$24*VTI24</f>
        <v>100000</v>
      </c>
      <c r="VTM24" s="906">
        <f t="shared" ref="VTM24" si="7834">$C$24*VTK24</f>
        <v>100000</v>
      </c>
      <c r="VTO24" s="906">
        <f t="shared" ref="VTO24" si="7835">$C$24*VTM24</f>
        <v>100000</v>
      </c>
      <c r="VTQ24" s="906">
        <f t="shared" ref="VTQ24" si="7836">$C$24*VTO24</f>
        <v>100000</v>
      </c>
      <c r="VTS24" s="906">
        <f t="shared" ref="VTS24" si="7837">$C$24*VTQ24</f>
        <v>100000</v>
      </c>
      <c r="VTU24" s="906">
        <f t="shared" ref="VTU24" si="7838">$C$24*VTS24</f>
        <v>100000</v>
      </c>
      <c r="VTW24" s="906">
        <f t="shared" ref="VTW24" si="7839">$C$24*VTU24</f>
        <v>100000</v>
      </c>
      <c r="VTY24" s="906">
        <f t="shared" ref="VTY24" si="7840">$C$24*VTW24</f>
        <v>100000</v>
      </c>
      <c r="VUA24" s="906">
        <f t="shared" ref="VUA24" si="7841">$C$24*VTY24</f>
        <v>100000</v>
      </c>
      <c r="VUC24" s="906">
        <f t="shared" ref="VUC24" si="7842">$C$24*VUA24</f>
        <v>100000</v>
      </c>
      <c r="VUE24" s="906">
        <f t="shared" ref="VUE24" si="7843">$C$24*VUC24</f>
        <v>100000</v>
      </c>
      <c r="VUG24" s="906">
        <f t="shared" ref="VUG24" si="7844">$C$24*VUE24</f>
        <v>100000</v>
      </c>
      <c r="VUI24" s="906">
        <f t="shared" ref="VUI24" si="7845">$C$24*VUG24</f>
        <v>100000</v>
      </c>
      <c r="VUK24" s="906">
        <f t="shared" ref="VUK24" si="7846">$C$24*VUI24</f>
        <v>100000</v>
      </c>
      <c r="VUM24" s="906">
        <f t="shared" ref="VUM24" si="7847">$C$24*VUK24</f>
        <v>100000</v>
      </c>
      <c r="VUO24" s="906">
        <f t="shared" ref="VUO24" si="7848">$C$24*VUM24</f>
        <v>100000</v>
      </c>
      <c r="VUQ24" s="906">
        <f t="shared" ref="VUQ24" si="7849">$C$24*VUO24</f>
        <v>100000</v>
      </c>
      <c r="VUS24" s="906">
        <f t="shared" ref="VUS24" si="7850">$C$24*VUQ24</f>
        <v>100000</v>
      </c>
      <c r="VUU24" s="906">
        <f t="shared" ref="VUU24" si="7851">$C$24*VUS24</f>
        <v>100000</v>
      </c>
      <c r="VUW24" s="906">
        <f t="shared" ref="VUW24" si="7852">$C$24*VUU24</f>
        <v>100000</v>
      </c>
      <c r="VUY24" s="906">
        <f t="shared" ref="VUY24" si="7853">$C$24*VUW24</f>
        <v>100000</v>
      </c>
      <c r="VVA24" s="906">
        <f t="shared" ref="VVA24" si="7854">$C$24*VUY24</f>
        <v>100000</v>
      </c>
      <c r="VVC24" s="906">
        <f t="shared" ref="VVC24" si="7855">$C$24*VVA24</f>
        <v>100000</v>
      </c>
      <c r="VVE24" s="906">
        <f t="shared" ref="VVE24" si="7856">$C$24*VVC24</f>
        <v>100000</v>
      </c>
      <c r="VVG24" s="906">
        <f t="shared" ref="VVG24" si="7857">$C$24*VVE24</f>
        <v>100000</v>
      </c>
      <c r="VVI24" s="906">
        <f t="shared" ref="VVI24" si="7858">$C$24*VVG24</f>
        <v>100000</v>
      </c>
      <c r="VVK24" s="906">
        <f t="shared" ref="VVK24" si="7859">$C$24*VVI24</f>
        <v>100000</v>
      </c>
      <c r="VVM24" s="906">
        <f t="shared" ref="VVM24" si="7860">$C$24*VVK24</f>
        <v>100000</v>
      </c>
      <c r="VVO24" s="906">
        <f t="shared" ref="VVO24" si="7861">$C$24*VVM24</f>
        <v>100000</v>
      </c>
      <c r="VVQ24" s="906">
        <f t="shared" ref="VVQ24" si="7862">$C$24*VVO24</f>
        <v>100000</v>
      </c>
      <c r="VVS24" s="906">
        <f t="shared" ref="VVS24" si="7863">$C$24*VVQ24</f>
        <v>100000</v>
      </c>
      <c r="VVU24" s="906">
        <f t="shared" ref="VVU24" si="7864">$C$24*VVS24</f>
        <v>100000</v>
      </c>
      <c r="VVW24" s="906">
        <f t="shared" ref="VVW24" si="7865">$C$24*VVU24</f>
        <v>100000</v>
      </c>
      <c r="VVY24" s="906">
        <f t="shared" ref="VVY24" si="7866">$C$24*VVW24</f>
        <v>100000</v>
      </c>
      <c r="VWA24" s="906">
        <f t="shared" ref="VWA24" si="7867">$C$24*VVY24</f>
        <v>100000</v>
      </c>
      <c r="VWC24" s="906">
        <f t="shared" ref="VWC24" si="7868">$C$24*VWA24</f>
        <v>100000</v>
      </c>
      <c r="VWE24" s="906">
        <f t="shared" ref="VWE24" si="7869">$C$24*VWC24</f>
        <v>100000</v>
      </c>
      <c r="VWG24" s="906">
        <f t="shared" ref="VWG24" si="7870">$C$24*VWE24</f>
        <v>100000</v>
      </c>
      <c r="VWI24" s="906">
        <f t="shared" ref="VWI24" si="7871">$C$24*VWG24</f>
        <v>100000</v>
      </c>
      <c r="VWK24" s="906">
        <f t="shared" ref="VWK24" si="7872">$C$24*VWI24</f>
        <v>100000</v>
      </c>
      <c r="VWM24" s="906">
        <f t="shared" ref="VWM24" si="7873">$C$24*VWK24</f>
        <v>100000</v>
      </c>
      <c r="VWO24" s="906">
        <f t="shared" ref="VWO24" si="7874">$C$24*VWM24</f>
        <v>100000</v>
      </c>
      <c r="VWQ24" s="906">
        <f t="shared" ref="VWQ24" si="7875">$C$24*VWO24</f>
        <v>100000</v>
      </c>
      <c r="VWS24" s="906">
        <f t="shared" ref="VWS24" si="7876">$C$24*VWQ24</f>
        <v>100000</v>
      </c>
      <c r="VWU24" s="906">
        <f t="shared" ref="VWU24" si="7877">$C$24*VWS24</f>
        <v>100000</v>
      </c>
      <c r="VWW24" s="906">
        <f t="shared" ref="VWW24" si="7878">$C$24*VWU24</f>
        <v>100000</v>
      </c>
      <c r="VWY24" s="906">
        <f t="shared" ref="VWY24" si="7879">$C$24*VWW24</f>
        <v>100000</v>
      </c>
      <c r="VXA24" s="906">
        <f t="shared" ref="VXA24" si="7880">$C$24*VWY24</f>
        <v>100000</v>
      </c>
      <c r="VXC24" s="906">
        <f t="shared" ref="VXC24" si="7881">$C$24*VXA24</f>
        <v>100000</v>
      </c>
      <c r="VXE24" s="906">
        <f t="shared" ref="VXE24" si="7882">$C$24*VXC24</f>
        <v>100000</v>
      </c>
      <c r="VXG24" s="906">
        <f t="shared" ref="VXG24" si="7883">$C$24*VXE24</f>
        <v>100000</v>
      </c>
      <c r="VXI24" s="906">
        <f t="shared" ref="VXI24" si="7884">$C$24*VXG24</f>
        <v>100000</v>
      </c>
      <c r="VXK24" s="906">
        <f t="shared" ref="VXK24" si="7885">$C$24*VXI24</f>
        <v>100000</v>
      </c>
      <c r="VXM24" s="906">
        <f t="shared" ref="VXM24" si="7886">$C$24*VXK24</f>
        <v>100000</v>
      </c>
      <c r="VXO24" s="906">
        <f t="shared" ref="VXO24" si="7887">$C$24*VXM24</f>
        <v>100000</v>
      </c>
      <c r="VXQ24" s="906">
        <f t="shared" ref="VXQ24" si="7888">$C$24*VXO24</f>
        <v>100000</v>
      </c>
      <c r="VXS24" s="906">
        <f t="shared" ref="VXS24" si="7889">$C$24*VXQ24</f>
        <v>100000</v>
      </c>
      <c r="VXU24" s="906">
        <f t="shared" ref="VXU24" si="7890">$C$24*VXS24</f>
        <v>100000</v>
      </c>
      <c r="VXW24" s="906">
        <f t="shared" ref="VXW24" si="7891">$C$24*VXU24</f>
        <v>100000</v>
      </c>
      <c r="VXY24" s="906">
        <f t="shared" ref="VXY24" si="7892">$C$24*VXW24</f>
        <v>100000</v>
      </c>
      <c r="VYA24" s="906">
        <f t="shared" ref="VYA24" si="7893">$C$24*VXY24</f>
        <v>100000</v>
      </c>
      <c r="VYC24" s="906">
        <f t="shared" ref="VYC24" si="7894">$C$24*VYA24</f>
        <v>100000</v>
      </c>
      <c r="VYE24" s="906">
        <f t="shared" ref="VYE24" si="7895">$C$24*VYC24</f>
        <v>100000</v>
      </c>
      <c r="VYG24" s="906">
        <f t="shared" ref="VYG24" si="7896">$C$24*VYE24</f>
        <v>100000</v>
      </c>
      <c r="VYI24" s="906">
        <f t="shared" ref="VYI24" si="7897">$C$24*VYG24</f>
        <v>100000</v>
      </c>
      <c r="VYK24" s="906">
        <f t="shared" ref="VYK24" si="7898">$C$24*VYI24</f>
        <v>100000</v>
      </c>
      <c r="VYM24" s="906">
        <f t="shared" ref="VYM24" si="7899">$C$24*VYK24</f>
        <v>100000</v>
      </c>
      <c r="VYO24" s="906">
        <f t="shared" ref="VYO24" si="7900">$C$24*VYM24</f>
        <v>100000</v>
      </c>
      <c r="VYQ24" s="906">
        <f t="shared" ref="VYQ24" si="7901">$C$24*VYO24</f>
        <v>100000</v>
      </c>
      <c r="VYS24" s="906">
        <f t="shared" ref="VYS24" si="7902">$C$24*VYQ24</f>
        <v>100000</v>
      </c>
      <c r="VYU24" s="906">
        <f t="shared" ref="VYU24" si="7903">$C$24*VYS24</f>
        <v>100000</v>
      </c>
      <c r="VYW24" s="906">
        <f t="shared" ref="VYW24" si="7904">$C$24*VYU24</f>
        <v>100000</v>
      </c>
      <c r="VYY24" s="906">
        <f t="shared" ref="VYY24" si="7905">$C$24*VYW24</f>
        <v>100000</v>
      </c>
      <c r="VZA24" s="906">
        <f t="shared" ref="VZA24" si="7906">$C$24*VYY24</f>
        <v>100000</v>
      </c>
      <c r="VZC24" s="906">
        <f t="shared" ref="VZC24" si="7907">$C$24*VZA24</f>
        <v>100000</v>
      </c>
      <c r="VZE24" s="906">
        <f t="shared" ref="VZE24" si="7908">$C$24*VZC24</f>
        <v>100000</v>
      </c>
      <c r="VZG24" s="906">
        <f t="shared" ref="VZG24" si="7909">$C$24*VZE24</f>
        <v>100000</v>
      </c>
      <c r="VZI24" s="906">
        <f t="shared" ref="VZI24" si="7910">$C$24*VZG24</f>
        <v>100000</v>
      </c>
      <c r="VZK24" s="906">
        <f t="shared" ref="VZK24" si="7911">$C$24*VZI24</f>
        <v>100000</v>
      </c>
      <c r="VZM24" s="906">
        <f t="shared" ref="VZM24" si="7912">$C$24*VZK24</f>
        <v>100000</v>
      </c>
      <c r="VZO24" s="906">
        <f t="shared" ref="VZO24" si="7913">$C$24*VZM24</f>
        <v>100000</v>
      </c>
      <c r="VZQ24" s="906">
        <f t="shared" ref="VZQ24" si="7914">$C$24*VZO24</f>
        <v>100000</v>
      </c>
      <c r="VZS24" s="906">
        <f t="shared" ref="VZS24" si="7915">$C$24*VZQ24</f>
        <v>100000</v>
      </c>
      <c r="VZU24" s="906">
        <f t="shared" ref="VZU24" si="7916">$C$24*VZS24</f>
        <v>100000</v>
      </c>
      <c r="VZW24" s="906">
        <f t="shared" ref="VZW24" si="7917">$C$24*VZU24</f>
        <v>100000</v>
      </c>
      <c r="VZY24" s="906">
        <f t="shared" ref="VZY24" si="7918">$C$24*VZW24</f>
        <v>100000</v>
      </c>
      <c r="WAA24" s="906">
        <f t="shared" ref="WAA24" si="7919">$C$24*VZY24</f>
        <v>100000</v>
      </c>
      <c r="WAC24" s="906">
        <f t="shared" ref="WAC24" si="7920">$C$24*WAA24</f>
        <v>100000</v>
      </c>
      <c r="WAE24" s="906">
        <f t="shared" ref="WAE24" si="7921">$C$24*WAC24</f>
        <v>100000</v>
      </c>
      <c r="WAG24" s="906">
        <f t="shared" ref="WAG24" si="7922">$C$24*WAE24</f>
        <v>100000</v>
      </c>
      <c r="WAI24" s="906">
        <f t="shared" ref="WAI24" si="7923">$C$24*WAG24</f>
        <v>100000</v>
      </c>
      <c r="WAK24" s="906">
        <f t="shared" ref="WAK24" si="7924">$C$24*WAI24</f>
        <v>100000</v>
      </c>
      <c r="WAM24" s="906">
        <f t="shared" ref="WAM24" si="7925">$C$24*WAK24</f>
        <v>100000</v>
      </c>
      <c r="WAO24" s="906">
        <f t="shared" ref="WAO24" si="7926">$C$24*WAM24</f>
        <v>100000</v>
      </c>
      <c r="WAQ24" s="906">
        <f t="shared" ref="WAQ24" si="7927">$C$24*WAO24</f>
        <v>100000</v>
      </c>
      <c r="WAS24" s="906">
        <f t="shared" ref="WAS24" si="7928">$C$24*WAQ24</f>
        <v>100000</v>
      </c>
      <c r="WAU24" s="906">
        <f t="shared" ref="WAU24" si="7929">$C$24*WAS24</f>
        <v>100000</v>
      </c>
      <c r="WAW24" s="906">
        <f t="shared" ref="WAW24" si="7930">$C$24*WAU24</f>
        <v>100000</v>
      </c>
      <c r="WAY24" s="906">
        <f t="shared" ref="WAY24" si="7931">$C$24*WAW24</f>
        <v>100000</v>
      </c>
      <c r="WBA24" s="906">
        <f t="shared" ref="WBA24" si="7932">$C$24*WAY24</f>
        <v>100000</v>
      </c>
      <c r="WBC24" s="906">
        <f t="shared" ref="WBC24" si="7933">$C$24*WBA24</f>
        <v>100000</v>
      </c>
      <c r="WBE24" s="906">
        <f t="shared" ref="WBE24" si="7934">$C$24*WBC24</f>
        <v>100000</v>
      </c>
      <c r="WBG24" s="906">
        <f t="shared" ref="WBG24" si="7935">$C$24*WBE24</f>
        <v>100000</v>
      </c>
      <c r="WBI24" s="906">
        <f t="shared" ref="WBI24" si="7936">$C$24*WBG24</f>
        <v>100000</v>
      </c>
      <c r="WBK24" s="906">
        <f t="shared" ref="WBK24" si="7937">$C$24*WBI24</f>
        <v>100000</v>
      </c>
      <c r="WBM24" s="906">
        <f t="shared" ref="WBM24" si="7938">$C$24*WBK24</f>
        <v>100000</v>
      </c>
      <c r="WBO24" s="906">
        <f t="shared" ref="WBO24" si="7939">$C$24*WBM24</f>
        <v>100000</v>
      </c>
      <c r="WBQ24" s="906">
        <f t="shared" ref="WBQ24" si="7940">$C$24*WBO24</f>
        <v>100000</v>
      </c>
      <c r="WBS24" s="906">
        <f t="shared" ref="WBS24" si="7941">$C$24*WBQ24</f>
        <v>100000</v>
      </c>
      <c r="WBU24" s="906">
        <f t="shared" ref="WBU24" si="7942">$C$24*WBS24</f>
        <v>100000</v>
      </c>
      <c r="WBW24" s="906">
        <f t="shared" ref="WBW24" si="7943">$C$24*WBU24</f>
        <v>100000</v>
      </c>
      <c r="WBY24" s="906">
        <f t="shared" ref="WBY24" si="7944">$C$24*WBW24</f>
        <v>100000</v>
      </c>
      <c r="WCA24" s="906">
        <f t="shared" ref="WCA24" si="7945">$C$24*WBY24</f>
        <v>100000</v>
      </c>
      <c r="WCC24" s="906">
        <f t="shared" ref="WCC24" si="7946">$C$24*WCA24</f>
        <v>100000</v>
      </c>
      <c r="WCE24" s="906">
        <f t="shared" ref="WCE24" si="7947">$C$24*WCC24</f>
        <v>100000</v>
      </c>
      <c r="WCG24" s="906">
        <f t="shared" ref="WCG24" si="7948">$C$24*WCE24</f>
        <v>100000</v>
      </c>
      <c r="WCI24" s="906">
        <f t="shared" ref="WCI24" si="7949">$C$24*WCG24</f>
        <v>100000</v>
      </c>
      <c r="WCK24" s="906">
        <f t="shared" ref="WCK24" si="7950">$C$24*WCI24</f>
        <v>100000</v>
      </c>
      <c r="WCM24" s="906">
        <f t="shared" ref="WCM24" si="7951">$C$24*WCK24</f>
        <v>100000</v>
      </c>
      <c r="WCO24" s="906">
        <f t="shared" ref="WCO24" si="7952">$C$24*WCM24</f>
        <v>100000</v>
      </c>
      <c r="WCQ24" s="906">
        <f t="shared" ref="WCQ24" si="7953">$C$24*WCO24</f>
        <v>100000</v>
      </c>
      <c r="WCS24" s="906">
        <f t="shared" ref="WCS24" si="7954">$C$24*WCQ24</f>
        <v>100000</v>
      </c>
      <c r="WCU24" s="906">
        <f t="shared" ref="WCU24" si="7955">$C$24*WCS24</f>
        <v>100000</v>
      </c>
      <c r="WCW24" s="906">
        <f t="shared" ref="WCW24" si="7956">$C$24*WCU24</f>
        <v>100000</v>
      </c>
      <c r="WCY24" s="906">
        <f t="shared" ref="WCY24" si="7957">$C$24*WCW24</f>
        <v>100000</v>
      </c>
      <c r="WDA24" s="906">
        <f t="shared" ref="WDA24" si="7958">$C$24*WCY24</f>
        <v>100000</v>
      </c>
      <c r="WDC24" s="906">
        <f t="shared" ref="WDC24" si="7959">$C$24*WDA24</f>
        <v>100000</v>
      </c>
      <c r="WDE24" s="906">
        <f t="shared" ref="WDE24" si="7960">$C$24*WDC24</f>
        <v>100000</v>
      </c>
      <c r="WDG24" s="906">
        <f t="shared" ref="WDG24" si="7961">$C$24*WDE24</f>
        <v>100000</v>
      </c>
      <c r="WDI24" s="906">
        <f t="shared" ref="WDI24" si="7962">$C$24*WDG24</f>
        <v>100000</v>
      </c>
      <c r="WDK24" s="906">
        <f t="shared" ref="WDK24" si="7963">$C$24*WDI24</f>
        <v>100000</v>
      </c>
      <c r="WDM24" s="906">
        <f t="shared" ref="WDM24" si="7964">$C$24*WDK24</f>
        <v>100000</v>
      </c>
      <c r="WDO24" s="906">
        <f t="shared" ref="WDO24" si="7965">$C$24*WDM24</f>
        <v>100000</v>
      </c>
      <c r="WDQ24" s="906">
        <f t="shared" ref="WDQ24" si="7966">$C$24*WDO24</f>
        <v>100000</v>
      </c>
      <c r="WDS24" s="906">
        <f t="shared" ref="WDS24" si="7967">$C$24*WDQ24</f>
        <v>100000</v>
      </c>
      <c r="WDU24" s="906">
        <f t="shared" ref="WDU24" si="7968">$C$24*WDS24</f>
        <v>100000</v>
      </c>
      <c r="WDW24" s="906">
        <f t="shared" ref="WDW24" si="7969">$C$24*WDU24</f>
        <v>100000</v>
      </c>
      <c r="WDY24" s="906">
        <f t="shared" ref="WDY24" si="7970">$C$24*WDW24</f>
        <v>100000</v>
      </c>
      <c r="WEA24" s="906">
        <f t="shared" ref="WEA24" si="7971">$C$24*WDY24</f>
        <v>100000</v>
      </c>
      <c r="WEC24" s="906">
        <f t="shared" ref="WEC24" si="7972">$C$24*WEA24</f>
        <v>100000</v>
      </c>
      <c r="WEE24" s="906">
        <f t="shared" ref="WEE24" si="7973">$C$24*WEC24</f>
        <v>100000</v>
      </c>
      <c r="WEG24" s="906">
        <f t="shared" ref="WEG24" si="7974">$C$24*WEE24</f>
        <v>100000</v>
      </c>
      <c r="WEI24" s="906">
        <f t="shared" ref="WEI24" si="7975">$C$24*WEG24</f>
        <v>100000</v>
      </c>
      <c r="WEK24" s="906">
        <f t="shared" ref="WEK24" si="7976">$C$24*WEI24</f>
        <v>100000</v>
      </c>
      <c r="WEM24" s="906">
        <f t="shared" ref="WEM24" si="7977">$C$24*WEK24</f>
        <v>100000</v>
      </c>
      <c r="WEO24" s="906">
        <f t="shared" ref="WEO24" si="7978">$C$24*WEM24</f>
        <v>100000</v>
      </c>
      <c r="WEQ24" s="906">
        <f t="shared" ref="WEQ24" si="7979">$C$24*WEO24</f>
        <v>100000</v>
      </c>
      <c r="WES24" s="906">
        <f t="shared" ref="WES24" si="7980">$C$24*WEQ24</f>
        <v>100000</v>
      </c>
      <c r="WEU24" s="906">
        <f t="shared" ref="WEU24" si="7981">$C$24*WES24</f>
        <v>100000</v>
      </c>
      <c r="WEW24" s="906">
        <f t="shared" ref="WEW24" si="7982">$C$24*WEU24</f>
        <v>100000</v>
      </c>
      <c r="WEY24" s="906">
        <f t="shared" ref="WEY24" si="7983">$C$24*WEW24</f>
        <v>100000</v>
      </c>
      <c r="WFA24" s="906">
        <f t="shared" ref="WFA24" si="7984">$C$24*WEY24</f>
        <v>100000</v>
      </c>
      <c r="WFC24" s="906">
        <f t="shared" ref="WFC24" si="7985">$C$24*WFA24</f>
        <v>100000</v>
      </c>
      <c r="WFE24" s="906">
        <f t="shared" ref="WFE24" si="7986">$C$24*WFC24</f>
        <v>100000</v>
      </c>
      <c r="WFG24" s="906">
        <f t="shared" ref="WFG24" si="7987">$C$24*WFE24</f>
        <v>100000</v>
      </c>
      <c r="WFI24" s="906">
        <f t="shared" ref="WFI24" si="7988">$C$24*WFG24</f>
        <v>100000</v>
      </c>
      <c r="WFK24" s="906">
        <f t="shared" ref="WFK24" si="7989">$C$24*WFI24</f>
        <v>100000</v>
      </c>
      <c r="WFM24" s="906">
        <f t="shared" ref="WFM24" si="7990">$C$24*WFK24</f>
        <v>100000</v>
      </c>
      <c r="WFO24" s="906">
        <f t="shared" ref="WFO24" si="7991">$C$24*WFM24</f>
        <v>100000</v>
      </c>
      <c r="WFQ24" s="906">
        <f t="shared" ref="WFQ24" si="7992">$C$24*WFO24</f>
        <v>100000</v>
      </c>
      <c r="WFS24" s="906">
        <f t="shared" ref="WFS24" si="7993">$C$24*WFQ24</f>
        <v>100000</v>
      </c>
      <c r="WFU24" s="906">
        <f t="shared" ref="WFU24" si="7994">$C$24*WFS24</f>
        <v>100000</v>
      </c>
      <c r="WFW24" s="906">
        <f t="shared" ref="WFW24" si="7995">$C$24*WFU24</f>
        <v>100000</v>
      </c>
      <c r="WFY24" s="906">
        <f t="shared" ref="WFY24" si="7996">$C$24*WFW24</f>
        <v>100000</v>
      </c>
      <c r="WGA24" s="906">
        <f t="shared" ref="WGA24" si="7997">$C$24*WFY24</f>
        <v>100000</v>
      </c>
      <c r="WGC24" s="906">
        <f t="shared" ref="WGC24" si="7998">$C$24*WGA24</f>
        <v>100000</v>
      </c>
      <c r="WGE24" s="906">
        <f t="shared" ref="WGE24" si="7999">$C$24*WGC24</f>
        <v>100000</v>
      </c>
      <c r="WGG24" s="906">
        <f t="shared" ref="WGG24" si="8000">$C$24*WGE24</f>
        <v>100000</v>
      </c>
      <c r="WGI24" s="906">
        <f t="shared" ref="WGI24" si="8001">$C$24*WGG24</f>
        <v>100000</v>
      </c>
      <c r="WGK24" s="906">
        <f t="shared" ref="WGK24" si="8002">$C$24*WGI24</f>
        <v>100000</v>
      </c>
      <c r="WGM24" s="906">
        <f t="shared" ref="WGM24" si="8003">$C$24*WGK24</f>
        <v>100000</v>
      </c>
      <c r="WGO24" s="906">
        <f t="shared" ref="WGO24" si="8004">$C$24*WGM24</f>
        <v>100000</v>
      </c>
      <c r="WGQ24" s="906">
        <f t="shared" ref="WGQ24" si="8005">$C$24*WGO24</f>
        <v>100000</v>
      </c>
      <c r="WGS24" s="906">
        <f t="shared" ref="WGS24" si="8006">$C$24*WGQ24</f>
        <v>100000</v>
      </c>
      <c r="WGU24" s="906">
        <f t="shared" ref="WGU24" si="8007">$C$24*WGS24</f>
        <v>100000</v>
      </c>
      <c r="WGW24" s="906">
        <f t="shared" ref="WGW24" si="8008">$C$24*WGU24</f>
        <v>100000</v>
      </c>
      <c r="WGY24" s="906">
        <f t="shared" ref="WGY24" si="8009">$C$24*WGW24</f>
        <v>100000</v>
      </c>
      <c r="WHA24" s="906">
        <f t="shared" ref="WHA24" si="8010">$C$24*WGY24</f>
        <v>100000</v>
      </c>
      <c r="WHC24" s="906">
        <f t="shared" ref="WHC24" si="8011">$C$24*WHA24</f>
        <v>100000</v>
      </c>
      <c r="WHE24" s="906">
        <f t="shared" ref="WHE24" si="8012">$C$24*WHC24</f>
        <v>100000</v>
      </c>
      <c r="WHG24" s="906">
        <f t="shared" ref="WHG24" si="8013">$C$24*WHE24</f>
        <v>100000</v>
      </c>
      <c r="WHI24" s="906">
        <f t="shared" ref="WHI24" si="8014">$C$24*WHG24</f>
        <v>100000</v>
      </c>
      <c r="WHK24" s="906">
        <f t="shared" ref="WHK24" si="8015">$C$24*WHI24</f>
        <v>100000</v>
      </c>
      <c r="WHM24" s="906">
        <f t="shared" ref="WHM24" si="8016">$C$24*WHK24</f>
        <v>100000</v>
      </c>
      <c r="WHO24" s="906">
        <f t="shared" ref="WHO24" si="8017">$C$24*WHM24</f>
        <v>100000</v>
      </c>
      <c r="WHQ24" s="906">
        <f t="shared" ref="WHQ24" si="8018">$C$24*WHO24</f>
        <v>100000</v>
      </c>
      <c r="WHS24" s="906">
        <f t="shared" ref="WHS24" si="8019">$C$24*WHQ24</f>
        <v>100000</v>
      </c>
      <c r="WHU24" s="906">
        <f t="shared" ref="WHU24" si="8020">$C$24*WHS24</f>
        <v>100000</v>
      </c>
      <c r="WHW24" s="906">
        <f t="shared" ref="WHW24" si="8021">$C$24*WHU24</f>
        <v>100000</v>
      </c>
      <c r="WHY24" s="906">
        <f t="shared" ref="WHY24" si="8022">$C$24*WHW24</f>
        <v>100000</v>
      </c>
      <c r="WIA24" s="906">
        <f t="shared" ref="WIA24" si="8023">$C$24*WHY24</f>
        <v>100000</v>
      </c>
      <c r="WIC24" s="906">
        <f t="shared" ref="WIC24" si="8024">$C$24*WIA24</f>
        <v>100000</v>
      </c>
      <c r="WIE24" s="906">
        <f t="shared" ref="WIE24" si="8025">$C$24*WIC24</f>
        <v>100000</v>
      </c>
      <c r="WIG24" s="906">
        <f t="shared" ref="WIG24" si="8026">$C$24*WIE24</f>
        <v>100000</v>
      </c>
      <c r="WII24" s="906">
        <f t="shared" ref="WII24" si="8027">$C$24*WIG24</f>
        <v>100000</v>
      </c>
      <c r="WIK24" s="906">
        <f t="shared" ref="WIK24" si="8028">$C$24*WII24</f>
        <v>100000</v>
      </c>
      <c r="WIM24" s="906">
        <f t="shared" ref="WIM24" si="8029">$C$24*WIK24</f>
        <v>100000</v>
      </c>
      <c r="WIO24" s="906">
        <f t="shared" ref="WIO24" si="8030">$C$24*WIM24</f>
        <v>100000</v>
      </c>
      <c r="WIQ24" s="906">
        <f t="shared" ref="WIQ24" si="8031">$C$24*WIO24</f>
        <v>100000</v>
      </c>
      <c r="WIS24" s="906">
        <f t="shared" ref="WIS24" si="8032">$C$24*WIQ24</f>
        <v>100000</v>
      </c>
      <c r="WIU24" s="906">
        <f t="shared" ref="WIU24" si="8033">$C$24*WIS24</f>
        <v>100000</v>
      </c>
      <c r="WIW24" s="906">
        <f t="shared" ref="WIW24" si="8034">$C$24*WIU24</f>
        <v>100000</v>
      </c>
      <c r="WIY24" s="906">
        <f t="shared" ref="WIY24" si="8035">$C$24*WIW24</f>
        <v>100000</v>
      </c>
      <c r="WJA24" s="906">
        <f t="shared" ref="WJA24" si="8036">$C$24*WIY24</f>
        <v>100000</v>
      </c>
      <c r="WJC24" s="906">
        <f t="shared" ref="WJC24" si="8037">$C$24*WJA24</f>
        <v>100000</v>
      </c>
      <c r="WJE24" s="906">
        <f t="shared" ref="WJE24" si="8038">$C$24*WJC24</f>
        <v>100000</v>
      </c>
      <c r="WJG24" s="906">
        <f t="shared" ref="WJG24" si="8039">$C$24*WJE24</f>
        <v>100000</v>
      </c>
      <c r="WJI24" s="906">
        <f t="shared" ref="WJI24" si="8040">$C$24*WJG24</f>
        <v>100000</v>
      </c>
      <c r="WJK24" s="906">
        <f t="shared" ref="WJK24" si="8041">$C$24*WJI24</f>
        <v>100000</v>
      </c>
      <c r="WJM24" s="906">
        <f t="shared" ref="WJM24" si="8042">$C$24*WJK24</f>
        <v>100000</v>
      </c>
      <c r="WJO24" s="906">
        <f t="shared" ref="WJO24" si="8043">$C$24*WJM24</f>
        <v>100000</v>
      </c>
      <c r="WJQ24" s="906">
        <f t="shared" ref="WJQ24" si="8044">$C$24*WJO24</f>
        <v>100000</v>
      </c>
      <c r="WJS24" s="906">
        <f t="shared" ref="WJS24" si="8045">$C$24*WJQ24</f>
        <v>100000</v>
      </c>
      <c r="WJU24" s="906">
        <f t="shared" ref="WJU24" si="8046">$C$24*WJS24</f>
        <v>100000</v>
      </c>
      <c r="WJW24" s="906">
        <f t="shared" ref="WJW24" si="8047">$C$24*WJU24</f>
        <v>100000</v>
      </c>
      <c r="WJY24" s="906">
        <f t="shared" ref="WJY24" si="8048">$C$24*WJW24</f>
        <v>100000</v>
      </c>
      <c r="WKA24" s="906">
        <f t="shared" ref="WKA24" si="8049">$C$24*WJY24</f>
        <v>100000</v>
      </c>
      <c r="WKC24" s="906">
        <f t="shared" ref="WKC24" si="8050">$C$24*WKA24</f>
        <v>100000</v>
      </c>
      <c r="WKE24" s="906">
        <f t="shared" ref="WKE24" si="8051">$C$24*WKC24</f>
        <v>100000</v>
      </c>
      <c r="WKG24" s="906">
        <f t="shared" ref="WKG24" si="8052">$C$24*WKE24</f>
        <v>100000</v>
      </c>
      <c r="WKI24" s="906">
        <f t="shared" ref="WKI24" si="8053">$C$24*WKG24</f>
        <v>100000</v>
      </c>
      <c r="WKK24" s="906">
        <f t="shared" ref="WKK24" si="8054">$C$24*WKI24</f>
        <v>100000</v>
      </c>
      <c r="WKM24" s="906">
        <f t="shared" ref="WKM24" si="8055">$C$24*WKK24</f>
        <v>100000</v>
      </c>
      <c r="WKO24" s="906">
        <f t="shared" ref="WKO24" si="8056">$C$24*WKM24</f>
        <v>100000</v>
      </c>
      <c r="WKQ24" s="906">
        <f t="shared" ref="WKQ24" si="8057">$C$24*WKO24</f>
        <v>100000</v>
      </c>
      <c r="WKS24" s="906">
        <f t="shared" ref="WKS24" si="8058">$C$24*WKQ24</f>
        <v>100000</v>
      </c>
      <c r="WKU24" s="906">
        <f t="shared" ref="WKU24" si="8059">$C$24*WKS24</f>
        <v>100000</v>
      </c>
      <c r="WKW24" s="906">
        <f t="shared" ref="WKW24" si="8060">$C$24*WKU24</f>
        <v>100000</v>
      </c>
      <c r="WKY24" s="906">
        <f t="shared" ref="WKY24" si="8061">$C$24*WKW24</f>
        <v>100000</v>
      </c>
      <c r="WLA24" s="906">
        <f t="shared" ref="WLA24" si="8062">$C$24*WKY24</f>
        <v>100000</v>
      </c>
      <c r="WLC24" s="906">
        <f t="shared" ref="WLC24" si="8063">$C$24*WLA24</f>
        <v>100000</v>
      </c>
      <c r="WLE24" s="906">
        <f t="shared" ref="WLE24" si="8064">$C$24*WLC24</f>
        <v>100000</v>
      </c>
      <c r="WLG24" s="906">
        <f t="shared" ref="WLG24" si="8065">$C$24*WLE24</f>
        <v>100000</v>
      </c>
      <c r="WLI24" s="906">
        <f t="shared" ref="WLI24" si="8066">$C$24*WLG24</f>
        <v>100000</v>
      </c>
      <c r="WLK24" s="906">
        <f t="shared" ref="WLK24" si="8067">$C$24*WLI24</f>
        <v>100000</v>
      </c>
      <c r="WLM24" s="906">
        <f t="shared" ref="WLM24" si="8068">$C$24*WLK24</f>
        <v>100000</v>
      </c>
      <c r="WLO24" s="906">
        <f t="shared" ref="WLO24" si="8069">$C$24*WLM24</f>
        <v>100000</v>
      </c>
      <c r="WLQ24" s="906">
        <f t="shared" ref="WLQ24" si="8070">$C$24*WLO24</f>
        <v>100000</v>
      </c>
      <c r="WLS24" s="906">
        <f t="shared" ref="WLS24" si="8071">$C$24*WLQ24</f>
        <v>100000</v>
      </c>
      <c r="WLU24" s="906">
        <f t="shared" ref="WLU24" si="8072">$C$24*WLS24</f>
        <v>100000</v>
      </c>
      <c r="WLW24" s="906">
        <f t="shared" ref="WLW24" si="8073">$C$24*WLU24</f>
        <v>100000</v>
      </c>
      <c r="WLY24" s="906">
        <f t="shared" ref="WLY24" si="8074">$C$24*WLW24</f>
        <v>100000</v>
      </c>
      <c r="WMA24" s="906">
        <f t="shared" ref="WMA24" si="8075">$C$24*WLY24</f>
        <v>100000</v>
      </c>
      <c r="WMC24" s="906">
        <f t="shared" ref="WMC24" si="8076">$C$24*WMA24</f>
        <v>100000</v>
      </c>
      <c r="WME24" s="906">
        <f t="shared" ref="WME24" si="8077">$C$24*WMC24</f>
        <v>100000</v>
      </c>
      <c r="WMG24" s="906">
        <f t="shared" ref="WMG24" si="8078">$C$24*WME24</f>
        <v>100000</v>
      </c>
      <c r="WMI24" s="906">
        <f t="shared" ref="WMI24" si="8079">$C$24*WMG24</f>
        <v>100000</v>
      </c>
      <c r="WMK24" s="906">
        <f t="shared" ref="WMK24" si="8080">$C$24*WMI24</f>
        <v>100000</v>
      </c>
      <c r="WMM24" s="906">
        <f t="shared" ref="WMM24" si="8081">$C$24*WMK24</f>
        <v>100000</v>
      </c>
      <c r="WMO24" s="906">
        <f t="shared" ref="WMO24" si="8082">$C$24*WMM24</f>
        <v>100000</v>
      </c>
      <c r="WMQ24" s="906">
        <f t="shared" ref="WMQ24" si="8083">$C$24*WMO24</f>
        <v>100000</v>
      </c>
      <c r="WMS24" s="906">
        <f t="shared" ref="WMS24" si="8084">$C$24*WMQ24</f>
        <v>100000</v>
      </c>
      <c r="WMU24" s="906">
        <f t="shared" ref="WMU24" si="8085">$C$24*WMS24</f>
        <v>100000</v>
      </c>
      <c r="WMW24" s="906">
        <f t="shared" ref="WMW24" si="8086">$C$24*WMU24</f>
        <v>100000</v>
      </c>
      <c r="WMY24" s="906">
        <f t="shared" ref="WMY24" si="8087">$C$24*WMW24</f>
        <v>100000</v>
      </c>
      <c r="WNA24" s="906">
        <f t="shared" ref="WNA24" si="8088">$C$24*WMY24</f>
        <v>100000</v>
      </c>
      <c r="WNC24" s="906">
        <f t="shared" ref="WNC24" si="8089">$C$24*WNA24</f>
        <v>100000</v>
      </c>
      <c r="WNE24" s="906">
        <f t="shared" ref="WNE24" si="8090">$C$24*WNC24</f>
        <v>100000</v>
      </c>
      <c r="WNG24" s="906">
        <f t="shared" ref="WNG24" si="8091">$C$24*WNE24</f>
        <v>100000</v>
      </c>
      <c r="WNI24" s="906">
        <f t="shared" ref="WNI24" si="8092">$C$24*WNG24</f>
        <v>100000</v>
      </c>
      <c r="WNK24" s="906">
        <f t="shared" ref="WNK24" si="8093">$C$24*WNI24</f>
        <v>100000</v>
      </c>
      <c r="WNM24" s="906">
        <f t="shared" ref="WNM24" si="8094">$C$24*WNK24</f>
        <v>100000</v>
      </c>
      <c r="WNO24" s="906">
        <f t="shared" ref="WNO24" si="8095">$C$24*WNM24</f>
        <v>100000</v>
      </c>
      <c r="WNQ24" s="906">
        <f t="shared" ref="WNQ24" si="8096">$C$24*WNO24</f>
        <v>100000</v>
      </c>
      <c r="WNS24" s="906">
        <f t="shared" ref="WNS24" si="8097">$C$24*WNQ24</f>
        <v>100000</v>
      </c>
      <c r="WNU24" s="906">
        <f t="shared" ref="WNU24" si="8098">$C$24*WNS24</f>
        <v>100000</v>
      </c>
      <c r="WNW24" s="906">
        <f t="shared" ref="WNW24" si="8099">$C$24*WNU24</f>
        <v>100000</v>
      </c>
      <c r="WNY24" s="906">
        <f t="shared" ref="WNY24" si="8100">$C$24*WNW24</f>
        <v>100000</v>
      </c>
      <c r="WOA24" s="906">
        <f t="shared" ref="WOA24" si="8101">$C$24*WNY24</f>
        <v>100000</v>
      </c>
      <c r="WOC24" s="906">
        <f t="shared" ref="WOC24" si="8102">$C$24*WOA24</f>
        <v>100000</v>
      </c>
      <c r="WOE24" s="906">
        <f t="shared" ref="WOE24" si="8103">$C$24*WOC24</f>
        <v>100000</v>
      </c>
      <c r="WOG24" s="906">
        <f t="shared" ref="WOG24" si="8104">$C$24*WOE24</f>
        <v>100000</v>
      </c>
      <c r="WOI24" s="906">
        <f t="shared" ref="WOI24" si="8105">$C$24*WOG24</f>
        <v>100000</v>
      </c>
      <c r="WOK24" s="906">
        <f t="shared" ref="WOK24" si="8106">$C$24*WOI24</f>
        <v>100000</v>
      </c>
      <c r="WOM24" s="906">
        <f t="shared" ref="WOM24" si="8107">$C$24*WOK24</f>
        <v>100000</v>
      </c>
      <c r="WOO24" s="906">
        <f t="shared" ref="WOO24" si="8108">$C$24*WOM24</f>
        <v>100000</v>
      </c>
      <c r="WOQ24" s="906">
        <f t="shared" ref="WOQ24" si="8109">$C$24*WOO24</f>
        <v>100000</v>
      </c>
      <c r="WOS24" s="906">
        <f t="shared" ref="WOS24" si="8110">$C$24*WOQ24</f>
        <v>100000</v>
      </c>
      <c r="WOU24" s="906">
        <f t="shared" ref="WOU24" si="8111">$C$24*WOS24</f>
        <v>100000</v>
      </c>
      <c r="WOW24" s="906">
        <f t="shared" ref="WOW24" si="8112">$C$24*WOU24</f>
        <v>100000</v>
      </c>
      <c r="WOY24" s="906">
        <f t="shared" ref="WOY24" si="8113">$C$24*WOW24</f>
        <v>100000</v>
      </c>
      <c r="WPA24" s="906">
        <f t="shared" ref="WPA24" si="8114">$C$24*WOY24</f>
        <v>100000</v>
      </c>
      <c r="WPC24" s="906">
        <f t="shared" ref="WPC24" si="8115">$C$24*WPA24</f>
        <v>100000</v>
      </c>
      <c r="WPE24" s="906">
        <f t="shared" ref="WPE24" si="8116">$C$24*WPC24</f>
        <v>100000</v>
      </c>
      <c r="WPG24" s="906">
        <f t="shared" ref="WPG24" si="8117">$C$24*WPE24</f>
        <v>100000</v>
      </c>
      <c r="WPI24" s="906">
        <f t="shared" ref="WPI24" si="8118">$C$24*WPG24</f>
        <v>100000</v>
      </c>
      <c r="WPK24" s="906">
        <f t="shared" ref="WPK24" si="8119">$C$24*WPI24</f>
        <v>100000</v>
      </c>
      <c r="WPM24" s="906">
        <f t="shared" ref="WPM24" si="8120">$C$24*WPK24</f>
        <v>100000</v>
      </c>
      <c r="WPO24" s="906">
        <f t="shared" ref="WPO24" si="8121">$C$24*WPM24</f>
        <v>100000</v>
      </c>
      <c r="WPQ24" s="906">
        <f t="shared" ref="WPQ24" si="8122">$C$24*WPO24</f>
        <v>100000</v>
      </c>
      <c r="WPS24" s="906">
        <f t="shared" ref="WPS24" si="8123">$C$24*WPQ24</f>
        <v>100000</v>
      </c>
      <c r="WPU24" s="906">
        <f t="shared" ref="WPU24" si="8124">$C$24*WPS24</f>
        <v>100000</v>
      </c>
      <c r="WPW24" s="906">
        <f t="shared" ref="WPW24" si="8125">$C$24*WPU24</f>
        <v>100000</v>
      </c>
      <c r="WPY24" s="906">
        <f t="shared" ref="WPY24" si="8126">$C$24*WPW24</f>
        <v>100000</v>
      </c>
      <c r="WQA24" s="906">
        <f t="shared" ref="WQA24" si="8127">$C$24*WPY24</f>
        <v>100000</v>
      </c>
      <c r="WQC24" s="906">
        <f t="shared" ref="WQC24" si="8128">$C$24*WQA24</f>
        <v>100000</v>
      </c>
      <c r="WQE24" s="906">
        <f t="shared" ref="WQE24" si="8129">$C$24*WQC24</f>
        <v>100000</v>
      </c>
      <c r="WQG24" s="906">
        <f t="shared" ref="WQG24" si="8130">$C$24*WQE24</f>
        <v>100000</v>
      </c>
      <c r="WQI24" s="906">
        <f t="shared" ref="WQI24" si="8131">$C$24*WQG24</f>
        <v>100000</v>
      </c>
      <c r="WQK24" s="906">
        <f t="shared" ref="WQK24" si="8132">$C$24*WQI24</f>
        <v>100000</v>
      </c>
      <c r="WQM24" s="906">
        <f t="shared" ref="WQM24" si="8133">$C$24*WQK24</f>
        <v>100000</v>
      </c>
      <c r="WQO24" s="906">
        <f t="shared" ref="WQO24" si="8134">$C$24*WQM24</f>
        <v>100000</v>
      </c>
      <c r="WQQ24" s="906">
        <f t="shared" ref="WQQ24" si="8135">$C$24*WQO24</f>
        <v>100000</v>
      </c>
      <c r="WQS24" s="906">
        <f t="shared" ref="WQS24" si="8136">$C$24*WQQ24</f>
        <v>100000</v>
      </c>
      <c r="WQU24" s="906">
        <f t="shared" ref="WQU24" si="8137">$C$24*WQS24</f>
        <v>100000</v>
      </c>
      <c r="WQW24" s="906">
        <f t="shared" ref="WQW24" si="8138">$C$24*WQU24</f>
        <v>100000</v>
      </c>
      <c r="WQY24" s="906">
        <f t="shared" ref="WQY24" si="8139">$C$24*WQW24</f>
        <v>100000</v>
      </c>
      <c r="WRA24" s="906">
        <f t="shared" ref="WRA24" si="8140">$C$24*WQY24</f>
        <v>100000</v>
      </c>
      <c r="WRC24" s="906">
        <f t="shared" ref="WRC24" si="8141">$C$24*WRA24</f>
        <v>100000</v>
      </c>
      <c r="WRE24" s="906">
        <f t="shared" ref="WRE24" si="8142">$C$24*WRC24</f>
        <v>100000</v>
      </c>
      <c r="WRG24" s="906">
        <f t="shared" ref="WRG24" si="8143">$C$24*WRE24</f>
        <v>100000</v>
      </c>
      <c r="WRI24" s="906">
        <f t="shared" ref="WRI24" si="8144">$C$24*WRG24</f>
        <v>100000</v>
      </c>
      <c r="WRK24" s="906">
        <f t="shared" ref="WRK24" si="8145">$C$24*WRI24</f>
        <v>100000</v>
      </c>
      <c r="WRM24" s="906">
        <f t="shared" ref="WRM24" si="8146">$C$24*WRK24</f>
        <v>100000</v>
      </c>
      <c r="WRO24" s="906">
        <f t="shared" ref="WRO24" si="8147">$C$24*WRM24</f>
        <v>100000</v>
      </c>
      <c r="WRQ24" s="906">
        <f t="shared" ref="WRQ24" si="8148">$C$24*WRO24</f>
        <v>100000</v>
      </c>
      <c r="WRS24" s="906">
        <f t="shared" ref="WRS24" si="8149">$C$24*WRQ24</f>
        <v>100000</v>
      </c>
      <c r="WRU24" s="906">
        <f t="shared" ref="WRU24" si="8150">$C$24*WRS24</f>
        <v>100000</v>
      </c>
      <c r="WRW24" s="906">
        <f t="shared" ref="WRW24" si="8151">$C$24*WRU24</f>
        <v>100000</v>
      </c>
      <c r="WRY24" s="906">
        <f t="shared" ref="WRY24" si="8152">$C$24*WRW24</f>
        <v>100000</v>
      </c>
      <c r="WSA24" s="906">
        <f t="shared" ref="WSA24" si="8153">$C$24*WRY24</f>
        <v>100000</v>
      </c>
      <c r="WSC24" s="906">
        <f t="shared" ref="WSC24" si="8154">$C$24*WSA24</f>
        <v>100000</v>
      </c>
      <c r="WSE24" s="906">
        <f t="shared" ref="WSE24" si="8155">$C$24*WSC24</f>
        <v>100000</v>
      </c>
      <c r="WSG24" s="906">
        <f t="shared" ref="WSG24" si="8156">$C$24*WSE24</f>
        <v>100000</v>
      </c>
      <c r="WSI24" s="906">
        <f t="shared" ref="WSI24" si="8157">$C$24*WSG24</f>
        <v>100000</v>
      </c>
      <c r="WSK24" s="906">
        <f t="shared" ref="WSK24" si="8158">$C$24*WSI24</f>
        <v>100000</v>
      </c>
      <c r="WSM24" s="906">
        <f t="shared" ref="WSM24" si="8159">$C$24*WSK24</f>
        <v>100000</v>
      </c>
      <c r="WSO24" s="906">
        <f t="shared" ref="WSO24" si="8160">$C$24*WSM24</f>
        <v>100000</v>
      </c>
      <c r="WSQ24" s="906">
        <f t="shared" ref="WSQ24" si="8161">$C$24*WSO24</f>
        <v>100000</v>
      </c>
      <c r="WSS24" s="906">
        <f t="shared" ref="WSS24" si="8162">$C$24*WSQ24</f>
        <v>100000</v>
      </c>
      <c r="WSU24" s="906">
        <f t="shared" ref="WSU24" si="8163">$C$24*WSS24</f>
        <v>100000</v>
      </c>
      <c r="WSW24" s="906">
        <f t="shared" ref="WSW24" si="8164">$C$24*WSU24</f>
        <v>100000</v>
      </c>
      <c r="WSY24" s="906">
        <f t="shared" ref="WSY24" si="8165">$C$24*WSW24</f>
        <v>100000</v>
      </c>
      <c r="WTA24" s="906">
        <f t="shared" ref="WTA24" si="8166">$C$24*WSY24</f>
        <v>100000</v>
      </c>
      <c r="WTC24" s="906">
        <f t="shared" ref="WTC24" si="8167">$C$24*WTA24</f>
        <v>100000</v>
      </c>
      <c r="WTE24" s="906">
        <f t="shared" ref="WTE24" si="8168">$C$24*WTC24</f>
        <v>100000</v>
      </c>
      <c r="WTG24" s="906">
        <f t="shared" ref="WTG24" si="8169">$C$24*WTE24</f>
        <v>100000</v>
      </c>
      <c r="WTI24" s="906">
        <f t="shared" ref="WTI24" si="8170">$C$24*WTG24</f>
        <v>100000</v>
      </c>
      <c r="WTK24" s="906">
        <f t="shared" ref="WTK24" si="8171">$C$24*WTI24</f>
        <v>100000</v>
      </c>
      <c r="WTM24" s="906">
        <f t="shared" ref="WTM24" si="8172">$C$24*WTK24</f>
        <v>100000</v>
      </c>
      <c r="WTO24" s="906">
        <f t="shared" ref="WTO24" si="8173">$C$24*WTM24</f>
        <v>100000</v>
      </c>
      <c r="WTQ24" s="906">
        <f t="shared" ref="WTQ24" si="8174">$C$24*WTO24</f>
        <v>100000</v>
      </c>
      <c r="WTS24" s="906">
        <f t="shared" ref="WTS24" si="8175">$C$24*WTQ24</f>
        <v>100000</v>
      </c>
      <c r="WTU24" s="906">
        <f t="shared" ref="WTU24" si="8176">$C$24*WTS24</f>
        <v>100000</v>
      </c>
      <c r="WTW24" s="906">
        <f t="shared" ref="WTW24" si="8177">$C$24*WTU24</f>
        <v>100000</v>
      </c>
      <c r="WTY24" s="906">
        <f t="shared" ref="WTY24" si="8178">$C$24*WTW24</f>
        <v>100000</v>
      </c>
      <c r="WUA24" s="906">
        <f t="shared" ref="WUA24" si="8179">$C$24*WTY24</f>
        <v>100000</v>
      </c>
      <c r="WUC24" s="906">
        <f t="shared" ref="WUC24" si="8180">$C$24*WUA24</f>
        <v>100000</v>
      </c>
      <c r="WUE24" s="906">
        <f t="shared" ref="WUE24" si="8181">$C$24*WUC24</f>
        <v>100000</v>
      </c>
      <c r="WUG24" s="906">
        <f t="shared" ref="WUG24" si="8182">$C$24*WUE24</f>
        <v>100000</v>
      </c>
      <c r="WUI24" s="906">
        <f t="shared" ref="WUI24" si="8183">$C$24*WUG24</f>
        <v>100000</v>
      </c>
      <c r="WUK24" s="906">
        <f t="shared" ref="WUK24" si="8184">$C$24*WUI24</f>
        <v>100000</v>
      </c>
      <c r="WUM24" s="906">
        <f t="shared" ref="WUM24" si="8185">$C$24*WUK24</f>
        <v>100000</v>
      </c>
      <c r="WUO24" s="906">
        <f t="shared" ref="WUO24" si="8186">$C$24*WUM24</f>
        <v>100000</v>
      </c>
      <c r="WUQ24" s="906">
        <f t="shared" ref="WUQ24" si="8187">$C$24*WUO24</f>
        <v>100000</v>
      </c>
      <c r="WUS24" s="906">
        <f t="shared" ref="WUS24" si="8188">$C$24*WUQ24</f>
        <v>100000</v>
      </c>
      <c r="WUU24" s="906">
        <f t="shared" ref="WUU24" si="8189">$C$24*WUS24</f>
        <v>100000</v>
      </c>
      <c r="WUW24" s="906">
        <f t="shared" ref="WUW24" si="8190">$C$24*WUU24</f>
        <v>100000</v>
      </c>
      <c r="WUY24" s="906">
        <f t="shared" ref="WUY24" si="8191">$C$24*WUW24</f>
        <v>100000</v>
      </c>
      <c r="WVA24" s="906">
        <f t="shared" ref="WVA24" si="8192">$C$24*WUY24</f>
        <v>100000</v>
      </c>
      <c r="WVC24" s="906">
        <f t="shared" ref="WVC24" si="8193">$C$24*WVA24</f>
        <v>100000</v>
      </c>
      <c r="WVE24" s="906">
        <f t="shared" ref="WVE24" si="8194">$C$24*WVC24</f>
        <v>100000</v>
      </c>
      <c r="WVG24" s="906">
        <f t="shared" ref="WVG24" si="8195">$C$24*WVE24</f>
        <v>100000</v>
      </c>
      <c r="WVI24" s="906">
        <f t="shared" ref="WVI24" si="8196">$C$24*WVG24</f>
        <v>100000</v>
      </c>
      <c r="WVK24" s="906">
        <f t="shared" ref="WVK24" si="8197">$C$24*WVI24</f>
        <v>100000</v>
      </c>
      <c r="WVM24" s="906">
        <f t="shared" ref="WVM24" si="8198">$C$24*WVK24</f>
        <v>100000</v>
      </c>
      <c r="WVO24" s="906">
        <f t="shared" ref="WVO24" si="8199">$C$24*WVM24</f>
        <v>100000</v>
      </c>
      <c r="WVQ24" s="906">
        <f t="shared" ref="WVQ24" si="8200">$C$24*WVO24</f>
        <v>100000</v>
      </c>
      <c r="WVS24" s="906">
        <f t="shared" ref="WVS24" si="8201">$C$24*WVQ24</f>
        <v>100000</v>
      </c>
      <c r="WVU24" s="906">
        <f t="shared" ref="WVU24" si="8202">$C$24*WVS24</f>
        <v>100000</v>
      </c>
      <c r="WVW24" s="906">
        <f t="shared" ref="WVW24" si="8203">$C$24*WVU24</f>
        <v>100000</v>
      </c>
      <c r="WVY24" s="906">
        <f t="shared" ref="WVY24" si="8204">$C$24*WVW24</f>
        <v>100000</v>
      </c>
      <c r="WWA24" s="906">
        <f t="shared" ref="WWA24" si="8205">$C$24*WVY24</f>
        <v>100000</v>
      </c>
      <c r="WWC24" s="906">
        <f t="shared" ref="WWC24" si="8206">$C$24*WWA24</f>
        <v>100000</v>
      </c>
      <c r="WWE24" s="906">
        <f t="shared" ref="WWE24" si="8207">$C$24*WWC24</f>
        <v>100000</v>
      </c>
      <c r="WWG24" s="906">
        <f t="shared" ref="WWG24" si="8208">$C$24*WWE24</f>
        <v>100000</v>
      </c>
      <c r="WWI24" s="906">
        <f t="shared" ref="WWI24" si="8209">$C$24*WWG24</f>
        <v>100000</v>
      </c>
      <c r="WWK24" s="906">
        <f t="shared" ref="WWK24" si="8210">$C$24*WWI24</f>
        <v>100000</v>
      </c>
      <c r="WWM24" s="906">
        <f t="shared" ref="WWM24" si="8211">$C$24*WWK24</f>
        <v>100000</v>
      </c>
      <c r="WWO24" s="906">
        <f t="shared" ref="WWO24" si="8212">$C$24*WWM24</f>
        <v>100000</v>
      </c>
      <c r="WWQ24" s="906">
        <f t="shared" ref="WWQ24" si="8213">$C$24*WWO24</f>
        <v>100000</v>
      </c>
      <c r="WWS24" s="906">
        <f t="shared" ref="WWS24" si="8214">$C$24*WWQ24</f>
        <v>100000</v>
      </c>
      <c r="WWU24" s="906">
        <f t="shared" ref="WWU24" si="8215">$C$24*WWS24</f>
        <v>100000</v>
      </c>
      <c r="WWW24" s="906">
        <f t="shared" ref="WWW24" si="8216">$C$24*WWU24</f>
        <v>100000</v>
      </c>
      <c r="WWY24" s="906">
        <f t="shared" ref="WWY24" si="8217">$C$24*WWW24</f>
        <v>100000</v>
      </c>
      <c r="WXA24" s="906">
        <f t="shared" ref="WXA24" si="8218">$C$24*WWY24</f>
        <v>100000</v>
      </c>
      <c r="WXC24" s="906">
        <f t="shared" ref="WXC24" si="8219">$C$24*WXA24</f>
        <v>100000</v>
      </c>
      <c r="WXE24" s="906">
        <f t="shared" ref="WXE24" si="8220">$C$24*WXC24</f>
        <v>100000</v>
      </c>
      <c r="WXG24" s="906">
        <f t="shared" ref="WXG24" si="8221">$C$24*WXE24</f>
        <v>100000</v>
      </c>
      <c r="WXI24" s="906">
        <f t="shared" ref="WXI24" si="8222">$C$24*WXG24</f>
        <v>100000</v>
      </c>
      <c r="WXK24" s="906">
        <f t="shared" ref="WXK24" si="8223">$C$24*WXI24</f>
        <v>100000</v>
      </c>
      <c r="WXM24" s="906">
        <f t="shared" ref="WXM24" si="8224">$C$24*WXK24</f>
        <v>100000</v>
      </c>
      <c r="WXO24" s="906">
        <f t="shared" ref="WXO24" si="8225">$C$24*WXM24</f>
        <v>100000</v>
      </c>
      <c r="WXQ24" s="906">
        <f t="shared" ref="WXQ24" si="8226">$C$24*WXO24</f>
        <v>100000</v>
      </c>
      <c r="WXS24" s="906">
        <f t="shared" ref="WXS24" si="8227">$C$24*WXQ24</f>
        <v>100000</v>
      </c>
      <c r="WXU24" s="906">
        <f t="shared" ref="WXU24" si="8228">$C$24*WXS24</f>
        <v>100000</v>
      </c>
      <c r="WXW24" s="906">
        <f t="shared" ref="WXW24" si="8229">$C$24*WXU24</f>
        <v>100000</v>
      </c>
      <c r="WXY24" s="906">
        <f t="shared" ref="WXY24" si="8230">$C$24*WXW24</f>
        <v>100000</v>
      </c>
      <c r="WYA24" s="906">
        <f t="shared" ref="WYA24" si="8231">$C$24*WXY24</f>
        <v>100000</v>
      </c>
      <c r="WYC24" s="906">
        <f t="shared" ref="WYC24" si="8232">$C$24*WYA24</f>
        <v>100000</v>
      </c>
      <c r="WYE24" s="906">
        <f t="shared" ref="WYE24" si="8233">$C$24*WYC24</f>
        <v>100000</v>
      </c>
      <c r="WYG24" s="906">
        <f t="shared" ref="WYG24" si="8234">$C$24*WYE24</f>
        <v>100000</v>
      </c>
      <c r="WYI24" s="906">
        <f t="shared" ref="WYI24" si="8235">$C$24*WYG24</f>
        <v>100000</v>
      </c>
      <c r="WYK24" s="906">
        <f t="shared" ref="WYK24" si="8236">$C$24*WYI24</f>
        <v>100000</v>
      </c>
      <c r="WYM24" s="906">
        <f t="shared" ref="WYM24" si="8237">$C$24*WYK24</f>
        <v>100000</v>
      </c>
      <c r="WYO24" s="906">
        <f t="shared" ref="WYO24" si="8238">$C$24*WYM24</f>
        <v>100000</v>
      </c>
      <c r="WYQ24" s="906">
        <f t="shared" ref="WYQ24" si="8239">$C$24*WYO24</f>
        <v>100000</v>
      </c>
      <c r="WYS24" s="906">
        <f t="shared" ref="WYS24" si="8240">$C$24*WYQ24</f>
        <v>100000</v>
      </c>
      <c r="WYU24" s="906">
        <f t="shared" ref="WYU24" si="8241">$C$24*WYS24</f>
        <v>100000</v>
      </c>
      <c r="WYW24" s="906">
        <f t="shared" ref="WYW24" si="8242">$C$24*WYU24</f>
        <v>100000</v>
      </c>
      <c r="WYY24" s="906">
        <f t="shared" ref="WYY24" si="8243">$C$24*WYW24</f>
        <v>100000</v>
      </c>
      <c r="WZA24" s="906">
        <f t="shared" ref="WZA24" si="8244">$C$24*WYY24</f>
        <v>100000</v>
      </c>
      <c r="WZC24" s="906">
        <f t="shared" ref="WZC24" si="8245">$C$24*WZA24</f>
        <v>100000</v>
      </c>
      <c r="WZE24" s="906">
        <f t="shared" ref="WZE24" si="8246">$C$24*WZC24</f>
        <v>100000</v>
      </c>
      <c r="WZG24" s="906">
        <f t="shared" ref="WZG24" si="8247">$C$24*WZE24</f>
        <v>100000</v>
      </c>
      <c r="WZI24" s="906">
        <f t="shared" ref="WZI24" si="8248">$C$24*WZG24</f>
        <v>100000</v>
      </c>
      <c r="WZK24" s="906">
        <f t="shared" ref="WZK24" si="8249">$C$24*WZI24</f>
        <v>100000</v>
      </c>
      <c r="WZM24" s="906">
        <f t="shared" ref="WZM24" si="8250">$C$24*WZK24</f>
        <v>100000</v>
      </c>
      <c r="WZO24" s="906">
        <f t="shared" ref="WZO24" si="8251">$C$24*WZM24</f>
        <v>100000</v>
      </c>
      <c r="WZQ24" s="906">
        <f t="shared" ref="WZQ24" si="8252">$C$24*WZO24</f>
        <v>100000</v>
      </c>
      <c r="WZS24" s="906">
        <f t="shared" ref="WZS24" si="8253">$C$24*WZQ24</f>
        <v>100000</v>
      </c>
      <c r="WZU24" s="906">
        <f t="shared" ref="WZU24" si="8254">$C$24*WZS24</f>
        <v>100000</v>
      </c>
      <c r="WZW24" s="906">
        <f t="shared" ref="WZW24" si="8255">$C$24*WZU24</f>
        <v>100000</v>
      </c>
      <c r="WZY24" s="906">
        <f t="shared" ref="WZY24" si="8256">$C$24*WZW24</f>
        <v>100000</v>
      </c>
      <c r="XAA24" s="906">
        <f t="shared" ref="XAA24" si="8257">$C$24*WZY24</f>
        <v>100000</v>
      </c>
      <c r="XAC24" s="906">
        <f t="shared" ref="XAC24" si="8258">$C$24*XAA24</f>
        <v>100000</v>
      </c>
      <c r="XAE24" s="906">
        <f t="shared" ref="XAE24" si="8259">$C$24*XAC24</f>
        <v>100000</v>
      </c>
      <c r="XAG24" s="906">
        <f t="shared" ref="XAG24" si="8260">$C$24*XAE24</f>
        <v>100000</v>
      </c>
      <c r="XAI24" s="906">
        <f t="shared" ref="XAI24" si="8261">$C$24*XAG24</f>
        <v>100000</v>
      </c>
      <c r="XAK24" s="906">
        <f t="shared" ref="XAK24" si="8262">$C$24*XAI24</f>
        <v>100000</v>
      </c>
      <c r="XAM24" s="906">
        <f t="shared" ref="XAM24" si="8263">$C$24*XAK24</f>
        <v>100000</v>
      </c>
      <c r="XAO24" s="906">
        <f t="shared" ref="XAO24" si="8264">$C$24*XAM24</f>
        <v>100000</v>
      </c>
      <c r="XAQ24" s="906">
        <f t="shared" ref="XAQ24" si="8265">$C$24*XAO24</f>
        <v>100000</v>
      </c>
      <c r="XAS24" s="906">
        <f t="shared" ref="XAS24" si="8266">$C$24*XAQ24</f>
        <v>100000</v>
      </c>
      <c r="XAU24" s="906">
        <f t="shared" ref="XAU24" si="8267">$C$24*XAS24</f>
        <v>100000</v>
      </c>
      <c r="XAW24" s="906">
        <f t="shared" ref="XAW24" si="8268">$C$24*XAU24</f>
        <v>100000</v>
      </c>
      <c r="XAY24" s="906">
        <f t="shared" ref="XAY24" si="8269">$C$24*XAW24</f>
        <v>100000</v>
      </c>
      <c r="XBA24" s="906">
        <f t="shared" ref="XBA24" si="8270">$C$24*XAY24</f>
        <v>100000</v>
      </c>
      <c r="XBC24" s="906">
        <f t="shared" ref="XBC24" si="8271">$C$24*XBA24</f>
        <v>100000</v>
      </c>
      <c r="XBE24" s="906">
        <f t="shared" ref="XBE24" si="8272">$C$24*XBC24</f>
        <v>100000</v>
      </c>
      <c r="XBG24" s="906">
        <f t="shared" ref="XBG24" si="8273">$C$24*XBE24</f>
        <v>100000</v>
      </c>
      <c r="XBI24" s="906">
        <f t="shared" ref="XBI24" si="8274">$C$24*XBG24</f>
        <v>100000</v>
      </c>
      <c r="XBK24" s="906">
        <f t="shared" ref="XBK24" si="8275">$C$24*XBI24</f>
        <v>100000</v>
      </c>
      <c r="XBM24" s="906">
        <f t="shared" ref="XBM24" si="8276">$C$24*XBK24</f>
        <v>100000</v>
      </c>
      <c r="XBO24" s="906">
        <f t="shared" ref="XBO24" si="8277">$C$24*XBM24</f>
        <v>100000</v>
      </c>
      <c r="XBQ24" s="906">
        <f t="shared" ref="XBQ24" si="8278">$C$24*XBO24</f>
        <v>100000</v>
      </c>
      <c r="XBS24" s="906">
        <f t="shared" ref="XBS24" si="8279">$C$24*XBQ24</f>
        <v>100000</v>
      </c>
      <c r="XBU24" s="906">
        <f t="shared" ref="XBU24" si="8280">$C$24*XBS24</f>
        <v>100000</v>
      </c>
      <c r="XBW24" s="906">
        <f t="shared" ref="XBW24" si="8281">$C$24*XBU24</f>
        <v>100000</v>
      </c>
      <c r="XBY24" s="906">
        <f t="shared" ref="XBY24" si="8282">$C$24*XBW24</f>
        <v>100000</v>
      </c>
      <c r="XCA24" s="906">
        <f t="shared" ref="XCA24" si="8283">$C$24*XBY24</f>
        <v>100000</v>
      </c>
      <c r="XCC24" s="906">
        <f t="shared" ref="XCC24" si="8284">$C$24*XCA24</f>
        <v>100000</v>
      </c>
      <c r="XCE24" s="906">
        <f t="shared" ref="XCE24" si="8285">$C$24*XCC24</f>
        <v>100000</v>
      </c>
      <c r="XCG24" s="906">
        <f t="shared" ref="XCG24" si="8286">$C$24*XCE24</f>
        <v>100000</v>
      </c>
      <c r="XCI24" s="906">
        <f t="shared" ref="XCI24" si="8287">$C$24*XCG24</f>
        <v>100000</v>
      </c>
      <c r="XCK24" s="906">
        <f t="shared" ref="XCK24" si="8288">$C$24*XCI24</f>
        <v>100000</v>
      </c>
      <c r="XCM24" s="906">
        <f t="shared" ref="XCM24" si="8289">$C$24*XCK24</f>
        <v>100000</v>
      </c>
      <c r="XCO24" s="906">
        <f t="shared" ref="XCO24" si="8290">$C$24*XCM24</f>
        <v>100000</v>
      </c>
      <c r="XCQ24" s="906">
        <f t="shared" ref="XCQ24" si="8291">$C$24*XCO24</f>
        <v>100000</v>
      </c>
      <c r="XCS24" s="906">
        <f t="shared" ref="XCS24" si="8292">$C$24*XCQ24</f>
        <v>100000</v>
      </c>
      <c r="XCU24" s="906">
        <f t="shared" ref="XCU24" si="8293">$C$24*XCS24</f>
        <v>100000</v>
      </c>
      <c r="XCW24" s="906">
        <f t="shared" ref="XCW24" si="8294">$C$24*XCU24</f>
        <v>100000</v>
      </c>
      <c r="XCY24" s="906">
        <f t="shared" ref="XCY24" si="8295">$C$24*XCW24</f>
        <v>100000</v>
      </c>
      <c r="XDA24" s="906">
        <f t="shared" ref="XDA24" si="8296">$C$24*XCY24</f>
        <v>100000</v>
      </c>
      <c r="XDC24" s="906">
        <f t="shared" ref="XDC24" si="8297">$C$24*XDA24</f>
        <v>100000</v>
      </c>
      <c r="XDE24" s="906">
        <f t="shared" ref="XDE24" si="8298">$C$24*XDC24</f>
        <v>100000</v>
      </c>
      <c r="XDG24" s="906">
        <f t="shared" ref="XDG24" si="8299">$C$24*XDE24</f>
        <v>100000</v>
      </c>
      <c r="XDI24" s="906">
        <f t="shared" ref="XDI24" si="8300">$C$24*XDG24</f>
        <v>100000</v>
      </c>
      <c r="XDK24" s="906">
        <f t="shared" ref="XDK24" si="8301">$C$24*XDI24</f>
        <v>100000</v>
      </c>
      <c r="XDM24" s="906">
        <f t="shared" ref="XDM24" si="8302">$C$24*XDK24</f>
        <v>100000</v>
      </c>
      <c r="XDO24" s="906">
        <f t="shared" ref="XDO24" si="8303">$C$24*XDM24</f>
        <v>100000</v>
      </c>
      <c r="XDQ24" s="906">
        <f t="shared" ref="XDQ24" si="8304">$C$24*XDO24</f>
        <v>100000</v>
      </c>
      <c r="XDS24" s="906">
        <f t="shared" ref="XDS24" si="8305">$C$24*XDQ24</f>
        <v>100000</v>
      </c>
      <c r="XDU24" s="906">
        <f t="shared" ref="XDU24" si="8306">$C$24*XDS24</f>
        <v>100000</v>
      </c>
      <c r="XDW24" s="906">
        <f t="shared" ref="XDW24" si="8307">$C$24*XDU24</f>
        <v>100000</v>
      </c>
      <c r="XDY24" s="906">
        <f t="shared" ref="XDY24" si="8308">$C$24*XDW24</f>
        <v>100000</v>
      </c>
      <c r="XEA24" s="906">
        <f t="shared" ref="XEA24" si="8309">$C$24*XDY24</f>
        <v>100000</v>
      </c>
      <c r="XEC24" s="906">
        <f t="shared" ref="XEC24" si="8310">$C$24*XEA24</f>
        <v>100000</v>
      </c>
      <c r="XEE24" s="906">
        <f t="shared" ref="XEE24" si="8311">$C$24*XEC24</f>
        <v>100000</v>
      </c>
      <c r="XEG24" s="906">
        <f t="shared" ref="XEG24" si="8312">$C$24*XEE24</f>
        <v>100000</v>
      </c>
      <c r="XEI24" s="906">
        <f t="shared" ref="XEI24" si="8313">$C$24*XEG24</f>
        <v>100000</v>
      </c>
      <c r="XEK24" s="906">
        <f t="shared" ref="XEK24" si="8314">$C$24*XEI24</f>
        <v>100000</v>
      </c>
      <c r="XEM24" s="906">
        <f t="shared" ref="XEM24" si="8315">$C$24*XEK24</f>
        <v>100000</v>
      </c>
      <c r="XEO24" s="906">
        <f t="shared" ref="XEO24" si="8316">$C$24*XEM24</f>
        <v>100000</v>
      </c>
      <c r="XEQ24" s="906">
        <f t="shared" ref="XEQ24" si="8317">$C$24*XEO24</f>
        <v>100000</v>
      </c>
      <c r="XES24" s="906">
        <f t="shared" ref="XES24" si="8318">$C$24*XEQ24</f>
        <v>100000</v>
      </c>
      <c r="XEU24" s="906">
        <f t="shared" ref="XEU24" si="8319">$C$24*XES24</f>
        <v>100000</v>
      </c>
      <c r="XEW24" s="906">
        <f t="shared" ref="XEW24" si="8320">$C$24*XEU24</f>
        <v>100000</v>
      </c>
      <c r="XEY24" s="906">
        <f t="shared" ref="XEY24" si="8321">$C$24*XEW24</f>
        <v>100000</v>
      </c>
      <c r="XFA24" s="906">
        <f t="shared" ref="XFA24" si="8322">$C$24*XEY24</f>
        <v>100000</v>
      </c>
      <c r="XFC24" s="906">
        <f t="shared" ref="XFC24" si="8323">$C$24*XFA24</f>
        <v>100000</v>
      </c>
    </row>
    <row r="25" spans="1:1023 1025:2047 2049:3071 3073:4095 4097:5119 5121:6143 6145:7167 7169:8191 8193:9215 9217:10239 10241:11263 11265:12287 12289:13311 13313:14335 14337:15359 15361:1638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c r="AI25" s="222"/>
      <c r="AK25" s="222"/>
      <c r="AM25" s="222"/>
      <c r="AO25" s="222"/>
      <c r="AQ25" s="222"/>
      <c r="AS25" s="222"/>
      <c r="AU25" s="222"/>
      <c r="AW25" s="222"/>
      <c r="AY25" s="222"/>
      <c r="BA25" s="222"/>
      <c r="BC25" s="222"/>
      <c r="BE25" s="222"/>
      <c r="BG25" s="222"/>
      <c r="BI25" s="222"/>
      <c r="BK25" s="222"/>
    </row>
    <row r="26" spans="1:1023 1025:2047 2049:3071 3073:4095 4097:5119 5121:6143 6145:7167 7169:8191 8193:9215 9217:10239 10241:11263 11265:12287 12289:13311 13313:14335 14337:15359 15361:1638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c r="AI26" s="222">
        <f t="shared" ref="AI26" si="8324">AG26*$C$26</f>
        <v>0</v>
      </c>
      <c r="AK26" s="222">
        <f t="shared" ref="AK26" si="8325">AI26*$C$26</f>
        <v>0</v>
      </c>
      <c r="AM26" s="222">
        <f t="shared" ref="AM26" si="8326">AK26*$C$26</f>
        <v>0</v>
      </c>
      <c r="AO26" s="222">
        <f t="shared" ref="AO26" si="8327">AM26*$C$26</f>
        <v>0</v>
      </c>
      <c r="AQ26" s="222">
        <f t="shared" ref="AQ26" si="8328">AO26*$C$26</f>
        <v>0</v>
      </c>
      <c r="AS26" s="222">
        <f t="shared" ref="AS26" si="8329">AQ26*$C$26</f>
        <v>0</v>
      </c>
      <c r="AU26" s="222">
        <f t="shared" ref="AU26" si="8330">AS26*$C$26</f>
        <v>0</v>
      </c>
      <c r="AW26" s="222">
        <f t="shared" ref="AW26" si="8331">AU26*$C$26</f>
        <v>0</v>
      </c>
      <c r="AY26" s="222">
        <f t="shared" ref="AY26" si="8332">AW26*$C$26</f>
        <v>0</v>
      </c>
      <c r="BA26" s="222">
        <f t="shared" ref="BA26" si="8333">AY26*$C$26</f>
        <v>0</v>
      </c>
      <c r="BC26" s="222">
        <f t="shared" ref="BC26" si="8334">BA26*$C$26</f>
        <v>0</v>
      </c>
      <c r="BE26" s="222">
        <f t="shared" ref="BE26" si="8335">BC26*$C$26</f>
        <v>0</v>
      </c>
      <c r="BG26" s="222">
        <f t="shared" ref="BG26" si="8336">BE26*$C$26</f>
        <v>0</v>
      </c>
      <c r="BI26" s="222">
        <f t="shared" ref="BI26" si="8337">BG26*$C$26</f>
        <v>0</v>
      </c>
      <c r="BK26" s="222">
        <f t="shared" ref="BK26" si="8338">BI26*$C$26</f>
        <v>0</v>
      </c>
    </row>
    <row r="27" spans="1:1023 1025:2047 2049:3071 3073:4095 4097:5119 5121:6143 6145:7167 7169:8191 8193:9215 9217:10239 10241:11263 11265:12287 12289:13311 13313:14335 14337:15359 15361:16383" s="210" customFormat="1" ht="14.25">
      <c r="A27" s="210" t="s">
        <v>845</v>
      </c>
      <c r="C27" s="237">
        <v>1.0349999999999999</v>
      </c>
      <c r="E27" s="222">
        <f>Application!AC897</f>
        <v>23400</v>
      </c>
      <c r="F27" s="222"/>
      <c r="G27" s="222">
        <f>E27*$C$27</f>
        <v>24218.999999999996</v>
      </c>
      <c r="H27" s="222"/>
      <c r="I27" s="222">
        <f>G27*$C$27</f>
        <v>25066.664999999994</v>
      </c>
      <c r="J27" s="222"/>
      <c r="K27" s="222">
        <f>I27*$C$27</f>
        <v>25943.998274999991</v>
      </c>
      <c r="L27" s="222"/>
      <c r="M27" s="222">
        <f>K27*$C$27</f>
        <v>26852.038214624987</v>
      </c>
      <c r="N27" s="222"/>
      <c r="O27" s="222">
        <f>M27*$C$27</f>
        <v>27791.859552136859</v>
      </c>
      <c r="P27" s="222"/>
      <c r="Q27" s="222">
        <f>O27*$C$27</f>
        <v>28764.574636461646</v>
      </c>
      <c r="R27" s="222"/>
      <c r="S27" s="222">
        <f>Q27*$C$27</f>
        <v>29771.334748737801</v>
      </c>
      <c r="T27" s="222"/>
      <c r="U27" s="222">
        <f>S27*$C$27</f>
        <v>30813.331464943622</v>
      </c>
      <c r="V27" s="222"/>
      <c r="W27" s="222">
        <f>U27*$C$27</f>
        <v>31891.798066216645</v>
      </c>
      <c r="X27" s="222"/>
      <c r="Y27" s="222">
        <f>W27*$C$27</f>
        <v>33008.010998534228</v>
      </c>
      <c r="Z27" s="222"/>
      <c r="AA27" s="222">
        <f>Y27*$C$27</f>
        <v>34163.291383482923</v>
      </c>
      <c r="AB27" s="222"/>
      <c r="AC27" s="222">
        <f>AA27*$C$27</f>
        <v>35359.006581904825</v>
      </c>
      <c r="AD27" s="222"/>
      <c r="AE27" s="222">
        <f>AC27*$C$27</f>
        <v>36596.57181227149</v>
      </c>
      <c r="AF27" s="222"/>
      <c r="AG27" s="222">
        <f>AE27*$C$27</f>
        <v>37877.451825700991</v>
      </c>
      <c r="AI27" s="222">
        <f t="shared" ref="AI27" si="8339">AG27*$C$27</f>
        <v>39203.162639600523</v>
      </c>
      <c r="AK27" s="222">
        <f t="shared" ref="AK27" si="8340">AI27*$C$27</f>
        <v>40575.273331986537</v>
      </c>
      <c r="AM27" s="222">
        <f t="shared" ref="AM27" si="8341">AK27*$C$27</f>
        <v>41995.407898606063</v>
      </c>
      <c r="AO27" s="222">
        <f t="shared" ref="AO27" si="8342">AM27*$C$27</f>
        <v>43465.247175057273</v>
      </c>
      <c r="AQ27" s="222">
        <f t="shared" ref="AQ27" si="8343">AO27*$C$27</f>
        <v>44986.530826184273</v>
      </c>
      <c r="AS27" s="222">
        <f t="shared" ref="AS27" si="8344">AQ27*$C$27</f>
        <v>46561.059405100721</v>
      </c>
      <c r="AU27" s="222">
        <f t="shared" ref="AU27" si="8345">AS27*$C$27</f>
        <v>48190.696484279244</v>
      </c>
      <c r="AW27" s="222">
        <f t="shared" ref="AW27" si="8346">AU27*$C$27</f>
        <v>49877.370861229014</v>
      </c>
      <c r="AY27" s="222">
        <f t="shared" ref="AY27" si="8347">AW27*$C$27</f>
        <v>51623.078841372022</v>
      </c>
      <c r="BA27" s="222">
        <f t="shared" ref="BA27" si="8348">AY27*$C$27</f>
        <v>53429.886600820042</v>
      </c>
      <c r="BC27" s="222">
        <f t="shared" ref="BC27" si="8349">BA27*$C$27</f>
        <v>55299.932631848736</v>
      </c>
      <c r="BE27" s="222">
        <f t="shared" ref="BE27" si="8350">BC27*$C$27</f>
        <v>57235.430273963437</v>
      </c>
      <c r="BG27" s="222">
        <f t="shared" ref="BG27" si="8351">BE27*$C$27</f>
        <v>59238.670333552152</v>
      </c>
      <c r="BI27" s="222">
        <f t="shared" ref="BI27" si="8352">BG27*$C$27</f>
        <v>61312.023795226472</v>
      </c>
      <c r="BK27" s="222">
        <f t="shared" ref="BK27" si="8353">BI27*$C$27</f>
        <v>63457.944628059391</v>
      </c>
    </row>
    <row r="28" spans="1:1023 1025:2047 2049:3071 3073:4095 4097:5119 5121:6143 6145:7167 7169:8191 8193:9215 9217:10239 10241:11263 11265:12287 12289:13311 13313:14335 14337:15359 15361:16383" s="210" customFormat="1" ht="14.25">
      <c r="A28" s="210" t="s">
        <v>846</v>
      </c>
      <c r="C28" s="237"/>
      <c r="E28" s="222">
        <f>Application!AC898</f>
        <v>14750</v>
      </c>
      <c r="F28" s="222"/>
      <c r="G28" s="222">
        <f>$E$28</f>
        <v>14750</v>
      </c>
      <c r="H28" s="222"/>
      <c r="I28" s="222">
        <f>$E$28</f>
        <v>14750</v>
      </c>
      <c r="J28" s="222"/>
      <c r="K28" s="222">
        <f>$E$28</f>
        <v>14750</v>
      </c>
      <c r="L28" s="222"/>
      <c r="M28" s="222">
        <f>$E$28</f>
        <v>14750</v>
      </c>
      <c r="N28" s="222"/>
      <c r="O28" s="222">
        <f>$E$28</f>
        <v>14750</v>
      </c>
      <c r="P28" s="222"/>
      <c r="Q28" s="222">
        <f>$E$28</f>
        <v>14750</v>
      </c>
      <c r="R28" s="222"/>
      <c r="S28" s="222">
        <f>$E$28</f>
        <v>14750</v>
      </c>
      <c r="T28" s="222"/>
      <c r="U28" s="222">
        <f>$E$28</f>
        <v>14750</v>
      </c>
      <c r="V28" s="222"/>
      <c r="W28" s="222">
        <f>$E$28</f>
        <v>14750</v>
      </c>
      <c r="X28" s="222"/>
      <c r="Y28" s="222">
        <f>$E$28</f>
        <v>14750</v>
      </c>
      <c r="Z28" s="222"/>
      <c r="AA28" s="222">
        <f>$E$28</f>
        <v>14750</v>
      </c>
      <c r="AB28" s="222"/>
      <c r="AC28" s="222">
        <f>$E$28</f>
        <v>14750</v>
      </c>
      <c r="AD28" s="222"/>
      <c r="AE28" s="222">
        <f>$E$28</f>
        <v>14750</v>
      </c>
      <c r="AF28" s="222"/>
      <c r="AG28" s="222">
        <f>$E$28</f>
        <v>14750</v>
      </c>
      <c r="AI28" s="222">
        <f t="shared" ref="AI28" si="8354">$E$28</f>
        <v>14750</v>
      </c>
      <c r="AK28" s="222">
        <f t="shared" ref="AK28" si="8355">$E$28</f>
        <v>14750</v>
      </c>
      <c r="AM28" s="222">
        <f t="shared" ref="AM28" si="8356">$E$28</f>
        <v>14750</v>
      </c>
      <c r="AO28" s="222">
        <f t="shared" ref="AO28" si="8357">$E$28</f>
        <v>14750</v>
      </c>
      <c r="AQ28" s="222">
        <f t="shared" ref="AQ28" si="8358">$E$28</f>
        <v>14750</v>
      </c>
      <c r="AS28" s="222">
        <f t="shared" ref="AS28" si="8359">$E$28</f>
        <v>14750</v>
      </c>
      <c r="AU28" s="222">
        <f t="shared" ref="AU28" si="8360">$E$28</f>
        <v>14750</v>
      </c>
      <c r="AW28" s="222">
        <f t="shared" ref="AW28" si="8361">$E$28</f>
        <v>14750</v>
      </c>
      <c r="AY28" s="222">
        <f t="shared" ref="AY28" si="8362">$E$28</f>
        <v>14750</v>
      </c>
      <c r="BA28" s="222">
        <f t="shared" ref="BA28" si="8363">$E$28</f>
        <v>14750</v>
      </c>
      <c r="BC28" s="222">
        <f t="shared" ref="BC28" si="8364">$E$28</f>
        <v>14750</v>
      </c>
      <c r="BE28" s="222">
        <f t="shared" ref="BE28" si="8365">$E$28</f>
        <v>14750</v>
      </c>
      <c r="BG28" s="222">
        <f t="shared" ref="BG28" si="8366">$E$28</f>
        <v>14750</v>
      </c>
      <c r="BI28" s="222">
        <f t="shared" ref="BI28" si="8367">$E$28</f>
        <v>14750</v>
      </c>
      <c r="BK28" s="222">
        <f t="shared" ref="BK28" si="8368">$E$28</f>
        <v>14750</v>
      </c>
    </row>
    <row r="29" spans="1:1023 1025:2047 2049:3071 3073:4095 4097:5119 5121:6143 6145:7167 7169:8191 8193:9215 9217:10239 10241:11263 11265:12287 12289:13311 13313:14335 14337:15359 15361:1638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c r="AI29" s="222">
        <f t="shared" ref="AI29" si="8369">$E$29</f>
        <v>0</v>
      </c>
      <c r="AK29" s="222">
        <f t="shared" ref="AK29" si="8370">$E$29</f>
        <v>0</v>
      </c>
      <c r="AM29" s="222">
        <f t="shared" ref="AM29" si="8371">$E$29</f>
        <v>0</v>
      </c>
      <c r="AO29" s="222">
        <f t="shared" ref="AO29" si="8372">$E$29</f>
        <v>0</v>
      </c>
      <c r="AQ29" s="222">
        <f t="shared" ref="AQ29" si="8373">$E$29</f>
        <v>0</v>
      </c>
      <c r="AS29" s="222">
        <f t="shared" ref="AS29" si="8374">$E$29</f>
        <v>0</v>
      </c>
      <c r="AU29" s="222">
        <f t="shared" ref="AU29" si="8375">$E$29</f>
        <v>0</v>
      </c>
      <c r="AW29" s="222">
        <f t="shared" ref="AW29" si="8376">$E$29</f>
        <v>0</v>
      </c>
      <c r="AY29" s="222">
        <f t="shared" ref="AY29" si="8377">$E$29</f>
        <v>0</v>
      </c>
      <c r="BA29" s="222">
        <f t="shared" ref="BA29" si="8378">$E$29</f>
        <v>0</v>
      </c>
      <c r="BC29" s="222">
        <f t="shared" ref="BC29" si="8379">$E$29</f>
        <v>0</v>
      </c>
      <c r="BE29" s="222">
        <f t="shared" ref="BE29" si="8380">$E$29</f>
        <v>0</v>
      </c>
      <c r="BG29" s="222">
        <f t="shared" ref="BG29" si="8381">$E$29</f>
        <v>0</v>
      </c>
      <c r="BI29" s="222">
        <f t="shared" ref="BI29" si="8382">$E$29</f>
        <v>0</v>
      </c>
      <c r="BK29" s="222">
        <f t="shared" ref="BK29" si="8383">$E$29</f>
        <v>0</v>
      </c>
    </row>
    <row r="30" spans="1:1023 1025:2047 2049:3071 3073:4095 4097:5119 5121:6143 6145:7167 7169:8191 8193:9215 9217:10239 10241:11263 11265:12287 12289:13311 13313:14335 14337:15359 15361:16383" s="210" customFormat="1" ht="14.25">
      <c r="A30" s="210" t="s">
        <v>844</v>
      </c>
      <c r="C30" s="237">
        <v>1.02</v>
      </c>
      <c r="E30" s="222">
        <f>Application!AC900</f>
        <v>2950</v>
      </c>
      <c r="F30" s="222"/>
      <c r="G30" s="222">
        <f>E30*$C$30</f>
        <v>3009</v>
      </c>
      <c r="H30" s="222"/>
      <c r="I30" s="222">
        <f>G30*$C$30</f>
        <v>3069.18</v>
      </c>
      <c r="J30" s="222"/>
      <c r="K30" s="222">
        <f>I30*$C$30</f>
        <v>3130.5636</v>
      </c>
      <c r="L30" s="222"/>
      <c r="M30" s="222">
        <f>K30*$C$30</f>
        <v>3193.1748720000001</v>
      </c>
      <c r="N30" s="222"/>
      <c r="O30" s="222">
        <f>M30*$C$30</f>
        <v>3257.0383694400002</v>
      </c>
      <c r="P30" s="222"/>
      <c r="Q30" s="222">
        <f>O30*$C$30</f>
        <v>3322.1791368288004</v>
      </c>
      <c r="R30" s="222"/>
      <c r="S30" s="222">
        <f>Q30*$C$30</f>
        <v>3388.6227195653764</v>
      </c>
      <c r="T30" s="222"/>
      <c r="U30" s="222">
        <f>S30*$C$30</f>
        <v>3456.3951739566842</v>
      </c>
      <c r="V30" s="222"/>
      <c r="W30" s="222">
        <f>U30*$C$30</f>
        <v>3525.5230774358179</v>
      </c>
      <c r="X30" s="222"/>
      <c r="Y30" s="222">
        <f>W30*$C$30</f>
        <v>3596.0335389845341</v>
      </c>
      <c r="Z30" s="222"/>
      <c r="AA30" s="222">
        <f>Y30*$C$30</f>
        <v>3667.9542097642247</v>
      </c>
      <c r="AB30" s="222"/>
      <c r="AC30" s="222">
        <f>AA30*$C$30</f>
        <v>3741.3132939595093</v>
      </c>
      <c r="AD30" s="222"/>
      <c r="AE30" s="222">
        <f>AC30*$C$30</f>
        <v>3816.1395598386994</v>
      </c>
      <c r="AF30" s="222"/>
      <c r="AG30" s="222">
        <f>AE30*$C$30</f>
        <v>3892.4623510354736</v>
      </c>
      <c r="AI30" s="222">
        <f t="shared" ref="AI30" si="8384">AG30*$C$30</f>
        <v>3970.3115980561834</v>
      </c>
      <c r="AK30" s="222">
        <f t="shared" ref="AK30" si="8385">AI30*$C$30</f>
        <v>4049.7178300173073</v>
      </c>
      <c r="AM30" s="222">
        <f t="shared" ref="AM30" si="8386">AK30*$C$30</f>
        <v>4130.7121866176531</v>
      </c>
      <c r="AO30" s="222">
        <f t="shared" ref="AO30" si="8387">AM30*$C$30</f>
        <v>4213.3264303500064</v>
      </c>
      <c r="AQ30" s="222">
        <f t="shared" ref="AQ30" si="8388">AO30*$C$30</f>
        <v>4297.5929589570069</v>
      </c>
      <c r="AS30" s="222">
        <f t="shared" ref="AS30" si="8389">AQ30*$C$30</f>
        <v>4383.5448181361471</v>
      </c>
      <c r="AU30" s="222">
        <f t="shared" ref="AU30" si="8390">AS30*$C$30</f>
        <v>4471.2157144988705</v>
      </c>
      <c r="AW30" s="222">
        <f t="shared" ref="AW30" si="8391">AU30*$C$30</f>
        <v>4560.6400287888482</v>
      </c>
      <c r="AY30" s="222">
        <f t="shared" ref="AY30" si="8392">AW30*$C$30</f>
        <v>4651.852829364625</v>
      </c>
      <c r="BA30" s="222">
        <f t="shared" ref="BA30" si="8393">AY30*$C$30</f>
        <v>4744.8898859519177</v>
      </c>
      <c r="BC30" s="222">
        <f t="shared" ref="BC30" si="8394">BA30*$C$30</f>
        <v>4839.7876836709565</v>
      </c>
      <c r="BE30" s="222">
        <f t="shared" ref="BE30" si="8395">BC30*$C$30</f>
        <v>4936.5834373443759</v>
      </c>
      <c r="BG30" s="222">
        <f t="shared" ref="BG30" si="8396">BE30*$C$30</f>
        <v>5035.3151060912633</v>
      </c>
      <c r="BI30" s="222">
        <f t="shared" ref="BI30" si="8397">BG30*$C$30</f>
        <v>5136.0214082130888</v>
      </c>
      <c r="BK30" s="222">
        <f t="shared" ref="BK30" si="8398">BI30*$C$30</f>
        <v>5238.7418363773504</v>
      </c>
    </row>
    <row r="31" spans="1:1023 1025:2047 2049:3071 3073:4095 4097:5119 5121:6143 6145:7167 7169:8191 8193:9215 9217:10239 10241:11263 11265:12287 12289:13311 13313:14335 14337:15359 15361:1638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c r="AI31" s="222">
        <f t="shared" ref="AI31" si="8399">AG31*$C$31</f>
        <v>0</v>
      </c>
      <c r="AK31" s="222">
        <f t="shared" ref="AK31" si="8400">AI31*$C$31</f>
        <v>0</v>
      </c>
      <c r="AM31" s="222">
        <f t="shared" ref="AM31" si="8401">AK31*$C$31</f>
        <v>0</v>
      </c>
      <c r="AO31" s="222">
        <f t="shared" ref="AO31" si="8402">AM31*$C$31</f>
        <v>0</v>
      </c>
      <c r="AQ31" s="222">
        <f t="shared" ref="AQ31" si="8403">AO31*$C$31</f>
        <v>0</v>
      </c>
      <c r="AS31" s="222">
        <f t="shared" ref="AS31" si="8404">AQ31*$C$31</f>
        <v>0</v>
      </c>
      <c r="AU31" s="222">
        <f t="shared" ref="AU31" si="8405">AS31*$C$31</f>
        <v>0</v>
      </c>
      <c r="AW31" s="222">
        <f t="shared" ref="AW31" si="8406">AU31*$C$31</f>
        <v>0</v>
      </c>
      <c r="AY31" s="222">
        <f t="shared" ref="AY31" si="8407">AW31*$C$31</f>
        <v>0</v>
      </c>
      <c r="BA31" s="222">
        <f t="shared" ref="BA31" si="8408">AY31*$C$31</f>
        <v>0</v>
      </c>
      <c r="BC31" s="222">
        <f t="shared" ref="BC31" si="8409">BA31*$C$31</f>
        <v>0</v>
      </c>
      <c r="BE31" s="222">
        <f t="shared" ref="BE31" si="8410">BC31*$C$31</f>
        <v>0</v>
      </c>
      <c r="BG31" s="222">
        <f t="shared" ref="BG31" si="8411">BE31*$C$31</f>
        <v>0</v>
      </c>
      <c r="BI31" s="222">
        <f t="shared" ref="BI31" si="8412">BG31*$C$31</f>
        <v>0</v>
      </c>
      <c r="BK31" s="222">
        <f t="shared" ref="BK31" si="8413">BI31*$C$31</f>
        <v>0</v>
      </c>
    </row>
    <row r="32" spans="1:1023 1025:2047 2049:3071 3073:4095 4097:5119 5121:6143 6145:7167 7169:8191 8193:9215 9217:10239 10241:11263 11265:12287 12289:13311 13313:14335 14337:15359 15361:16383" s="210" customFormat="1" ht="14.25">
      <c r="A32" s="210" t="str">
        <f>Application!C903</f>
        <v>Bond Issuer Fees</v>
      </c>
      <c r="C32" s="316">
        <v>1</v>
      </c>
      <c r="E32" s="222">
        <f>Application!AC903</f>
        <v>2712</v>
      </c>
      <c r="F32" s="222"/>
      <c r="G32" s="222">
        <f>E32*$C$32</f>
        <v>2712</v>
      </c>
      <c r="H32" s="222"/>
      <c r="I32" s="222">
        <f>G32*$C$32</f>
        <v>2712</v>
      </c>
      <c r="J32" s="222"/>
      <c r="K32" s="222">
        <f>I32*$C$32</f>
        <v>2712</v>
      </c>
      <c r="L32" s="222"/>
      <c r="M32" s="222">
        <f>K32*$C$32</f>
        <v>2712</v>
      </c>
      <c r="N32" s="222"/>
      <c r="O32" s="222">
        <f>M32*$C$32</f>
        <v>2712</v>
      </c>
      <c r="P32" s="222"/>
      <c r="Q32" s="222">
        <f>O32*$C$32</f>
        <v>2712</v>
      </c>
      <c r="R32" s="222"/>
      <c r="S32" s="222">
        <f>Q32*$C$32</f>
        <v>2712</v>
      </c>
      <c r="T32" s="222"/>
      <c r="U32" s="222">
        <f>S32*$C$32</f>
        <v>2712</v>
      </c>
      <c r="V32" s="222"/>
      <c r="W32" s="222">
        <f>U32*$C$32</f>
        <v>2712</v>
      </c>
      <c r="X32" s="222"/>
      <c r="Y32" s="222">
        <f>W32*$C$32</f>
        <v>2712</v>
      </c>
      <c r="Z32" s="222"/>
      <c r="AA32" s="222">
        <f>Y32*$C$32</f>
        <v>2712</v>
      </c>
      <c r="AB32" s="222"/>
      <c r="AC32" s="222">
        <f>AA32*$C$32</f>
        <v>2712</v>
      </c>
      <c r="AD32" s="222"/>
      <c r="AE32" s="222">
        <f>AC32*$C$32</f>
        <v>2712</v>
      </c>
      <c r="AF32" s="222"/>
      <c r="AG32" s="222">
        <f>AE32*$C$32</f>
        <v>2712</v>
      </c>
      <c r="AI32" s="222">
        <f t="shared" ref="AI32" si="8414">AG32*$C$32</f>
        <v>2712</v>
      </c>
      <c r="AK32" s="222">
        <f t="shared" ref="AK32" si="8415">AI32*$C$32</f>
        <v>2712</v>
      </c>
      <c r="AM32" s="222">
        <f t="shared" ref="AM32" si="8416">AK32*$C$32</f>
        <v>2712</v>
      </c>
      <c r="AO32" s="222">
        <f t="shared" ref="AO32" si="8417">AM32*$C$32</f>
        <v>2712</v>
      </c>
      <c r="AQ32" s="222">
        <f t="shared" ref="AQ32" si="8418">AO32*$C$32</f>
        <v>2712</v>
      </c>
      <c r="AS32" s="222">
        <f t="shared" ref="AS32" si="8419">AQ32*$C$32</f>
        <v>2712</v>
      </c>
      <c r="AU32" s="222">
        <f t="shared" ref="AU32" si="8420">AS32*$C$32</f>
        <v>2712</v>
      </c>
      <c r="AW32" s="222">
        <f t="shared" ref="AW32" si="8421">AU32*$C$32</f>
        <v>2712</v>
      </c>
      <c r="AY32" s="222">
        <f t="shared" ref="AY32" si="8422">AW32*$C$32</f>
        <v>2712</v>
      </c>
      <c r="BA32" s="222">
        <f t="shared" ref="BA32" si="8423">AY32*$C$32</f>
        <v>2712</v>
      </c>
      <c r="BC32" s="222">
        <f t="shared" ref="BC32" si="8424">BA32*$C$32</f>
        <v>2712</v>
      </c>
      <c r="BE32" s="222">
        <f t="shared" ref="BE32" si="8425">BC32*$C$32</f>
        <v>2712</v>
      </c>
      <c r="BG32" s="222">
        <f t="shared" ref="BG32" si="8426">BE32*$C$32</f>
        <v>2712</v>
      </c>
      <c r="BI32" s="222">
        <f t="shared" ref="BI32" si="8427">BG32*$C$32</f>
        <v>2712</v>
      </c>
      <c r="BK32" s="222">
        <f t="shared" ref="BK32" si="8428">BI32*$C$32</f>
        <v>2712</v>
      </c>
    </row>
    <row r="33" spans="1:6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c r="AI33" s="222">
        <f t="shared" ref="AI33" si="8429">AG33*$C$33</f>
        <v>0</v>
      </c>
      <c r="AK33" s="222">
        <f t="shared" ref="AK33" si="8430">AI33*$C$33</f>
        <v>0</v>
      </c>
      <c r="AM33" s="222">
        <f t="shared" ref="AM33" si="8431">AK33*$C$33</f>
        <v>0</v>
      </c>
      <c r="AO33" s="222">
        <f t="shared" ref="AO33" si="8432">AM33*$C$33</f>
        <v>0</v>
      </c>
      <c r="AQ33" s="222">
        <f t="shared" ref="AQ33" si="8433">AO33*$C$33</f>
        <v>0</v>
      </c>
      <c r="AS33" s="222">
        <f t="shared" ref="AS33" si="8434">AQ33*$C$33</f>
        <v>0</v>
      </c>
      <c r="AU33" s="222">
        <f t="shared" ref="AU33" si="8435">AS33*$C$33</f>
        <v>0</v>
      </c>
      <c r="AW33" s="222">
        <f t="shared" ref="AW33" si="8436">AU33*$C$33</f>
        <v>0</v>
      </c>
      <c r="AY33" s="222">
        <f t="shared" ref="AY33" si="8437">AW33*$C$33</f>
        <v>0</v>
      </c>
      <c r="BA33" s="222">
        <f t="shared" ref="BA33" si="8438">AY33*$C$33</f>
        <v>0</v>
      </c>
      <c r="BC33" s="222">
        <f t="shared" ref="BC33" si="8439">BA33*$C$33</f>
        <v>0</v>
      </c>
      <c r="BE33" s="222">
        <f t="shared" ref="BE33" si="8440">BC33*$C$33</f>
        <v>0</v>
      </c>
      <c r="BG33" s="222">
        <f t="shared" ref="BG33" si="8441">BE33*$C$33</f>
        <v>0</v>
      </c>
      <c r="BI33" s="222">
        <f t="shared" ref="BI33" si="8442">BG33*$C$33</f>
        <v>0</v>
      </c>
      <c r="BK33" s="222">
        <f t="shared" ref="BK33" si="8443">BI33*$C$33</f>
        <v>0</v>
      </c>
    </row>
    <row r="34" spans="1:6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c r="AI34" s="222"/>
      <c r="AK34" s="222"/>
      <c r="AM34" s="222"/>
      <c r="AO34" s="222"/>
      <c r="AQ34" s="222"/>
      <c r="AS34" s="222"/>
      <c r="AU34" s="222"/>
      <c r="AW34" s="222"/>
      <c r="AY34" s="222"/>
      <c r="BA34" s="222"/>
      <c r="BC34" s="222"/>
      <c r="BE34" s="222"/>
      <c r="BG34" s="222"/>
      <c r="BI34" s="222"/>
      <c r="BK34" s="222"/>
    </row>
    <row r="35" spans="1:63" s="223" customFormat="1" ht="15">
      <c r="A35" s="223" t="s">
        <v>178</v>
      </c>
      <c r="C35" s="224"/>
      <c r="E35" s="223">
        <f>SUM(E22:E33)</f>
        <v>515512</v>
      </c>
      <c r="G35" s="223">
        <f>SUM(G22:G33)</f>
        <v>529399.5</v>
      </c>
      <c r="I35" s="223">
        <f>SUM(I22:I33)</f>
        <v>543772.17749999987</v>
      </c>
      <c r="K35" s="223">
        <f>SUM(K22:K33)</f>
        <v>558646.99601249991</v>
      </c>
      <c r="M35" s="223">
        <f>SUM(M22:M33)</f>
        <v>574041.5124189374</v>
      </c>
      <c r="O35" s="223">
        <f>SUM(O22:O33)</f>
        <v>589973.89773052011</v>
      </c>
      <c r="Q35" s="223">
        <f>SUM(Q22:Q33)</f>
        <v>606462.95857554663</v>
      </c>
      <c r="S35" s="223">
        <f>SUM(S22:S33)</f>
        <v>623528.15943863837</v>
      </c>
      <c r="U35" s="223">
        <f>SUM(U22:U33)</f>
        <v>641189.64567819715</v>
      </c>
      <c r="W35" s="223">
        <f>SUM(W22:W33)</f>
        <v>659468.26734932477</v>
      </c>
      <c r="Y35" s="223">
        <f>SUM(Y22:Y33)</f>
        <v>678385.60386038956</v>
      </c>
      <c r="AA35" s="223">
        <f>SUM(AA22:AA33)</f>
        <v>697963.98949241848</v>
      </c>
      <c r="AC35" s="223">
        <f>SUM(AC22:AC33)</f>
        <v>718226.5398115064</v>
      </c>
      <c r="AE35" s="223">
        <f>SUM(AE22:AE33)</f>
        <v>739197.1790054997</v>
      </c>
      <c r="AG35" s="223">
        <f>SUM(AG22:AG33)</f>
        <v>760900.66817729466</v>
      </c>
      <c r="AI35" s="223">
        <f t="shared" ref="AI35" si="8444">SUM(AI22:AI33)</f>
        <v>783362.63462823443</v>
      </c>
      <c r="AK35" s="223">
        <f t="shared" ref="AK35" si="8445">SUM(AK22:AK33)</f>
        <v>806609.60216625163</v>
      </c>
      <c r="AM35" s="223">
        <f t="shared" ref="AM35" si="8446">SUM(AM22:AM33)</f>
        <v>830669.02247462014</v>
      </c>
      <c r="AO35" s="223">
        <f t="shared" ref="AO35" si="8447">SUM(AO22:AO33)</f>
        <v>855569.30757843249</v>
      </c>
      <c r="AQ35" s="223">
        <f t="shared" ref="AQ35" si="8448">SUM(AQ22:AQ33)</f>
        <v>881339.86344722239</v>
      </c>
      <c r="AS35" s="223">
        <f t="shared" ref="AS35" si="8449">SUM(AS22:AS33)</f>
        <v>908011.12477349071</v>
      </c>
      <c r="AU35" s="223">
        <f t="shared" ref="AU35" si="8450">SUM(AU22:AU33)</f>
        <v>935614.59096829069</v>
      </c>
      <c r="AW35" s="223">
        <f t="shared" ref="AW35" si="8451">SUM(AW22:AW33)</f>
        <v>964182.86341646337</v>
      </c>
      <c r="AY35" s="223">
        <f t="shared" ref="AY35" si="8452">SUM(AY22:AY33)</f>
        <v>993749.68403560773</v>
      </c>
      <c r="BA35" s="223">
        <f t="shared" ref="BA35" si="8453">SUM(BA22:BA33)</f>
        <v>1024349.9751844135</v>
      </c>
      <c r="BC35" s="223">
        <f t="shared" ref="BC35" si="8454">SUM(BC22:BC33)</f>
        <v>1056019.8809675786</v>
      </c>
      <c r="BE35" s="223">
        <f t="shared" ref="BE35" si="8455">SUM(BE22:BE33)</f>
        <v>1088796.8099861885</v>
      </c>
      <c r="BG35" s="223">
        <f t="shared" ref="BG35" si="8456">SUM(BG22:BG33)</f>
        <v>1122719.4795841451</v>
      </c>
      <c r="BI35" s="223">
        <f t="shared" ref="BI35" si="8457">SUM(BI22:BI33)</f>
        <v>1157827.961642999</v>
      </c>
      <c r="BK35" s="223">
        <f t="shared" ref="BK35" si="8458">SUM(BK22:BK33)</f>
        <v>1194163.7299793805</v>
      </c>
    </row>
    <row r="36" spans="1:6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c r="AI36" s="222"/>
      <c r="AK36" s="222"/>
      <c r="AM36" s="222"/>
      <c r="AO36" s="222"/>
      <c r="AQ36" s="222"/>
      <c r="AS36" s="222"/>
      <c r="AU36" s="222"/>
      <c r="AW36" s="222"/>
      <c r="AY36" s="222"/>
      <c r="BA36" s="222"/>
      <c r="BC36" s="222"/>
      <c r="BE36" s="222"/>
      <c r="BG36" s="222"/>
      <c r="BI36" s="222"/>
      <c r="BK36" s="222"/>
    </row>
    <row r="37" spans="1:63" s="223" customFormat="1" ht="15">
      <c r="A37" s="223" t="s">
        <v>847</v>
      </c>
      <c r="C37" s="224"/>
      <c r="E37" s="223">
        <f>E11-E35</f>
        <v>766338.95999999973</v>
      </c>
      <c r="G37" s="223">
        <f>G11-G35</f>
        <v>784497.73399999971</v>
      </c>
      <c r="I37" s="223">
        <f>I11-I35</f>
        <v>802972.48734999972</v>
      </c>
      <c r="K37" s="223">
        <f>K11-K35</f>
        <v>821766.28545874951</v>
      </c>
      <c r="M37" s="223">
        <f>M11-M35</f>
        <v>840882.10108909314</v>
      </c>
      <c r="O37" s="223">
        <f>O11-O35</f>
        <v>860322.80611521087</v>
      </c>
      <c r="Q37" s="223">
        <f>Q11-Q35</f>
        <v>880091.16286632756</v>
      </c>
      <c r="S37" s="223">
        <f>S11-S35</f>
        <v>900189.81503928255</v>
      </c>
      <c r="U37" s="223">
        <f>U11-U35</f>
        <v>920621.27816167159</v>
      </c>
      <c r="W37" s="223">
        <f>W11-W35</f>
        <v>941387.92958654056</v>
      </c>
      <c r="Y37" s="223">
        <f>Y11-Y35</f>
        <v>962491.99799887196</v>
      </c>
      <c r="AA37" s="223">
        <f>AA11-AA35</f>
        <v>983935.55241332459</v>
      </c>
      <c r="AC37" s="223">
        <f>AC11-AC35</f>
        <v>1005720.4906418801</v>
      </c>
      <c r="AE37" s="223">
        <f>AE11-AE35</f>
        <v>1027848.5272092214</v>
      </c>
      <c r="AG37" s="223">
        <f>AG11-AG35</f>
        <v>1050321.1806927943</v>
      </c>
      <c r="AI37" s="223">
        <f t="shared" ref="AI37" si="8459">AI11-AI35</f>
        <v>1073139.7604636068</v>
      </c>
      <c r="AK37" s="223">
        <f t="shared" ref="AK37" si="8460">AK11-AK35</f>
        <v>1096305.3528028852</v>
      </c>
      <c r="AM37" s="223">
        <f t="shared" ref="AM37" si="8461">AM11-AM35</f>
        <v>1119818.8063687449</v>
      </c>
      <c r="AO37" s="223">
        <f t="shared" ref="AO37" si="8462">AO11-AO35</f>
        <v>1143680.7169860168</v>
      </c>
      <c r="AQ37" s="223">
        <f t="shared" ref="AQ37" si="8463">AQ11-AQ35</f>
        <v>1167891.4117313379</v>
      </c>
      <c r="AS37" s="223">
        <f t="shared" ref="AS37" si="8464">AS11-AS35</f>
        <v>1192450.932284533</v>
      </c>
      <c r="AU37" s="223">
        <f t="shared" ref="AU37" si="8465">AU11-AU35</f>
        <v>1217359.0175161832</v>
      </c>
      <c r="AW37" s="223">
        <f t="shared" ref="AW37" si="8466">AW11-AW35</f>
        <v>1242615.0852801229</v>
      </c>
      <c r="AY37" s="223">
        <f t="shared" ref="AY37" si="8467">AY11-AY35</f>
        <v>1268218.2133783931</v>
      </c>
      <c r="BA37" s="223">
        <f t="shared" ref="BA37" si="8468">BA11-BA35</f>
        <v>1294167.1196649363</v>
      </c>
      <c r="BC37" s="223">
        <f t="shared" ref="BC37" si="8469">BC11-BC35</f>
        <v>1320460.141253005</v>
      </c>
      <c r="BE37" s="223">
        <f t="shared" ref="BE37" si="8470">BE11-BE35</f>
        <v>1347095.212789909</v>
      </c>
      <c r="BG37" s="223">
        <f t="shared" ref="BG37" si="8471">BG11-BG35</f>
        <v>1374069.8437613549</v>
      </c>
      <c r="BI37" s="223">
        <f t="shared" ref="BI37" si="8472">BI11-BI35</f>
        <v>1401381.094786139</v>
      </c>
      <c r="BK37" s="223">
        <f t="shared" ref="BK37" si="8473">BK11-BK35</f>
        <v>1429025.5528604854</v>
      </c>
    </row>
    <row r="38" spans="1:6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c r="AI38" s="222"/>
      <c r="AK38" s="222"/>
      <c r="AM38" s="222"/>
      <c r="AO38" s="222"/>
      <c r="AQ38" s="222"/>
      <c r="AS38" s="222"/>
      <c r="AU38" s="222"/>
      <c r="AW38" s="222"/>
      <c r="AY38" s="222"/>
      <c r="BA38" s="222"/>
      <c r="BC38" s="222"/>
      <c r="BE38" s="222"/>
      <c r="BG38" s="222"/>
      <c r="BI38" s="222"/>
      <c r="BK38" s="222"/>
    </row>
    <row r="39" spans="1:6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c r="AI39" s="222"/>
      <c r="AK39" s="222"/>
      <c r="AM39" s="222"/>
      <c r="AO39" s="222"/>
      <c r="AQ39" s="222"/>
      <c r="AS39" s="222"/>
      <c r="AU39" s="222"/>
      <c r="AW39" s="222"/>
      <c r="AY39" s="222"/>
      <c r="BA39" s="222"/>
      <c r="BC39" s="222"/>
      <c r="BE39" s="222"/>
      <c r="BG39" s="222"/>
      <c r="BI39" s="222"/>
      <c r="BK39" s="222"/>
    </row>
    <row r="40" spans="1:63" s="210" customFormat="1" ht="14.25">
      <c r="A40" s="225" t="str">
        <f>Application!C635</f>
        <v>Citibank - Tax-Exempt</v>
      </c>
      <c r="B40" s="226"/>
      <c r="C40" s="220"/>
      <c r="E40" s="222">
        <f>Application!AF635</f>
        <v>353541.04612558906</v>
      </c>
      <c r="F40" s="222"/>
      <c r="G40" s="222">
        <f>$E$40</f>
        <v>353541.04612558906</v>
      </c>
      <c r="H40" s="222"/>
      <c r="I40" s="222">
        <f>$E$40</f>
        <v>353541.04612558906</v>
      </c>
      <c r="J40" s="222"/>
      <c r="K40" s="222">
        <f>$E$40</f>
        <v>353541.04612558906</v>
      </c>
      <c r="L40" s="222"/>
      <c r="M40" s="222">
        <f>$E$40</f>
        <v>353541.04612558906</v>
      </c>
      <c r="N40" s="222"/>
      <c r="O40" s="222">
        <f>$E$40</f>
        <v>353541.04612558906</v>
      </c>
      <c r="P40" s="222"/>
      <c r="Q40" s="222">
        <f>$E$40</f>
        <v>353541.04612558906</v>
      </c>
      <c r="R40" s="222"/>
      <c r="S40" s="222">
        <f>$E$40</f>
        <v>353541.04612558906</v>
      </c>
      <c r="T40" s="222"/>
      <c r="U40" s="222">
        <f>$E$40</f>
        <v>353541.04612558906</v>
      </c>
      <c r="V40" s="222"/>
      <c r="W40" s="222">
        <f>$E$40</f>
        <v>353541.04612558906</v>
      </c>
      <c r="X40" s="222"/>
      <c r="Y40" s="222">
        <f>$E$40</f>
        <v>353541.04612558906</v>
      </c>
      <c r="Z40" s="222"/>
      <c r="AA40" s="222">
        <f>$E$40</f>
        <v>353541.04612558906</v>
      </c>
      <c r="AB40" s="222"/>
      <c r="AC40" s="222">
        <f>$E$40</f>
        <v>353541.04612558906</v>
      </c>
      <c r="AD40" s="222"/>
      <c r="AE40" s="222">
        <f>$E$40</f>
        <v>353541.04612558906</v>
      </c>
      <c r="AF40" s="222"/>
      <c r="AG40" s="222">
        <f>$E$40</f>
        <v>353541.04612558906</v>
      </c>
      <c r="AI40" s="222">
        <f t="shared" ref="AI40" si="8474">$E$40</f>
        <v>353541.04612558906</v>
      </c>
      <c r="AK40" s="222">
        <f t="shared" ref="AK40" si="8475">$E$40</f>
        <v>353541.04612558906</v>
      </c>
      <c r="AM40" s="222">
        <f t="shared" ref="AM40" si="8476">$E$40</f>
        <v>353541.04612558906</v>
      </c>
      <c r="AO40" s="222">
        <f t="shared" ref="AO40" si="8477">$E$40</f>
        <v>353541.04612558906</v>
      </c>
      <c r="AQ40" s="222">
        <f t="shared" ref="AQ40" si="8478">$E$40</f>
        <v>353541.04612558906</v>
      </c>
      <c r="AS40" s="222">
        <f t="shared" ref="AS40" si="8479">$E$40</f>
        <v>353541.04612558906</v>
      </c>
      <c r="AU40" s="222">
        <f t="shared" ref="AU40" si="8480">$E$40</f>
        <v>353541.04612558906</v>
      </c>
      <c r="AW40" s="222">
        <f t="shared" ref="AW40" si="8481">$E$40</f>
        <v>353541.04612558906</v>
      </c>
      <c r="AY40" s="222">
        <f t="shared" ref="AY40" si="8482">$E$40</f>
        <v>353541.04612558906</v>
      </c>
      <c r="BA40" s="222">
        <f t="shared" ref="BA40" si="8483">$E$40</f>
        <v>353541.04612558906</v>
      </c>
      <c r="BC40" s="222">
        <f t="shared" ref="BC40" si="8484">$E$40</f>
        <v>353541.04612558906</v>
      </c>
      <c r="BE40" s="222">
        <f t="shared" ref="BE40" si="8485">$E$40</f>
        <v>353541.04612558906</v>
      </c>
      <c r="BG40" s="222">
        <f t="shared" ref="BG40" si="8486">$E$40</f>
        <v>353541.04612558906</v>
      </c>
      <c r="BI40" s="222">
        <f t="shared" ref="BI40" si="8487">$E$40</f>
        <v>353541.04612558906</v>
      </c>
      <c r="BK40" s="222">
        <f t="shared" ref="BK40" si="8488">$E$40</f>
        <v>353541.04612558906</v>
      </c>
    </row>
    <row r="41" spans="1:63" s="210" customFormat="1" ht="14.25">
      <c r="A41" s="225" t="str">
        <f>Application!C636</f>
        <v>Citibank - Taxable</v>
      </c>
      <c r="B41" s="226"/>
      <c r="C41" s="220"/>
      <c r="E41" s="222">
        <f>Application!AF636</f>
        <v>312799.37700717105</v>
      </c>
      <c r="F41" s="222"/>
      <c r="G41" s="222">
        <f>$E$41</f>
        <v>312799.37700717105</v>
      </c>
      <c r="H41" s="222"/>
      <c r="I41" s="222">
        <f>$E$41</f>
        <v>312799.37700717105</v>
      </c>
      <c r="J41" s="222"/>
      <c r="K41" s="222">
        <f>$E$41</f>
        <v>312799.37700717105</v>
      </c>
      <c r="L41" s="222"/>
      <c r="M41" s="222">
        <f>$E$41</f>
        <v>312799.37700717105</v>
      </c>
      <c r="N41" s="222"/>
      <c r="O41" s="222">
        <f>$E$41</f>
        <v>312799.37700717105</v>
      </c>
      <c r="P41" s="222"/>
      <c r="Q41" s="222">
        <f>$E$41</f>
        <v>312799.37700717105</v>
      </c>
      <c r="R41" s="222"/>
      <c r="S41" s="222">
        <f>$E$41</f>
        <v>312799.37700717105</v>
      </c>
      <c r="T41" s="222"/>
      <c r="U41" s="222">
        <f>$E$41</f>
        <v>312799.37700717105</v>
      </c>
      <c r="V41" s="222"/>
      <c r="W41" s="222">
        <f>$E$41</f>
        <v>312799.37700717105</v>
      </c>
      <c r="X41" s="222"/>
      <c r="Y41" s="222">
        <f>$E$41</f>
        <v>312799.37700717105</v>
      </c>
      <c r="Z41" s="222"/>
      <c r="AA41" s="222">
        <f>$E$41</f>
        <v>312799.37700717105</v>
      </c>
      <c r="AB41" s="222"/>
      <c r="AC41" s="222">
        <f>$E$41</f>
        <v>312799.37700717105</v>
      </c>
      <c r="AD41" s="222"/>
      <c r="AE41" s="222">
        <f>$E$41</f>
        <v>312799.37700717105</v>
      </c>
      <c r="AF41" s="222"/>
      <c r="AG41" s="222">
        <f>$E$41</f>
        <v>312799.37700717105</v>
      </c>
      <c r="AI41" s="222">
        <f t="shared" ref="AI41" si="8489">$E$41</f>
        <v>312799.37700717105</v>
      </c>
      <c r="AK41" s="222">
        <f t="shared" ref="AK41" si="8490">$E$41</f>
        <v>312799.37700717105</v>
      </c>
      <c r="AM41" s="222">
        <f t="shared" ref="AM41" si="8491">$E$41</f>
        <v>312799.37700717105</v>
      </c>
      <c r="AO41" s="222">
        <f t="shared" ref="AO41" si="8492">$E$41</f>
        <v>312799.37700717105</v>
      </c>
      <c r="AQ41" s="222">
        <f t="shared" ref="AQ41" si="8493">$E$41</f>
        <v>312799.37700717105</v>
      </c>
      <c r="AS41" s="222">
        <f t="shared" ref="AS41" si="8494">$E$41</f>
        <v>312799.37700717105</v>
      </c>
      <c r="AU41" s="222">
        <f t="shared" ref="AU41" si="8495">$E$41</f>
        <v>312799.37700717105</v>
      </c>
      <c r="AW41" s="222">
        <f t="shared" ref="AW41" si="8496">$E$41</f>
        <v>312799.37700717105</v>
      </c>
      <c r="AY41" s="222">
        <f t="shared" ref="AY41" si="8497">$E$41</f>
        <v>312799.37700717105</v>
      </c>
      <c r="BA41" s="222">
        <f t="shared" ref="BA41" si="8498">$E$41</f>
        <v>312799.37700717105</v>
      </c>
      <c r="BC41" s="222">
        <f t="shared" ref="BC41" si="8499">$E$41</f>
        <v>312799.37700717105</v>
      </c>
      <c r="BE41" s="222">
        <f t="shared" ref="BE41" si="8500">$E$41</f>
        <v>312799.37700717105</v>
      </c>
      <c r="BG41" s="222">
        <f t="shared" ref="BG41" si="8501">$E$41</f>
        <v>312799.37700717105</v>
      </c>
      <c r="BI41" s="222">
        <f t="shared" ref="BI41" si="8502">$E$41</f>
        <v>312799.37700717105</v>
      </c>
      <c r="BK41" s="222">
        <f t="shared" ref="BK41" si="8503">$E$41</f>
        <v>312799.37700717105</v>
      </c>
    </row>
    <row r="42" spans="1:6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c r="AI42" s="232">
        <f t="shared" ref="AI42" si="8504">$E$42</f>
        <v>0</v>
      </c>
      <c r="AK42" s="232">
        <f t="shared" ref="AK42" si="8505">$E$42</f>
        <v>0</v>
      </c>
      <c r="AM42" s="232">
        <f t="shared" ref="AM42" si="8506">$E$42</f>
        <v>0</v>
      </c>
      <c r="AO42" s="232">
        <f t="shared" ref="AO42" si="8507">$E$42</f>
        <v>0</v>
      </c>
      <c r="AQ42" s="232">
        <f t="shared" ref="AQ42" si="8508">$E$42</f>
        <v>0</v>
      </c>
      <c r="AS42" s="232">
        <f t="shared" ref="AS42" si="8509">$E$42</f>
        <v>0</v>
      </c>
      <c r="AU42" s="232">
        <f t="shared" ref="AU42" si="8510">$E$42</f>
        <v>0</v>
      </c>
      <c r="AW42" s="232">
        <f t="shared" ref="AW42" si="8511">$E$42</f>
        <v>0</v>
      </c>
      <c r="AY42" s="232">
        <f t="shared" ref="AY42" si="8512">$E$42</f>
        <v>0</v>
      </c>
      <c r="BA42" s="232">
        <f t="shared" ref="BA42" si="8513">$E$42</f>
        <v>0</v>
      </c>
      <c r="BC42" s="232">
        <f t="shared" ref="BC42" si="8514">$E$42</f>
        <v>0</v>
      </c>
      <c r="BE42" s="232">
        <f t="shared" ref="BE42" si="8515">$E$42</f>
        <v>0</v>
      </c>
      <c r="BG42" s="232">
        <f t="shared" ref="BG42" si="8516">$E$42</f>
        <v>0</v>
      </c>
      <c r="BI42" s="232">
        <f t="shared" ref="BI42" si="8517">$E$42</f>
        <v>0</v>
      </c>
      <c r="BK42" s="232">
        <f t="shared" ref="BK42" si="8518">$E$42</f>
        <v>0</v>
      </c>
    </row>
    <row r="43" spans="1:63" s="223" customFormat="1" ht="15">
      <c r="A43" s="223" t="s">
        <v>848</v>
      </c>
      <c r="C43" s="224"/>
      <c r="E43" s="223">
        <f>SUM(E40:E42)</f>
        <v>666340.4231327601</v>
      </c>
      <c r="G43" s="223">
        <f>SUM(G40:G42)</f>
        <v>666340.4231327601</v>
      </c>
      <c r="I43" s="223">
        <f>SUM(I40:I42)</f>
        <v>666340.4231327601</v>
      </c>
      <c r="K43" s="223">
        <f>SUM(K40:K42)</f>
        <v>666340.4231327601</v>
      </c>
      <c r="M43" s="223">
        <f>SUM(M40:M42)</f>
        <v>666340.4231327601</v>
      </c>
      <c r="O43" s="223">
        <f>SUM(O40:O42)</f>
        <v>666340.4231327601</v>
      </c>
      <c r="Q43" s="223">
        <f>SUM(Q40:Q42)</f>
        <v>666340.4231327601</v>
      </c>
      <c r="S43" s="223">
        <f>SUM(S40:S42)</f>
        <v>666340.4231327601</v>
      </c>
      <c r="U43" s="223">
        <f>SUM(U40:U42)</f>
        <v>666340.4231327601</v>
      </c>
      <c r="W43" s="223">
        <f>SUM(W40:W42)</f>
        <v>666340.4231327601</v>
      </c>
      <c r="Y43" s="223">
        <f>SUM(Y40:Y42)</f>
        <v>666340.4231327601</v>
      </c>
      <c r="AA43" s="223">
        <f>SUM(AA40:AA42)</f>
        <v>666340.4231327601</v>
      </c>
      <c r="AC43" s="223">
        <f>SUM(AC40:AC42)</f>
        <v>666340.4231327601</v>
      </c>
      <c r="AE43" s="223">
        <f>SUM(AE40:AE42)</f>
        <v>666340.4231327601</v>
      </c>
      <c r="AG43" s="223">
        <f>SUM(AG40:AG42)</f>
        <v>666340.4231327601</v>
      </c>
      <c r="AI43" s="223">
        <f t="shared" ref="AI43" si="8519">SUM(AI40:AI42)</f>
        <v>666340.4231327601</v>
      </c>
      <c r="AK43" s="223">
        <f t="shared" ref="AK43" si="8520">SUM(AK40:AK42)</f>
        <v>666340.4231327601</v>
      </c>
      <c r="AM43" s="223">
        <f t="shared" ref="AM43" si="8521">SUM(AM40:AM42)</f>
        <v>666340.4231327601</v>
      </c>
      <c r="AO43" s="223">
        <f t="shared" ref="AO43" si="8522">SUM(AO40:AO42)</f>
        <v>666340.4231327601</v>
      </c>
      <c r="AQ43" s="223">
        <f t="shared" ref="AQ43" si="8523">SUM(AQ40:AQ42)</f>
        <v>666340.4231327601</v>
      </c>
      <c r="AS43" s="223">
        <f t="shared" ref="AS43" si="8524">SUM(AS40:AS42)</f>
        <v>666340.4231327601</v>
      </c>
      <c r="AU43" s="223">
        <f t="shared" ref="AU43" si="8525">SUM(AU40:AU42)</f>
        <v>666340.4231327601</v>
      </c>
      <c r="AW43" s="223">
        <f t="shared" ref="AW43" si="8526">SUM(AW40:AW42)</f>
        <v>666340.4231327601</v>
      </c>
      <c r="AY43" s="223">
        <f t="shared" ref="AY43" si="8527">SUM(AY40:AY42)</f>
        <v>666340.4231327601</v>
      </c>
      <c r="BA43" s="223">
        <f t="shared" ref="BA43" si="8528">SUM(BA40:BA42)</f>
        <v>666340.4231327601</v>
      </c>
      <c r="BC43" s="223">
        <f t="shared" ref="BC43" si="8529">SUM(BC40:BC42)</f>
        <v>666340.4231327601</v>
      </c>
      <c r="BE43" s="223">
        <f t="shared" ref="BE43" si="8530">SUM(BE40:BE42)</f>
        <v>666340.4231327601</v>
      </c>
      <c r="BG43" s="223">
        <f t="shared" ref="BG43" si="8531">SUM(BG40:BG42)</f>
        <v>666340.4231327601</v>
      </c>
      <c r="BI43" s="223">
        <f t="shared" ref="BI43" si="8532">SUM(BI40:BI42)</f>
        <v>666340.4231327601</v>
      </c>
      <c r="BK43" s="223">
        <f t="shared" ref="BK43" si="8533">SUM(BK40:BK42)</f>
        <v>666340.4231327601</v>
      </c>
    </row>
    <row r="44" spans="1:6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I44" s="222"/>
      <c r="AK44" s="222"/>
      <c r="AM44" s="222"/>
      <c r="AO44" s="222"/>
      <c r="AQ44" s="222"/>
      <c r="AS44" s="222"/>
      <c r="AU44" s="222"/>
      <c r="AW44" s="222"/>
      <c r="AY44" s="222"/>
      <c r="BA44" s="222"/>
      <c r="BC44" s="222"/>
      <c r="BE44" s="222"/>
      <c r="BG44" s="222"/>
      <c r="BI44" s="222"/>
      <c r="BK44" s="222"/>
    </row>
    <row r="45" spans="1:63" s="223" customFormat="1" ht="15">
      <c r="A45" s="223" t="s">
        <v>849</v>
      </c>
      <c r="C45" s="224"/>
      <c r="E45" s="223">
        <f>E37-E43</f>
        <v>99998.536867239629</v>
      </c>
      <c r="G45" s="223">
        <f>G37-G43</f>
        <v>118157.3108672396</v>
      </c>
      <c r="I45" s="223">
        <f>I37-I43</f>
        <v>136632.06421723962</v>
      </c>
      <c r="K45" s="223">
        <f>K37-K43</f>
        <v>155425.86232598941</v>
      </c>
      <c r="M45" s="223">
        <f>M37-M43</f>
        <v>174541.67795633303</v>
      </c>
      <c r="O45" s="223">
        <f>O37-O43</f>
        <v>193982.38298245077</v>
      </c>
      <c r="Q45" s="223">
        <f>Q37-Q43</f>
        <v>213750.73973356746</v>
      </c>
      <c r="S45" s="223">
        <f>S37-S43</f>
        <v>233849.39190652245</v>
      </c>
      <c r="U45" s="223">
        <f>U37-U43</f>
        <v>254280.85502891149</v>
      </c>
      <c r="W45" s="223">
        <f>W37-W43</f>
        <v>275047.50645378046</v>
      </c>
      <c r="Y45" s="223">
        <f>Y37-Y43</f>
        <v>296151.57486611186</v>
      </c>
      <c r="AA45" s="223">
        <f>AA37-AA43</f>
        <v>317595.12928056449</v>
      </c>
      <c r="AC45" s="223">
        <f>AC37-AC43</f>
        <v>339380.06750911998</v>
      </c>
      <c r="AE45" s="223">
        <f>AE37-AE43</f>
        <v>361508.10407646128</v>
      </c>
      <c r="AG45" s="223">
        <f>AG37-AG43</f>
        <v>383980.75756003417</v>
      </c>
      <c r="AI45" s="223">
        <f t="shared" ref="AI45" si="8534">AI37-AI43</f>
        <v>406799.3373308467</v>
      </c>
      <c r="AK45" s="223">
        <f t="shared" ref="AK45" si="8535">AK37-AK43</f>
        <v>429964.92967012513</v>
      </c>
      <c r="AM45" s="223">
        <f t="shared" ref="AM45" si="8536">AM37-AM43</f>
        <v>453478.38323598483</v>
      </c>
      <c r="AO45" s="223">
        <f t="shared" ref="AO45" si="8537">AO37-AO43</f>
        <v>477340.29385325674</v>
      </c>
      <c r="AQ45" s="223">
        <f t="shared" ref="AQ45" si="8538">AQ37-AQ43</f>
        <v>501550.98859857779</v>
      </c>
      <c r="AS45" s="223">
        <f t="shared" ref="AS45" si="8539">AS37-AS43</f>
        <v>526110.50915177295</v>
      </c>
      <c r="AU45" s="223">
        <f t="shared" ref="AU45" si="8540">AU37-AU43</f>
        <v>551018.5943834231</v>
      </c>
      <c r="AW45" s="223">
        <f t="shared" ref="AW45" si="8541">AW37-AW43</f>
        <v>576274.66214736283</v>
      </c>
      <c r="AY45" s="223">
        <f t="shared" ref="AY45" si="8542">AY37-AY43</f>
        <v>601877.79024563299</v>
      </c>
      <c r="BA45" s="223">
        <f t="shared" ref="BA45" si="8543">BA37-BA43</f>
        <v>627826.69653217623</v>
      </c>
      <c r="BC45" s="223">
        <f t="shared" ref="BC45" si="8544">BC37-BC43</f>
        <v>654119.71812024491</v>
      </c>
      <c r="BE45" s="223">
        <f t="shared" ref="BE45" si="8545">BE37-BE43</f>
        <v>680754.78965714888</v>
      </c>
      <c r="BG45" s="223">
        <f t="shared" ref="BG45" si="8546">BG37-BG43</f>
        <v>707729.42062859482</v>
      </c>
      <c r="BI45" s="223">
        <f t="shared" ref="BI45" si="8547">BI37-BI43</f>
        <v>735040.67165337887</v>
      </c>
      <c r="BK45" s="223">
        <f t="shared" ref="BK45" si="8548">BK37-BK43</f>
        <v>762685.12972772529</v>
      </c>
    </row>
    <row r="46" spans="1:6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c r="AI46" s="222"/>
      <c r="AK46" s="222"/>
      <c r="AM46" s="222"/>
      <c r="AO46" s="222"/>
      <c r="AQ46" s="222"/>
      <c r="AS46" s="222"/>
      <c r="AU46" s="222"/>
      <c r="AW46" s="222"/>
      <c r="AY46" s="222"/>
      <c r="BA46" s="222"/>
      <c r="BC46" s="222"/>
      <c r="BE46" s="222"/>
      <c r="BG46" s="222"/>
      <c r="BI46" s="222"/>
      <c r="BK46" s="222"/>
    </row>
    <row r="47" spans="1:63" s="227" customFormat="1" ht="14.25">
      <c r="A47" s="227" t="s">
        <v>851</v>
      </c>
      <c r="C47" s="220"/>
      <c r="E47" s="227">
        <f>E45/(E4+E6+E8)</f>
        <v>7.4110495672505994E-2</v>
      </c>
      <c r="G47" s="227">
        <f>G45/(G4+G6+G8)</f>
        <v>8.5432439021237525E-2</v>
      </c>
      <c r="I47" s="227">
        <f>I45/(I4+I6+I8)</f>
        <v>9.6380898617359531E-2</v>
      </c>
      <c r="K47" s="227">
        <f>K45/(K4+K6+K8)</f>
        <v>0.10696403112864807</v>
      </c>
      <c r="M47" s="227">
        <f>M45/(M4+M6+M8)</f>
        <v>0.11718978500006164</v>
      </c>
      <c r="O47" s="227">
        <f>O45/(O4+O6+O8)</f>
        <v>0.12706590544173957</v>
      </c>
      <c r="Q47" s="227">
        <f>Q45/(Q4+Q6+Q8)</f>
        <v>0.13659993929445985</v>
      </c>
      <c r="S47" s="227">
        <f>S45/(S4+S6+S8)</f>
        <v>0.1457992397755333</v>
      </c>
      <c r="U47" s="227">
        <f>U45/(U4+U6+U8)</f>
        <v>0.15467097110804534</v>
      </c>
      <c r="W47" s="227">
        <f>W45/(W4+W6+W8)</f>
        <v>0.16322211303627771</v>
      </c>
      <c r="Y47" s="227">
        <f>Y45/(Y4+Y6+Y8)</f>
        <v>0.17145946523008071</v>
      </c>
      <c r="AA47" s="227">
        <f>AA45/(AA4+AA6+AA8)</f>
        <v>0.17938965158089387</v>
      </c>
      <c r="AC47" s="227">
        <f>AC45/(AC4+AC6+AC8)</f>
        <v>0.18701912439204821</v>
      </c>
      <c r="AE47" s="227">
        <f>AE45/(AE4+AE6+AE8)</f>
        <v>0.19435416846592099</v>
      </c>
      <c r="AG47" s="227">
        <f>AG45/(AG4+AG6+AG8)</f>
        <v>0.20140090509044906</v>
      </c>
      <c r="AI47" s="227">
        <f t="shared" ref="AI47" si="8549">AI45/(AI4+AI6+AI8)</f>
        <v>0.20816529592744545</v>
      </c>
      <c r="AK47" s="227">
        <f t="shared" ref="AK47" si="8550">AK45/(AK4+AK6+AK8)</f>
        <v>0.21465314680510447</v>
      </c>
      <c r="AM47" s="227">
        <f t="shared" ref="AM47" si="8551">AM45/(AM4+AM6+AM8)</f>
        <v>0.22087011141702514</v>
      </c>
      <c r="AO47" s="227">
        <f t="shared" ref="AO47" si="8552">AO45/(AO4+AO6+AO8)</f>
        <v>0.22682169493002072</v>
      </c>
      <c r="AQ47" s="227">
        <f t="shared" ref="AQ47" si="8553">AQ45/(AQ4+AQ6+AQ8)</f>
        <v>0.23251325750292939</v>
      </c>
      <c r="AS47" s="227">
        <f t="shared" ref="AS47" si="8554">AS45/(AS4+AS6+AS8)</f>
        <v>0.23795001771859073</v>
      </c>
      <c r="AU47" s="227">
        <f t="shared" ref="AU47" si="8555">AU45/(AU4+AU6+AU8)</f>
        <v>0.24313705593109078</v>
      </c>
      <c r="AW47" s="227">
        <f t="shared" ref="AW47" si="8556">AW45/(AW4+AW6+AW8)</f>
        <v>0.24807931753033607</v>
      </c>
      <c r="AY47" s="227">
        <f t="shared" ref="AY47" si="8557">AY45/(AY4+AY6+AY8)</f>
        <v>0.25278161612596028</v>
      </c>
      <c r="BA47" s="227">
        <f t="shared" ref="BA47" si="8558">BA45/(BA4+BA6+BA8)</f>
        <v>0.25724863665252462</v>
      </c>
      <c r="BC47" s="227">
        <f t="shared" ref="BC47" si="8559">BC45/(BC4+BC6+BC8)</f>
        <v>0.26148493839791825</v>
      </c>
      <c r="BE47" s="227">
        <f t="shared" ref="BE47" si="8560">BE45/(BE4+BE6+BE8)</f>
        <v>0.26549495795681921</v>
      </c>
      <c r="BG47" s="227">
        <f t="shared" ref="BG47" si="8561">BG45/(BG4+BG6+BG8)</f>
        <v>0.26928301211104139</v>
      </c>
      <c r="BI47" s="227">
        <f t="shared" ref="BI47" si="8562">BI45/(BI4+BI6+BI8)</f>
        <v>0.27285330063853069</v>
      </c>
      <c r="BK47" s="227">
        <f t="shared" ref="BK47" si="8563">BK45/(BK4+BK6+BK8)</f>
        <v>0.27620990905274667</v>
      </c>
    </row>
    <row r="48" spans="1:63" s="227" customFormat="1" ht="14.25">
      <c r="A48" s="227" t="s">
        <v>852</v>
      </c>
      <c r="C48" s="220"/>
      <c r="E48" s="227">
        <f>E45/E43</f>
        <v>0.1500712449608001</v>
      </c>
      <c r="G48" s="227">
        <f>G45/G43</f>
        <v>0.17732274189779751</v>
      </c>
      <c r="I48" s="227">
        <f>I45/I43</f>
        <v>0.20504843991735042</v>
      </c>
      <c r="K48" s="227">
        <f>K45/K43</f>
        <v>0.23325293938384212</v>
      </c>
      <c r="M48" s="227">
        <f>M45/M43</f>
        <v>0.26194070162475758</v>
      </c>
      <c r="O48" s="227">
        <f>O45/O43</f>
        <v>0.29111603656049273</v>
      </c>
      <c r="Q48" s="227">
        <f>Q45/Q43</f>
        <v>0.32078308971355962</v>
      </c>
      <c r="S48" s="227">
        <f>S45/S43</f>
        <v>0.35094582857076773</v>
      </c>
      <c r="U48" s="227">
        <f>U45/U43</f>
        <v>0.3816080282709326</v>
      </c>
      <c r="W48" s="227">
        <f>W45/W43</f>
        <v>0.41277325658956854</v>
      </c>
      <c r="Y48" s="227">
        <f>Y45/Y43</f>
        <v>0.44444485819091201</v>
      </c>
      <c r="AA48" s="227">
        <f>AA45/AA43</f>
        <v>0.47662593811645071</v>
      </c>
      <c r="AC48" s="227">
        <f>AC45/AC43</f>
        <v>0.50931934447792415</v>
      </c>
      <c r="AE48" s="227">
        <f>AE45/AE43</f>
        <v>0.54252765032151629</v>
      </c>
      <c r="AG48" s="227">
        <f>AG45/AG43</f>
        <v>0.57625313462865024</v>
      </c>
      <c r="AI48" s="227">
        <f t="shared" ref="AI48" si="8564">AI45/AI43</f>
        <v>0.61049776241744969</v>
      </c>
      <c r="AK48" s="227">
        <f t="shared" ref="AK48" si="8565">AK45/AK43</f>
        <v>0.64526316390752703</v>
      </c>
      <c r="AM48" s="227">
        <f t="shared" ref="AM48" si="8566">AM45/AM43</f>
        <v>0.68055061270931605</v>
      </c>
      <c r="AO48" s="227">
        <f t="shared" ref="AO48" si="8567">AO45/AO43</f>
        <v>0.71636100299764127</v>
      </c>
      <c r="AQ48" s="227">
        <f t="shared" ref="AQ48" si="8568">AQ45/AQ43</f>
        <v>0.75269482562766565</v>
      </c>
      <c r="AS48" s="227">
        <f t="shared" ref="AS48" si="8569">AS45/AS43</f>
        <v>0.78955214314973643</v>
      </c>
      <c r="AU48" s="227">
        <f t="shared" ref="AU48" si="8570">AU45/AU43</f>
        <v>0.82693256367794976</v>
      </c>
      <c r="AW48" s="227">
        <f t="shared" ref="AW48" si="8571">AW45/AW43</f>
        <v>0.86483521356552495</v>
      </c>
      <c r="AY48" s="227">
        <f t="shared" ref="AY48" si="8572">AY45/AY43</f>
        <v>0.90325870883825443</v>
      </c>
      <c r="BA48" s="227">
        <f t="shared" ref="BA48" si="8573">BA45/BA43</f>
        <v>0.94220112533543465</v>
      </c>
      <c r="BC48" s="227">
        <f t="shared" ref="BC48" si="8574">BC45/BC43</f>
        <v>0.98165996750570783</v>
      </c>
      <c r="BE48" s="227">
        <f t="shared" ref="BE48" si="8575">BE45/BE43</f>
        <v>1.0216321358032288</v>
      </c>
      <c r="BG48" s="227">
        <f t="shared" ref="BG48" si="8576">BG45/BG43</f>
        <v>1.0621138926275053</v>
      </c>
      <c r="BI48" s="227">
        <f t="shared" ref="BI48" si="8577">BI45/BI43</f>
        <v>1.1031008267480287</v>
      </c>
      <c r="BK48" s="227">
        <f t="shared" ref="BK48" si="8578">BK45/BK43</f>
        <v>1.1445878161526</v>
      </c>
    </row>
    <row r="49" spans="1:64" s="228" customFormat="1" ht="14.25">
      <c r="A49" s="228" t="s">
        <v>850</v>
      </c>
      <c r="C49" s="229"/>
      <c r="E49" s="228">
        <f>E37/E43</f>
        <v>1.1500712449608002</v>
      </c>
      <c r="G49" s="228">
        <f>G37/G43</f>
        <v>1.1773227418977976</v>
      </c>
      <c r="I49" s="228">
        <f>I37/I43</f>
        <v>1.2050484399173504</v>
      </c>
      <c r="K49" s="228">
        <f>K37/K43</f>
        <v>1.2332529393838421</v>
      </c>
      <c r="M49" s="228">
        <f>M37/M43</f>
        <v>1.2619407016247577</v>
      </c>
      <c r="O49" s="228">
        <f>O37/O43</f>
        <v>1.2911160365604928</v>
      </c>
      <c r="Q49" s="228">
        <f>Q37/Q43</f>
        <v>1.3207830897135595</v>
      </c>
      <c r="S49" s="228">
        <f>S37/S43</f>
        <v>1.3509458285707676</v>
      </c>
      <c r="U49" s="228">
        <f>U37/U43</f>
        <v>1.3816080282709327</v>
      </c>
      <c r="W49" s="228">
        <f>W37/W43</f>
        <v>1.4127732565895685</v>
      </c>
      <c r="Y49" s="228">
        <f>Y37/Y43</f>
        <v>1.444444858190912</v>
      </c>
      <c r="AA49" s="228">
        <f>AA37/AA43</f>
        <v>1.4766259381164506</v>
      </c>
      <c r="AC49" s="228">
        <f>AC37/AC43</f>
        <v>1.509319344477924</v>
      </c>
      <c r="AE49" s="228">
        <f>AE37/AE43</f>
        <v>1.5425276503215164</v>
      </c>
      <c r="AG49" s="228">
        <f>AG37/AG43</f>
        <v>1.5762531346286501</v>
      </c>
      <c r="AI49" s="228">
        <f t="shared" ref="AI49" si="8579">AI37/AI43</f>
        <v>1.6104977624174497</v>
      </c>
      <c r="AK49" s="228">
        <f t="shared" ref="AK49" si="8580">AK37/AK43</f>
        <v>1.645263163907527</v>
      </c>
      <c r="AM49" s="228">
        <f t="shared" ref="AM49" si="8581">AM37/AM43</f>
        <v>1.6805506127093162</v>
      </c>
      <c r="AO49" s="228">
        <f t="shared" ref="AO49" si="8582">AO37/AO43</f>
        <v>1.7163610029976413</v>
      </c>
      <c r="AQ49" s="228">
        <f t="shared" ref="AQ49" si="8583">AQ37/AQ43</f>
        <v>1.7526948256276655</v>
      </c>
      <c r="AS49" s="228">
        <f t="shared" ref="AS49" si="8584">AS37/AS43</f>
        <v>1.7895521431497363</v>
      </c>
      <c r="AU49" s="228">
        <f t="shared" ref="AU49" si="8585">AU37/AU43</f>
        <v>1.8269325636779497</v>
      </c>
      <c r="AW49" s="228">
        <f t="shared" ref="AW49" si="8586">AW37/AW43</f>
        <v>1.8648352135655248</v>
      </c>
      <c r="AY49" s="228">
        <f t="shared" ref="AY49" si="8587">AY37/AY43</f>
        <v>1.9032587088382544</v>
      </c>
      <c r="BA49" s="228">
        <f t="shared" ref="BA49" si="8588">BA37/BA43</f>
        <v>1.9422011253354345</v>
      </c>
      <c r="BC49" s="228">
        <f t="shared" ref="BC49" si="8589">BC37/BC43</f>
        <v>1.9816599675057078</v>
      </c>
      <c r="BE49" s="228">
        <f t="shared" ref="BE49" si="8590">BE37/BE43</f>
        <v>2.021632135803229</v>
      </c>
      <c r="BG49" s="228">
        <f t="shared" ref="BG49" si="8591">BG37/BG43</f>
        <v>2.0621138926275053</v>
      </c>
      <c r="BI49" s="228">
        <f t="shared" ref="BI49" si="8592">BI37/BI43</f>
        <v>2.1031008267480287</v>
      </c>
      <c r="BK49" s="228">
        <f t="shared" ref="BK49" si="8593">BK37/BK43</f>
        <v>2.1445878161525997</v>
      </c>
    </row>
    <row r="50" spans="1:6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c r="AI50" s="232"/>
      <c r="AK50" s="232"/>
      <c r="AM50" s="232"/>
      <c r="AO50" s="232"/>
      <c r="AQ50" s="232"/>
      <c r="AS50" s="232"/>
      <c r="AU50" s="232"/>
      <c r="AW50" s="232"/>
      <c r="AY50" s="232"/>
      <c r="BA50" s="232"/>
      <c r="BC50" s="232"/>
      <c r="BE50" s="232"/>
      <c r="BG50" s="232"/>
      <c r="BI50" s="232"/>
      <c r="BK50" s="232"/>
    </row>
    <row r="51" spans="1:6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c r="AI51" s="956"/>
      <c r="AK51" s="956"/>
      <c r="AM51" s="956"/>
      <c r="AO51" s="956"/>
      <c r="AQ51" s="956"/>
      <c r="AS51" s="956"/>
      <c r="AU51" s="956"/>
      <c r="AW51" s="956"/>
      <c r="AY51" s="956"/>
      <c r="BA51" s="956"/>
      <c r="BC51" s="956"/>
      <c r="BE51" s="956"/>
      <c r="BG51" s="956"/>
      <c r="BI51" s="956"/>
      <c r="BK51" s="956"/>
    </row>
    <row r="52" spans="1:64" s="3" customFormat="1">
      <c r="A52" s="2685" t="s">
        <v>2749</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c r="AI52" s="956"/>
      <c r="AK52" s="956"/>
      <c r="AM52" s="956"/>
      <c r="AO52" s="956"/>
      <c r="AQ52" s="956"/>
      <c r="AS52" s="956"/>
      <c r="AU52" s="956"/>
      <c r="AW52" s="956"/>
      <c r="AY52" s="956"/>
      <c r="BA52" s="956"/>
      <c r="BC52" s="956"/>
      <c r="BE52" s="956"/>
      <c r="BG52" s="956"/>
      <c r="BI52" s="956"/>
      <c r="BK52" s="956"/>
    </row>
    <row r="53" spans="1:64" s="958" customFormat="1">
      <c r="A53" s="958" t="s">
        <v>854</v>
      </c>
      <c r="C53" s="959">
        <v>1.03</v>
      </c>
      <c r="E53" s="960">
        <v>15000</v>
      </c>
      <c r="G53" s="956">
        <f>E53*$C$53</f>
        <v>15450</v>
      </c>
      <c r="I53" s="956">
        <f>G53*$C$53</f>
        <v>15913.5</v>
      </c>
      <c r="K53" s="956">
        <f>I53*$C$53</f>
        <v>16390.904999999999</v>
      </c>
      <c r="M53" s="956">
        <f>K53*$C$53</f>
        <v>16882.632149999998</v>
      </c>
      <c r="O53" s="956">
        <f>M53*$C$53</f>
        <v>17389.1111145</v>
      </c>
      <c r="Q53" s="956">
        <f>O53*$C$53</f>
        <v>17910.784447934999</v>
      </c>
      <c r="S53" s="956">
        <f>Q53*$C$53</f>
        <v>18448.10798137305</v>
      </c>
      <c r="U53" s="956">
        <f>S53*$C$53</f>
        <v>19001.551220814243</v>
      </c>
      <c r="W53" s="956">
        <f>U53*$C$53</f>
        <v>19571.597757438671</v>
      </c>
      <c r="Y53" s="956">
        <f>W53*$C$53</f>
        <v>20158.745690161832</v>
      </c>
      <c r="AA53" s="956">
        <f>Y53*$C$53</f>
        <v>20763.508060866687</v>
      </c>
      <c r="AC53" s="956">
        <f>AA53*$C$53</f>
        <v>21386.413302692687</v>
      </c>
      <c r="AE53" s="956">
        <f>AC53*$C$53</f>
        <v>22028.005701773469</v>
      </c>
      <c r="AG53" s="956">
        <f>AE53*$C$53</f>
        <v>22688.845872826674</v>
      </c>
      <c r="AI53" s="956">
        <f t="shared" ref="AI53:AI57" si="8594">AG53*$C$53</f>
        <v>23369.511249011473</v>
      </c>
      <c r="AK53" s="956">
        <f t="shared" ref="AK53:AK57" si="8595">AI53*$C$53</f>
        <v>24070.596586481817</v>
      </c>
      <c r="AM53" s="956">
        <f t="shared" ref="AM53:AM57" si="8596">AK53*$C$53</f>
        <v>24792.714484076274</v>
      </c>
      <c r="AO53" s="956">
        <f t="shared" ref="AO53:AO57" si="8597">AM53*$C$53</f>
        <v>25536.495918598564</v>
      </c>
      <c r="AQ53" s="956">
        <f t="shared" ref="AQ53:AQ57" si="8598">AO53*$C$53</f>
        <v>26302.590796156521</v>
      </c>
      <c r="AS53" s="956">
        <f t="shared" ref="AS53:AS57" si="8599">AQ53*$C$53</f>
        <v>27091.668520041218</v>
      </c>
      <c r="AU53" s="956">
        <f t="shared" ref="AU53:AU57" si="8600">AS53*$C$53</f>
        <v>27904.418575642456</v>
      </c>
      <c r="AW53" s="956">
        <f t="shared" ref="AW53:AW57" si="8601">AU53*$C$53</f>
        <v>28741.551132911729</v>
      </c>
      <c r="AY53" s="956">
        <f t="shared" ref="AY53:AY57" si="8602">AW53*$C$53</f>
        <v>29603.797666899081</v>
      </c>
      <c r="BA53" s="956">
        <f t="shared" ref="BA53:BA57" si="8603">AY53*$C$53</f>
        <v>30491.911596906055</v>
      </c>
      <c r="BC53" s="956">
        <f t="shared" ref="BC53:BC57" si="8604">BA53*$C$53</f>
        <v>31406.668944813238</v>
      </c>
      <c r="BE53" s="956">
        <f t="shared" ref="BE53:BE57" si="8605">BC53*$C$53</f>
        <v>32348.869013157637</v>
      </c>
      <c r="BG53" s="956">
        <f t="shared" ref="BG53:BG57" si="8606">BE53*$C$53</f>
        <v>33319.335083552367</v>
      </c>
      <c r="BI53" s="956">
        <f t="shared" ref="BI53:BI57" si="8607">BG53*$C$53</f>
        <v>34318.915136058939</v>
      </c>
      <c r="BK53" s="956">
        <f t="shared" ref="BK53:BK57" si="8608">BI53*$C$53</f>
        <v>35348.482590140709</v>
      </c>
    </row>
    <row r="54" spans="1:64" s="3" customFormat="1">
      <c r="A54" s="3" t="s">
        <v>855</v>
      </c>
      <c r="C54" s="954"/>
      <c r="E54" s="961">
        <v>10000</v>
      </c>
      <c r="F54" s="956"/>
      <c r="G54" s="956">
        <f t="shared" ref="G54:AG57" si="8609">E54*$C$53</f>
        <v>10300</v>
      </c>
      <c r="H54" s="956"/>
      <c r="I54" s="956">
        <f t="shared" si="8609"/>
        <v>10609</v>
      </c>
      <c r="J54" s="956"/>
      <c r="K54" s="956">
        <f t="shared" si="8609"/>
        <v>10927.27</v>
      </c>
      <c r="L54" s="956"/>
      <c r="M54" s="956">
        <f t="shared" si="8609"/>
        <v>11255.088100000001</v>
      </c>
      <c r="N54" s="956"/>
      <c r="O54" s="956">
        <f t="shared" si="8609"/>
        <v>11592.740743</v>
      </c>
      <c r="P54" s="956"/>
      <c r="Q54" s="956">
        <f t="shared" si="8609"/>
        <v>11940.52296529</v>
      </c>
      <c r="R54" s="956"/>
      <c r="S54" s="956">
        <f t="shared" si="8609"/>
        <v>12298.7386542487</v>
      </c>
      <c r="T54" s="956"/>
      <c r="U54" s="956">
        <f t="shared" si="8609"/>
        <v>12667.700813876161</v>
      </c>
      <c r="V54" s="956"/>
      <c r="W54" s="956">
        <f t="shared" si="8609"/>
        <v>13047.731838292446</v>
      </c>
      <c r="X54" s="956"/>
      <c r="Y54" s="956">
        <f t="shared" si="8609"/>
        <v>13439.163793441219</v>
      </c>
      <c r="Z54" s="956"/>
      <c r="AA54" s="956">
        <f t="shared" si="8609"/>
        <v>13842.338707244457</v>
      </c>
      <c r="AB54" s="956"/>
      <c r="AC54" s="956">
        <f t="shared" si="8609"/>
        <v>14257.60886846179</v>
      </c>
      <c r="AD54" s="956"/>
      <c r="AE54" s="956">
        <f t="shared" si="8609"/>
        <v>14685.337134515645</v>
      </c>
      <c r="AF54" s="956"/>
      <c r="AG54" s="956">
        <f t="shared" si="8609"/>
        <v>15125.897248551115</v>
      </c>
      <c r="AH54" s="956"/>
      <c r="AI54" s="956">
        <f t="shared" si="8594"/>
        <v>15579.67416600765</v>
      </c>
      <c r="AJ54" s="956"/>
      <c r="AK54" s="956">
        <f t="shared" si="8595"/>
        <v>16047.06439098788</v>
      </c>
      <c r="AL54" s="956"/>
      <c r="AM54" s="956">
        <f t="shared" si="8596"/>
        <v>16528.476322717517</v>
      </c>
      <c r="AN54" s="956"/>
      <c r="AO54" s="956">
        <f t="shared" si="8597"/>
        <v>17024.330612399044</v>
      </c>
      <c r="AP54" s="956"/>
      <c r="AQ54" s="956">
        <f t="shared" si="8598"/>
        <v>17535.060530771018</v>
      </c>
      <c r="AR54" s="956"/>
      <c r="AS54" s="956">
        <f t="shared" si="8599"/>
        <v>18061.11234669415</v>
      </c>
      <c r="AT54" s="956"/>
      <c r="AU54" s="956">
        <f t="shared" si="8600"/>
        <v>18602.945717094975</v>
      </c>
      <c r="AV54" s="956"/>
      <c r="AW54" s="956">
        <f t="shared" si="8601"/>
        <v>19161.034088607827</v>
      </c>
      <c r="AX54" s="956"/>
      <c r="AY54" s="956">
        <f t="shared" si="8602"/>
        <v>19735.865111266063</v>
      </c>
      <c r="AZ54" s="956"/>
      <c r="BA54" s="956">
        <f t="shared" si="8603"/>
        <v>20327.941064604045</v>
      </c>
      <c r="BB54" s="956"/>
      <c r="BC54" s="956">
        <f t="shared" si="8604"/>
        <v>20937.779296542169</v>
      </c>
      <c r="BD54" s="956"/>
      <c r="BE54" s="956">
        <f t="shared" si="8605"/>
        <v>21565.912675438434</v>
      </c>
      <c r="BF54" s="956"/>
      <c r="BG54" s="956">
        <f t="shared" si="8606"/>
        <v>22212.890055701588</v>
      </c>
      <c r="BH54" s="956"/>
      <c r="BI54" s="956">
        <f t="shared" si="8607"/>
        <v>22879.276757372634</v>
      </c>
      <c r="BJ54" s="956"/>
      <c r="BK54" s="956">
        <f t="shared" si="8608"/>
        <v>23565.655060093814</v>
      </c>
      <c r="BL54" s="956"/>
    </row>
    <row r="55" spans="1:64" s="3" customFormat="1">
      <c r="A55" s="3" t="s">
        <v>856</v>
      </c>
      <c r="C55" s="954"/>
      <c r="E55" s="961"/>
      <c r="F55" s="956"/>
      <c r="G55" s="956">
        <f t="shared" si="8609"/>
        <v>0</v>
      </c>
      <c r="H55" s="956"/>
      <c r="I55" s="956">
        <f t="shared" si="8609"/>
        <v>0</v>
      </c>
      <c r="J55" s="956"/>
      <c r="K55" s="956">
        <f t="shared" si="8609"/>
        <v>0</v>
      </c>
      <c r="L55" s="956"/>
      <c r="M55" s="956">
        <f t="shared" si="8609"/>
        <v>0</v>
      </c>
      <c r="N55" s="956"/>
      <c r="O55" s="956">
        <f t="shared" si="8609"/>
        <v>0</v>
      </c>
      <c r="P55" s="956"/>
      <c r="Q55" s="956">
        <f t="shared" si="8609"/>
        <v>0</v>
      </c>
      <c r="R55" s="956"/>
      <c r="S55" s="956">
        <f t="shared" si="8609"/>
        <v>0</v>
      </c>
      <c r="T55" s="956"/>
      <c r="U55" s="956">
        <f t="shared" si="8609"/>
        <v>0</v>
      </c>
      <c r="V55" s="956"/>
      <c r="W55" s="956">
        <f t="shared" si="8609"/>
        <v>0</v>
      </c>
      <c r="X55" s="956"/>
      <c r="Y55" s="956">
        <f t="shared" si="8609"/>
        <v>0</v>
      </c>
      <c r="Z55" s="956"/>
      <c r="AA55" s="956">
        <f t="shared" si="8609"/>
        <v>0</v>
      </c>
      <c r="AB55" s="956"/>
      <c r="AC55" s="956">
        <f t="shared" si="8609"/>
        <v>0</v>
      </c>
      <c r="AD55" s="956"/>
      <c r="AE55" s="956">
        <f t="shared" si="8609"/>
        <v>0</v>
      </c>
      <c r="AF55" s="956"/>
      <c r="AG55" s="956">
        <f t="shared" si="8609"/>
        <v>0</v>
      </c>
      <c r="AH55" s="956"/>
      <c r="AI55" s="956">
        <f t="shared" si="8594"/>
        <v>0</v>
      </c>
      <c r="AJ55" s="956"/>
      <c r="AK55" s="956">
        <f t="shared" si="8595"/>
        <v>0</v>
      </c>
      <c r="AL55" s="956"/>
      <c r="AM55" s="956">
        <f t="shared" si="8596"/>
        <v>0</v>
      </c>
      <c r="AN55" s="956"/>
      <c r="AO55" s="956">
        <f t="shared" si="8597"/>
        <v>0</v>
      </c>
      <c r="AP55" s="956"/>
      <c r="AQ55" s="956">
        <f t="shared" si="8598"/>
        <v>0</v>
      </c>
      <c r="AR55" s="956"/>
      <c r="AS55" s="956">
        <f t="shared" si="8599"/>
        <v>0</v>
      </c>
      <c r="AT55" s="956"/>
      <c r="AU55" s="956">
        <f t="shared" si="8600"/>
        <v>0</v>
      </c>
      <c r="AV55" s="956"/>
      <c r="AW55" s="956">
        <f t="shared" si="8601"/>
        <v>0</v>
      </c>
      <c r="AX55" s="956"/>
      <c r="AY55" s="956">
        <f t="shared" si="8602"/>
        <v>0</v>
      </c>
      <c r="AZ55" s="956"/>
      <c r="BA55" s="956">
        <f t="shared" si="8603"/>
        <v>0</v>
      </c>
      <c r="BB55" s="956"/>
      <c r="BC55" s="956">
        <f t="shared" si="8604"/>
        <v>0</v>
      </c>
      <c r="BD55" s="956"/>
      <c r="BE55" s="956">
        <f t="shared" si="8605"/>
        <v>0</v>
      </c>
      <c r="BF55" s="956"/>
      <c r="BG55" s="956">
        <f t="shared" si="8606"/>
        <v>0</v>
      </c>
      <c r="BH55" s="956"/>
      <c r="BI55" s="956">
        <f t="shared" si="8607"/>
        <v>0</v>
      </c>
      <c r="BJ55" s="956"/>
      <c r="BK55" s="956">
        <f t="shared" si="8608"/>
        <v>0</v>
      </c>
      <c r="BL55" s="956"/>
    </row>
    <row r="56" spans="1:64" s="3" customFormat="1">
      <c r="A56" s="962"/>
      <c r="B56" s="962"/>
      <c r="C56" s="954"/>
      <c r="E56" s="961"/>
      <c r="F56" s="956"/>
      <c r="G56" s="956">
        <f t="shared" si="8609"/>
        <v>0</v>
      </c>
      <c r="H56" s="956"/>
      <c r="I56" s="956">
        <f t="shared" si="8609"/>
        <v>0</v>
      </c>
      <c r="J56" s="956"/>
      <c r="K56" s="956">
        <f t="shared" si="8609"/>
        <v>0</v>
      </c>
      <c r="L56" s="956"/>
      <c r="M56" s="956">
        <f t="shared" si="8609"/>
        <v>0</v>
      </c>
      <c r="N56" s="956"/>
      <c r="O56" s="956">
        <f t="shared" si="8609"/>
        <v>0</v>
      </c>
      <c r="P56" s="956"/>
      <c r="Q56" s="956">
        <f t="shared" si="8609"/>
        <v>0</v>
      </c>
      <c r="R56" s="956"/>
      <c r="S56" s="956">
        <f t="shared" si="8609"/>
        <v>0</v>
      </c>
      <c r="T56" s="956"/>
      <c r="U56" s="956">
        <f t="shared" si="8609"/>
        <v>0</v>
      </c>
      <c r="V56" s="956"/>
      <c r="W56" s="956">
        <f t="shared" si="8609"/>
        <v>0</v>
      </c>
      <c r="X56" s="956"/>
      <c r="Y56" s="956">
        <f t="shared" si="8609"/>
        <v>0</v>
      </c>
      <c r="Z56" s="956"/>
      <c r="AA56" s="956">
        <f t="shared" si="8609"/>
        <v>0</v>
      </c>
      <c r="AB56" s="956"/>
      <c r="AC56" s="956">
        <f t="shared" si="8609"/>
        <v>0</v>
      </c>
      <c r="AD56" s="956"/>
      <c r="AE56" s="956">
        <f t="shared" si="8609"/>
        <v>0</v>
      </c>
      <c r="AF56" s="956"/>
      <c r="AG56" s="956">
        <f t="shared" si="8609"/>
        <v>0</v>
      </c>
      <c r="AH56" s="956"/>
      <c r="AI56" s="956">
        <f t="shared" si="8594"/>
        <v>0</v>
      </c>
      <c r="AJ56" s="956"/>
      <c r="AK56" s="956">
        <f t="shared" si="8595"/>
        <v>0</v>
      </c>
      <c r="AL56" s="956"/>
      <c r="AM56" s="956">
        <f t="shared" si="8596"/>
        <v>0</v>
      </c>
      <c r="AN56" s="956"/>
      <c r="AO56" s="956">
        <f t="shared" si="8597"/>
        <v>0</v>
      </c>
      <c r="AP56" s="956"/>
      <c r="AQ56" s="956">
        <f t="shared" si="8598"/>
        <v>0</v>
      </c>
      <c r="AR56" s="956"/>
      <c r="AS56" s="956">
        <f t="shared" si="8599"/>
        <v>0</v>
      </c>
      <c r="AT56" s="956"/>
      <c r="AU56" s="956">
        <f t="shared" si="8600"/>
        <v>0</v>
      </c>
      <c r="AV56" s="956"/>
      <c r="AW56" s="956">
        <f t="shared" si="8601"/>
        <v>0</v>
      </c>
      <c r="AX56" s="956"/>
      <c r="AY56" s="956">
        <f t="shared" si="8602"/>
        <v>0</v>
      </c>
      <c r="AZ56" s="956"/>
      <c r="BA56" s="956">
        <f t="shared" si="8603"/>
        <v>0</v>
      </c>
      <c r="BB56" s="956"/>
      <c r="BC56" s="956">
        <f t="shared" si="8604"/>
        <v>0</v>
      </c>
      <c r="BD56" s="956"/>
      <c r="BE56" s="956">
        <f t="shared" si="8605"/>
        <v>0</v>
      </c>
      <c r="BF56" s="956"/>
      <c r="BG56" s="956">
        <f t="shared" si="8606"/>
        <v>0</v>
      </c>
      <c r="BH56" s="956"/>
      <c r="BI56" s="956">
        <f t="shared" si="8607"/>
        <v>0</v>
      </c>
      <c r="BJ56" s="956"/>
      <c r="BK56" s="956">
        <f t="shared" si="8608"/>
        <v>0</v>
      </c>
      <c r="BL56" s="956"/>
    </row>
    <row r="57" spans="1:64" s="3" customFormat="1">
      <c r="A57" s="962"/>
      <c r="B57" s="962"/>
      <c r="C57" s="954"/>
      <c r="E57" s="963"/>
      <c r="F57" s="956"/>
      <c r="G57" s="964">
        <f t="shared" si="8609"/>
        <v>0</v>
      </c>
      <c r="H57" s="956"/>
      <c r="I57" s="964">
        <f t="shared" si="8609"/>
        <v>0</v>
      </c>
      <c r="J57" s="956"/>
      <c r="K57" s="964">
        <f t="shared" si="8609"/>
        <v>0</v>
      </c>
      <c r="L57" s="956"/>
      <c r="M57" s="964">
        <f t="shared" si="8609"/>
        <v>0</v>
      </c>
      <c r="N57" s="956"/>
      <c r="O57" s="964">
        <f t="shared" si="8609"/>
        <v>0</v>
      </c>
      <c r="P57" s="956"/>
      <c r="Q57" s="964">
        <f t="shared" si="8609"/>
        <v>0</v>
      </c>
      <c r="R57" s="956"/>
      <c r="S57" s="964">
        <f t="shared" si="8609"/>
        <v>0</v>
      </c>
      <c r="T57" s="956"/>
      <c r="U57" s="964">
        <f t="shared" si="8609"/>
        <v>0</v>
      </c>
      <c r="V57" s="956"/>
      <c r="W57" s="964">
        <f t="shared" si="8609"/>
        <v>0</v>
      </c>
      <c r="X57" s="956"/>
      <c r="Y57" s="964">
        <f t="shared" si="8609"/>
        <v>0</v>
      </c>
      <c r="Z57" s="956"/>
      <c r="AA57" s="964">
        <f t="shared" si="8609"/>
        <v>0</v>
      </c>
      <c r="AB57" s="956"/>
      <c r="AC57" s="964">
        <f t="shared" si="8609"/>
        <v>0</v>
      </c>
      <c r="AD57" s="956"/>
      <c r="AE57" s="964">
        <f t="shared" si="8609"/>
        <v>0</v>
      </c>
      <c r="AF57" s="956"/>
      <c r="AG57" s="964">
        <f t="shared" si="8609"/>
        <v>0</v>
      </c>
      <c r="AH57" s="956"/>
      <c r="AI57" s="964">
        <f t="shared" si="8594"/>
        <v>0</v>
      </c>
      <c r="AJ57" s="956"/>
      <c r="AK57" s="964">
        <f t="shared" si="8595"/>
        <v>0</v>
      </c>
      <c r="AL57" s="956"/>
      <c r="AM57" s="964">
        <f t="shared" si="8596"/>
        <v>0</v>
      </c>
      <c r="AN57" s="956"/>
      <c r="AO57" s="964">
        <f t="shared" si="8597"/>
        <v>0</v>
      </c>
      <c r="AP57" s="956"/>
      <c r="AQ57" s="964">
        <f t="shared" si="8598"/>
        <v>0</v>
      </c>
      <c r="AR57" s="956"/>
      <c r="AS57" s="964">
        <f t="shared" si="8599"/>
        <v>0</v>
      </c>
      <c r="AT57" s="956"/>
      <c r="AU57" s="964">
        <f t="shared" si="8600"/>
        <v>0</v>
      </c>
      <c r="AV57" s="956"/>
      <c r="AW57" s="964">
        <f t="shared" si="8601"/>
        <v>0</v>
      </c>
      <c r="AX57" s="956"/>
      <c r="AY57" s="964">
        <f t="shared" si="8602"/>
        <v>0</v>
      </c>
      <c r="AZ57" s="956"/>
      <c r="BA57" s="964">
        <f t="shared" si="8603"/>
        <v>0</v>
      </c>
      <c r="BB57" s="956"/>
      <c r="BC57" s="964">
        <f t="shared" si="8604"/>
        <v>0</v>
      </c>
      <c r="BD57" s="956"/>
      <c r="BE57" s="964">
        <f t="shared" si="8605"/>
        <v>0</v>
      </c>
      <c r="BF57" s="956"/>
      <c r="BG57" s="964">
        <f t="shared" si="8606"/>
        <v>0</v>
      </c>
      <c r="BH57" s="956"/>
      <c r="BI57" s="964">
        <f t="shared" si="8607"/>
        <v>0</v>
      </c>
      <c r="BJ57" s="956"/>
      <c r="BK57" s="964">
        <f t="shared" si="8608"/>
        <v>0</v>
      </c>
      <c r="BL57" s="956"/>
    </row>
    <row r="58" spans="1:64" s="3" customFormat="1">
      <c r="A58" s="958" t="s">
        <v>853</v>
      </c>
      <c r="C58" s="957"/>
      <c r="E58" s="956">
        <f>SUM(E53:E57)</f>
        <v>25000</v>
      </c>
      <c r="F58" s="956"/>
      <c r="G58" s="956">
        <f>SUM(G53:G57)</f>
        <v>25750</v>
      </c>
      <c r="H58" s="956"/>
      <c r="I58" s="956">
        <f>SUM(I53:I57)</f>
        <v>26522.5</v>
      </c>
      <c r="J58" s="956"/>
      <c r="K58" s="956">
        <f>SUM(K53:K57)</f>
        <v>27318.174999999999</v>
      </c>
      <c r="L58" s="956"/>
      <c r="M58" s="956">
        <f>SUM(M53:M57)</f>
        <v>28137.720249999998</v>
      </c>
      <c r="N58" s="956"/>
      <c r="O58" s="956">
        <f>SUM(O53:O57)</f>
        <v>28981.851857499998</v>
      </c>
      <c r="P58" s="956"/>
      <c r="Q58" s="956">
        <f>SUM(Q53:Q57)</f>
        <v>29851.307413224997</v>
      </c>
      <c r="R58" s="956"/>
      <c r="S58" s="956">
        <f>SUM(S53:S57)</f>
        <v>30746.84663562175</v>
      </c>
      <c r="T58" s="956"/>
      <c r="U58" s="956">
        <f>SUM(U53:U57)</f>
        <v>31669.252034690406</v>
      </c>
      <c r="V58" s="956"/>
      <c r="W58" s="956">
        <f>SUM(W53:W57)</f>
        <v>32619.329595731117</v>
      </c>
      <c r="X58" s="956"/>
      <c r="Y58" s="956">
        <f>SUM(Y53:Y57)</f>
        <v>33597.909483603049</v>
      </c>
      <c r="Z58" s="956"/>
      <c r="AA58" s="956">
        <f>SUM(AA53:AA57)</f>
        <v>34605.846768111143</v>
      </c>
      <c r="AB58" s="956"/>
      <c r="AC58" s="956">
        <f>SUM(AC53:AC57)</f>
        <v>35644.022171154473</v>
      </c>
      <c r="AD58" s="956"/>
      <c r="AE58" s="956">
        <f>SUM(AE53:AE57)</f>
        <v>36713.342836289114</v>
      </c>
      <c r="AF58" s="956"/>
      <c r="AG58" s="956">
        <f>SUM(AG53:AG57)</f>
        <v>37814.743121377789</v>
      </c>
      <c r="AH58" s="956"/>
      <c r="AI58" s="956">
        <f t="shared" ref="AI58" si="8610">SUM(AI53:AI57)</f>
        <v>38949.185415019121</v>
      </c>
      <c r="AJ58" s="956"/>
      <c r="AK58" s="956">
        <f t="shared" ref="AK58" si="8611">SUM(AK53:AK57)</f>
        <v>40117.660977469699</v>
      </c>
      <c r="AL58" s="956"/>
      <c r="AM58" s="956">
        <f t="shared" ref="AM58" si="8612">SUM(AM53:AM57)</f>
        <v>41321.190806793791</v>
      </c>
      <c r="AN58" s="956"/>
      <c r="AO58" s="956">
        <f t="shared" ref="AO58" si="8613">SUM(AO53:AO57)</f>
        <v>42560.826530997612</v>
      </c>
      <c r="AP58" s="956"/>
      <c r="AQ58" s="956">
        <f t="shared" ref="AQ58" si="8614">SUM(AQ53:AQ57)</f>
        <v>43837.651326927538</v>
      </c>
      <c r="AR58" s="956"/>
      <c r="AS58" s="956">
        <f t="shared" ref="AS58" si="8615">SUM(AS53:AS57)</f>
        <v>45152.780866735367</v>
      </c>
      <c r="AT58" s="956"/>
      <c r="AU58" s="956">
        <f t="shared" ref="AU58" si="8616">SUM(AU53:AU57)</f>
        <v>46507.364292737431</v>
      </c>
      <c r="AV58" s="956"/>
      <c r="AW58" s="956">
        <f t="shared" ref="AW58" si="8617">SUM(AW53:AW57)</f>
        <v>47902.585221519555</v>
      </c>
      <c r="AX58" s="956"/>
      <c r="AY58" s="956">
        <f t="shared" ref="AY58" si="8618">SUM(AY53:AY57)</f>
        <v>49339.662778165148</v>
      </c>
      <c r="AZ58" s="956"/>
      <c r="BA58" s="956">
        <f t="shared" ref="BA58" si="8619">SUM(BA53:BA57)</f>
        <v>50819.8526615101</v>
      </c>
      <c r="BB58" s="956"/>
      <c r="BC58" s="956">
        <f t="shared" ref="BC58" si="8620">SUM(BC53:BC57)</f>
        <v>52344.448241355407</v>
      </c>
      <c r="BD58" s="956"/>
      <c r="BE58" s="956">
        <f t="shared" ref="BE58" si="8621">SUM(BE53:BE57)</f>
        <v>53914.781688596071</v>
      </c>
      <c r="BF58" s="956"/>
      <c r="BG58" s="956">
        <f t="shared" ref="BG58" si="8622">SUM(BG53:BG57)</f>
        <v>55532.225139253955</v>
      </c>
      <c r="BH58" s="956"/>
      <c r="BI58" s="956">
        <f t="shared" ref="BI58" si="8623">SUM(BI53:BI57)</f>
        <v>57198.191893431576</v>
      </c>
      <c r="BJ58" s="956"/>
      <c r="BK58" s="956">
        <f t="shared" ref="BK58" si="8624">SUM(BK53:BK57)</f>
        <v>58914.137650234523</v>
      </c>
      <c r="BL58" s="956"/>
    </row>
    <row r="59" spans="1:6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c r="AI59" s="956"/>
      <c r="AJ59" s="956"/>
      <c r="AK59" s="956"/>
      <c r="AL59" s="956"/>
      <c r="AM59" s="956"/>
      <c r="AN59" s="956"/>
      <c r="AO59" s="956"/>
      <c r="AP59" s="956"/>
      <c r="AQ59" s="956"/>
      <c r="AR59" s="956"/>
      <c r="AS59" s="956"/>
      <c r="AT59" s="956"/>
      <c r="AU59" s="956"/>
      <c r="AV59" s="956"/>
      <c r="AW59" s="956"/>
      <c r="AX59" s="956"/>
      <c r="AY59" s="956"/>
      <c r="AZ59" s="956"/>
      <c r="BA59" s="956"/>
      <c r="BB59" s="956"/>
      <c r="BC59" s="956"/>
      <c r="BD59" s="956"/>
      <c r="BE59" s="956"/>
      <c r="BF59" s="956"/>
      <c r="BG59" s="956"/>
      <c r="BH59" s="956"/>
      <c r="BI59" s="956"/>
      <c r="BJ59" s="956"/>
      <c r="BK59" s="956"/>
      <c r="BL59" s="956"/>
    </row>
    <row r="60" spans="1:64" s="958" customFormat="1">
      <c r="A60" s="958" t="s">
        <v>858</v>
      </c>
      <c r="C60" s="965"/>
      <c r="E60" s="958">
        <f>E45-E58</f>
        <v>74998.536867239629</v>
      </c>
      <c r="G60" s="958">
        <f>G45-G58</f>
        <v>92407.310867239605</v>
      </c>
      <c r="I60" s="958">
        <f>I45-I58</f>
        <v>110109.56421723962</v>
      </c>
      <c r="K60" s="958">
        <f>K45-K58</f>
        <v>128107.68732598941</v>
      </c>
      <c r="M60" s="958">
        <f>M45-M58</f>
        <v>146403.95770633302</v>
      </c>
      <c r="O60" s="958">
        <f>O45-O58</f>
        <v>165000.53112495076</v>
      </c>
      <c r="Q60" s="958">
        <f>Q45-Q58</f>
        <v>183899.43232034246</v>
      </c>
      <c r="S60" s="958">
        <f>S45-S58</f>
        <v>203102.54527090071</v>
      </c>
      <c r="U60" s="958">
        <f>U45-U58</f>
        <v>222611.60299422109</v>
      </c>
      <c r="W60" s="958">
        <f>W45-W58</f>
        <v>242428.17685804935</v>
      </c>
      <c r="Y60" s="958">
        <f>Y45-Y58</f>
        <v>262553.66538250883</v>
      </c>
      <c r="AA60" s="958">
        <f>AA45-AA58</f>
        <v>282989.28251245333</v>
      </c>
      <c r="AC60" s="958">
        <f>AC45-AC58</f>
        <v>303736.04533796548</v>
      </c>
      <c r="AE60" s="958">
        <f>AE45-AE58</f>
        <v>324794.7612401722</v>
      </c>
      <c r="AG60" s="958">
        <f>AG45-AG58</f>
        <v>346166.01443865639</v>
      </c>
      <c r="AI60" s="958">
        <f t="shared" ref="AI60" si="8625">AI45-AI58</f>
        <v>367850.15191582759</v>
      </c>
      <c r="AK60" s="958">
        <f t="shared" ref="AK60" si="8626">AK45-AK58</f>
        <v>389847.26869265543</v>
      </c>
      <c r="AM60" s="958">
        <f t="shared" ref="AM60" si="8627">AM45-AM58</f>
        <v>412157.19242919103</v>
      </c>
      <c r="AO60" s="958">
        <f t="shared" ref="AO60" si="8628">AO45-AO58</f>
        <v>434779.46732225909</v>
      </c>
      <c r="AQ60" s="958">
        <f t="shared" ref="AQ60" si="8629">AQ45-AQ58</f>
        <v>457713.33727165026</v>
      </c>
      <c r="AS60" s="958">
        <f t="shared" ref="AS60" si="8630">AS45-AS58</f>
        <v>480957.72828503756</v>
      </c>
      <c r="AU60" s="958">
        <f t="shared" ref="AU60" si="8631">AU45-AU58</f>
        <v>504511.23009068565</v>
      </c>
      <c r="AW60" s="958">
        <f t="shared" ref="AW60" si="8632">AW45-AW58</f>
        <v>528372.07692584326</v>
      </c>
      <c r="AY60" s="958">
        <f t="shared" ref="AY60" si="8633">AY45-AY58</f>
        <v>552538.1274674678</v>
      </c>
      <c r="BA60" s="958">
        <f t="shared" ref="BA60" si="8634">BA45-BA58</f>
        <v>577006.84387066611</v>
      </c>
      <c r="BC60" s="958">
        <f t="shared" ref="BC60" si="8635">BC45-BC58</f>
        <v>601775.26987888955</v>
      </c>
      <c r="BE60" s="958">
        <f t="shared" ref="BE60" si="8636">BE45-BE58</f>
        <v>626840.00796855276</v>
      </c>
      <c r="BG60" s="958">
        <f t="shared" ref="BG60" si="8637">BG45-BG58</f>
        <v>652197.19548934081</v>
      </c>
      <c r="BI60" s="958">
        <f t="shared" ref="BI60" si="8638">BI45-BI58</f>
        <v>677842.47975994728</v>
      </c>
      <c r="BK60" s="958">
        <f t="shared" ref="BK60" si="8639">BK45-BK58</f>
        <v>703770.99207749078</v>
      </c>
    </row>
    <row r="61" spans="1:6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c r="AI61" s="956"/>
      <c r="AJ61" s="956"/>
      <c r="AK61" s="956"/>
      <c r="AL61" s="956"/>
      <c r="AM61" s="956"/>
      <c r="AN61" s="956"/>
      <c r="AO61" s="956"/>
      <c r="AP61" s="956"/>
      <c r="AQ61" s="956"/>
      <c r="AR61" s="956"/>
      <c r="AS61" s="956"/>
      <c r="AT61" s="956"/>
      <c r="AU61" s="956"/>
      <c r="AV61" s="956"/>
      <c r="AW61" s="956"/>
      <c r="AX61" s="956"/>
      <c r="AY61" s="956"/>
      <c r="AZ61" s="956"/>
      <c r="BA61" s="956"/>
      <c r="BB61" s="956"/>
      <c r="BC61" s="956"/>
      <c r="BD61" s="956"/>
      <c r="BE61" s="956"/>
      <c r="BF61" s="956"/>
      <c r="BG61" s="956"/>
      <c r="BH61" s="956"/>
      <c r="BI61" s="956"/>
      <c r="BJ61" s="956"/>
      <c r="BK61" s="956"/>
      <c r="BL61" s="956"/>
    </row>
    <row r="62" spans="1:64" s="958" customFormat="1">
      <c r="A62" s="958" t="s">
        <v>857</v>
      </c>
      <c r="C62" s="955">
        <v>1</v>
      </c>
      <c r="E62" s="960">
        <f>E60*$C$62</f>
        <v>74998.536867239629</v>
      </c>
      <c r="G62" s="958">
        <f>MIN(G60*$C$62,'Sources and Uses Budget'!$H$99-SUM('15 Year Pro Forma'!$E$62:F$62))</f>
        <v>92407.310867239605</v>
      </c>
      <c r="I62" s="958">
        <f>MIN(I60*$C$62,'Sources and Uses Budget'!$H$99-SUM('15 Year Pro Forma'!$E$62:H$62))</f>
        <v>110109.56421723962</v>
      </c>
      <c r="K62" s="958">
        <f>MIN(K60*$C$62,'Sources and Uses Budget'!$H$99-SUM('15 Year Pro Forma'!$E$62:J$62))</f>
        <v>128107.68732598941</v>
      </c>
      <c r="M62" s="958">
        <f>MIN(M60*$C$62,'Sources and Uses Budget'!$H$99-SUM('15 Year Pro Forma'!$E$62:L$62))</f>
        <v>146403.95770633302</v>
      </c>
      <c r="O62" s="958">
        <f>MIN(O60*$C$62,'Sources and Uses Budget'!$H$99-SUM('15 Year Pro Forma'!$E$62:N$62))</f>
        <v>165000.53112495076</v>
      </c>
      <c r="Q62" s="958">
        <f>MIN(Q60*$C$62,'Sources and Uses Budget'!$H$99-SUM('15 Year Pro Forma'!$E$62:P$62))</f>
        <v>183899.43232034246</v>
      </c>
      <c r="S62" s="958">
        <f>MIN(S60*$C$62,'Sources and Uses Budget'!$H$99-SUM('15 Year Pro Forma'!$E$62:R$62))</f>
        <v>203102.54527090071</v>
      </c>
      <c r="U62" s="958">
        <f>MIN(U60*$C$62,'Sources and Uses Budget'!$H$99-SUM('15 Year Pro Forma'!$E$62:T$62))</f>
        <v>222611.60299422109</v>
      </c>
      <c r="W62" s="958">
        <f>MIN(W60*$C$62,'Sources and Uses Budget'!$H$99-SUM('15 Year Pro Forma'!$E$62:V$62))</f>
        <v>242428.17685804935</v>
      </c>
      <c r="Y62" s="958">
        <f>MIN(Y60*$C$62,'Sources and Uses Budget'!$H$99-SUM('15 Year Pro Forma'!$E$62:X$62))</f>
        <v>262553.66538250883</v>
      </c>
      <c r="AA62" s="958">
        <f>MIN(AA60*$C$62,'Sources and Uses Budget'!$H$99-SUM('15 Year Pro Forma'!$E$62:Z$62))</f>
        <v>248353.98906498542</v>
      </c>
      <c r="AC62" s="958">
        <f>MIN(AC60*$C$62,'Sources and Uses Budget'!$H$99-SUM('15 Year Pro Forma'!$E$62:AB$62))</f>
        <v>0</v>
      </c>
      <c r="AE62" s="958">
        <f>MIN(AE60*$C$62,'Sources and Uses Budget'!$H$99-SUM('15 Year Pro Forma'!$E$62:AD$62))</f>
        <v>0</v>
      </c>
      <c r="AG62" s="958">
        <f>MIN(AG60*$C$62,'Sources and Uses Budget'!$H$99-SUM('15 Year Pro Forma'!$E$62:AF$62))</f>
        <v>0</v>
      </c>
      <c r="AI62" s="958">
        <f>MIN(AI60*$C$62,'Sources and Uses Budget'!$H$99-SUM('15 Year Pro Forma'!$E$62:AH$62))</f>
        <v>0</v>
      </c>
      <c r="AK62" s="958">
        <f>MIN(AK60*$C$62,'Sources and Uses Budget'!$H$99-SUM('15 Year Pro Forma'!$E$62:AJ$62))</f>
        <v>0</v>
      </c>
      <c r="AM62" s="958">
        <f>MIN(AM60*$C$62,'Sources and Uses Budget'!$H$99-SUM('15 Year Pro Forma'!$E$62:AL$62))</f>
        <v>0</v>
      </c>
      <c r="AO62" s="958">
        <f>MIN(AO60*$C$62,'Sources and Uses Budget'!$H$99-SUM('15 Year Pro Forma'!$E$62:AN$62))</f>
        <v>0</v>
      </c>
      <c r="AQ62" s="958">
        <f>MIN(AQ60*$C$62,'Sources and Uses Budget'!$H$99-SUM('15 Year Pro Forma'!$E$62:AP$62))</f>
        <v>0</v>
      </c>
      <c r="AS62" s="958">
        <f>MIN(AS60*$C$62,'Sources and Uses Budget'!$H$99-SUM('15 Year Pro Forma'!$E$62:AR$62))</f>
        <v>0</v>
      </c>
      <c r="AU62" s="958">
        <f>MIN(AU60*$C$62,'Sources and Uses Budget'!$H$99-SUM('15 Year Pro Forma'!$E$62:AT$62))</f>
        <v>0</v>
      </c>
      <c r="AW62" s="958">
        <f>MIN(AW60*$C$62,'Sources and Uses Budget'!$H$99-SUM('15 Year Pro Forma'!$E$62:AV$62))</f>
        <v>0</v>
      </c>
      <c r="AY62" s="958">
        <f>MIN(AY60*$C$62,'Sources and Uses Budget'!$H$99-SUM('15 Year Pro Forma'!$E$62:AX$62))</f>
        <v>0</v>
      </c>
      <c r="BA62" s="958">
        <f>MIN(BA60*$C$62,'Sources and Uses Budget'!$H$99-SUM('15 Year Pro Forma'!$E$62:AZ$62))</f>
        <v>0</v>
      </c>
      <c r="BC62" s="958">
        <f>MIN(BC60*$C$62,'Sources and Uses Budget'!$H$99-SUM('15 Year Pro Forma'!$E$62:BB$62))</f>
        <v>0</v>
      </c>
      <c r="BE62" s="958">
        <f>MIN(BE60*$C$62,'Sources and Uses Budget'!$H$99-SUM('15 Year Pro Forma'!$E$62:BD$62))</f>
        <v>0</v>
      </c>
      <c r="BG62" s="958">
        <f>MIN(BG60*$C$62,'Sources and Uses Budget'!$H$99-SUM('15 Year Pro Forma'!$E$62:BF$62))</f>
        <v>0</v>
      </c>
      <c r="BI62" s="958">
        <f>MIN(BI60*$C$62,'Sources and Uses Budget'!$H$99-SUM('15 Year Pro Forma'!$E$62:BH$62))</f>
        <v>0</v>
      </c>
      <c r="BK62" s="958">
        <f>MIN(BK60*$C$62,'Sources and Uses Budget'!$H$99-SUM('15 Year Pro Forma'!$E$62:BJ$62))</f>
        <v>0</v>
      </c>
    </row>
    <row r="63" spans="1:64" s="958" customFormat="1">
      <c r="A63" s="2685" t="s">
        <v>2749</v>
      </c>
      <c r="B63" s="2685"/>
      <c r="C63" s="2685"/>
    </row>
    <row r="64" spans="1:6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c r="AL64" s="956"/>
      <c r="AM64" s="956"/>
      <c r="AN64" s="956"/>
      <c r="AO64" s="956"/>
      <c r="AP64" s="956"/>
      <c r="AQ64" s="956"/>
      <c r="AR64" s="956"/>
      <c r="AS64" s="956"/>
      <c r="AT64" s="956"/>
      <c r="AU64" s="956"/>
      <c r="AV64" s="956"/>
      <c r="AW64" s="956"/>
      <c r="AX64" s="956"/>
      <c r="AY64" s="956"/>
      <c r="AZ64" s="956"/>
      <c r="BA64" s="956"/>
      <c r="BB64" s="956"/>
      <c r="BC64" s="956"/>
      <c r="BD64" s="956"/>
      <c r="BE64" s="956"/>
      <c r="BF64" s="956"/>
      <c r="BG64" s="956"/>
      <c r="BH64" s="956"/>
      <c r="BI64" s="956"/>
      <c r="BJ64" s="956"/>
      <c r="BK64" s="956"/>
      <c r="BL64" s="956"/>
    </row>
    <row r="65" spans="1:1023 1025:2047 2049:3071 3073:4095 4097:5119 5121:6143 6145:7167 7169:8191 8193:9215 9217:10239 10241:11263 11265:12287 12289:13311 13313:14335 14337:15359 15361:16383" s="3" customFormat="1">
      <c r="A65" s="3" t="s">
        <v>861</v>
      </c>
      <c r="C65" s="955"/>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c r="AL65" s="956"/>
      <c r="AM65" s="956"/>
      <c r="AN65" s="956"/>
      <c r="AO65" s="956"/>
      <c r="AP65" s="956"/>
      <c r="AQ65" s="956"/>
      <c r="AR65" s="956"/>
      <c r="AS65" s="956"/>
      <c r="AT65" s="956"/>
      <c r="AU65" s="956"/>
      <c r="AV65" s="956"/>
      <c r="AW65" s="956"/>
      <c r="AX65" s="956"/>
      <c r="AY65" s="956"/>
      <c r="AZ65" s="956"/>
      <c r="BA65" s="956"/>
      <c r="BB65" s="956"/>
      <c r="BC65" s="956"/>
      <c r="BD65" s="956"/>
      <c r="BE65" s="956"/>
      <c r="BF65" s="956"/>
      <c r="BG65" s="956"/>
      <c r="BH65" s="956"/>
      <c r="BI65" s="956"/>
      <c r="BJ65" s="956"/>
      <c r="BK65" s="956"/>
      <c r="BL65" s="956"/>
    </row>
    <row r="66" spans="1:1023 1025:2047 2049:3071 3073:4095 4097:5119 5121:6143 6145:7167 7169:8191 8193:9215 9217:10239 10241:11263 11265:12287 12289:13311 13313:14335 14337:15359 15361:16383" s="958" customFormat="1">
      <c r="A66" s="960"/>
      <c r="B66" s="960"/>
      <c r="C66" s="959"/>
      <c r="E66" s="960">
        <f>E60-E62</f>
        <v>0</v>
      </c>
      <c r="G66" s="956">
        <f>MIN(G60-G62,Application!$AO$636-SUM('15 Year Pro Forma'!$E$66:F$66))</f>
        <v>0</v>
      </c>
      <c r="I66" s="956">
        <f>MIN(I60-I62,Application!$AO$636-SUM('15 Year Pro Forma'!$E$66:H$66))</f>
        <v>0</v>
      </c>
      <c r="K66" s="956">
        <f>MIN(K60-K62,Application!$AO$636-SUM('15 Year Pro Forma'!$E$66:J$66))</f>
        <v>0</v>
      </c>
      <c r="M66" s="956">
        <f>MIN(M60-M62,Application!$AO$636-SUM('15 Year Pro Forma'!$E$66:L$66))</f>
        <v>0</v>
      </c>
      <c r="O66" s="956">
        <f>MIN(O60-O62,Application!$AO$636-SUM('15 Year Pro Forma'!$E$66:N$66))</f>
        <v>0</v>
      </c>
      <c r="Q66" s="956">
        <f>MIN(Q60-Q62,Application!$AO$636-SUM('15 Year Pro Forma'!$E$66:P$66))</f>
        <v>0</v>
      </c>
      <c r="S66" s="956">
        <f>MIN(S60-S62,Application!$AO$636-SUM('15 Year Pro Forma'!$E$66:R$66))</f>
        <v>0</v>
      </c>
      <c r="U66" s="956">
        <f>MIN(U60-U62,Application!$AO$636-SUM('15 Year Pro Forma'!$E$66:T$66))</f>
        <v>0</v>
      </c>
      <c r="W66" s="956">
        <f>MIN(W60-W62,Application!$AO$636-SUM('15 Year Pro Forma'!$E$66:V$66))</f>
        <v>0</v>
      </c>
      <c r="Y66" s="956">
        <f>MIN(Y60-Y62,Application!$AO$636-SUM('15 Year Pro Forma'!$E$66:X$66))</f>
        <v>0</v>
      </c>
      <c r="AA66" s="956">
        <f>MIN(AA60-AA62,Application!$AO$636-SUM('15 Year Pro Forma'!$E$66:Z$66))</f>
        <v>34635.293447467906</v>
      </c>
      <c r="AC66" s="956">
        <f>MIN(AC60-AC62,Application!$AO$636-SUM('15 Year Pro Forma'!$E$66:AB$66))</f>
        <v>303736.04533796548</v>
      </c>
      <c r="AE66" s="956">
        <f>MIN(AE60-AE62,Application!$AO$636-SUM('15 Year Pro Forma'!$E$66:AD$66))</f>
        <v>324794.7612401722</v>
      </c>
      <c r="AG66" s="956">
        <f>MIN(AG60-AG62,Application!$AO$636-SUM('15 Year Pro Forma'!$E$66:AF$66))</f>
        <v>346166.01443865639</v>
      </c>
      <c r="AI66" s="956">
        <f>MIN(AI60-AI62,Application!$AO$636-SUM('15 Year Pro Forma'!$E$66:AH$66))</f>
        <v>367850.15191582759</v>
      </c>
      <c r="AK66" s="956">
        <f>MIN(AK60-AK62,Application!$AO$636-SUM('15 Year Pro Forma'!$E$66:AJ$66))</f>
        <v>389847.26869265543</v>
      </c>
      <c r="AM66" s="956">
        <f>MIN(AM60-AM62,Application!$AO$636-SUM('15 Year Pro Forma'!$E$66:AL$66))</f>
        <v>412157.19242919103</v>
      </c>
      <c r="AO66" s="956">
        <f>MIN(AO60-AO62,Application!$AO$636-SUM('15 Year Pro Forma'!$E$66:AN$66))</f>
        <v>434779.46732225909</v>
      </c>
      <c r="AQ66" s="956">
        <f>MIN(AQ60-AQ62,Application!$AO$636-SUM('15 Year Pro Forma'!$E$66:AP$66))</f>
        <v>457713.33727165026</v>
      </c>
      <c r="AS66" s="956">
        <f>MIN(AS60-AS62,Application!$AO$636-SUM('15 Year Pro Forma'!$E$66:AR$66))</f>
        <v>480957.72828503756</v>
      </c>
      <c r="AU66" s="956">
        <f>MIN(AU60-AU62,Application!$AO$636-SUM('15 Year Pro Forma'!$E$66:AT$66))</f>
        <v>504511.23009068565</v>
      </c>
      <c r="AW66" s="956">
        <f>MIN(AW60-AW62,Application!$AO$636-SUM('15 Year Pro Forma'!$E$66:AV$66))</f>
        <v>528372.07692584326</v>
      </c>
      <c r="AY66" s="956">
        <f>MIN(AY60-AY62,Application!$AO$636-SUM('15 Year Pro Forma'!$E$66:AX$66))</f>
        <v>212674.43260258809</v>
      </c>
      <c r="BA66" s="956">
        <f>MIN(BA60-BA62,Application!$AO$636-SUM('15 Year Pro Forma'!$E$66:AZ$66))</f>
        <v>0</v>
      </c>
      <c r="BC66" s="956">
        <f>MIN(BC60-BC62,Application!$AO$636-SUM('15 Year Pro Forma'!$E$66:BB$66))</f>
        <v>0</v>
      </c>
      <c r="BE66" s="956">
        <f>MIN(BE60-BE62,Application!$AO$636-SUM('15 Year Pro Forma'!$E$66:BD$66))</f>
        <v>0</v>
      </c>
      <c r="BG66" s="956">
        <f>MIN(BG60-BG62,Application!$AO$636-SUM('15 Year Pro Forma'!$E$66:BF$66))</f>
        <v>0</v>
      </c>
      <c r="BI66" s="956">
        <f>MIN(BI60-BI62,Application!$AO$636-SUM('15 Year Pro Forma'!$E$66:BH$66))</f>
        <v>0</v>
      </c>
      <c r="BK66" s="956">
        <f>MIN(BK60-BK62,Application!$AO$636-SUM('15 Year Pro Forma'!$E$66:BJ$66))</f>
        <v>0</v>
      </c>
      <c r="BM66" s="956">
        <f>MIN(BM60*$C$65,Application!$AO$636-SUM('15 Year Pro Forma'!$E$66:BL$66))</f>
        <v>0</v>
      </c>
      <c r="BO66" s="956">
        <f>MIN(BO60*$C$65,Application!$AO$636-SUM('15 Year Pro Forma'!$E$66:BN$66))</f>
        <v>0</v>
      </c>
      <c r="BQ66" s="956">
        <f>MIN(BQ60*$C$65,Application!$AO$636-SUM('15 Year Pro Forma'!$E$66:BP$66))</f>
        <v>0</v>
      </c>
      <c r="BS66" s="956">
        <f>MIN(BS60*$C$65,Application!$AO$636-SUM('15 Year Pro Forma'!$E$66:BR$66))</f>
        <v>0</v>
      </c>
      <c r="BU66" s="956">
        <f>MIN(BU60*$C$65,Application!$AO$636-SUM('15 Year Pro Forma'!$E$66:BT$66))</f>
        <v>0</v>
      </c>
      <c r="BW66" s="956">
        <f>MIN(BW60*$C$65,Application!$AO$636-SUM('15 Year Pro Forma'!$E$66:BV$66))</f>
        <v>0</v>
      </c>
      <c r="BY66" s="956">
        <f>MIN(BY60*$C$65,Application!$AO$636-SUM('15 Year Pro Forma'!$E$66:BX$66))</f>
        <v>0</v>
      </c>
      <c r="CA66" s="956">
        <f>MIN(CA60*$C$65,Application!$AO$636-SUM('15 Year Pro Forma'!$E$66:BZ$66))</f>
        <v>0</v>
      </c>
      <c r="CC66" s="956">
        <f>MIN(CC60*$C$65,Application!$AO$636-SUM('15 Year Pro Forma'!$E$66:CB$66))</f>
        <v>0</v>
      </c>
      <c r="CE66" s="956">
        <f>MIN(CE60*$C$65,Application!$AO$636-SUM('15 Year Pro Forma'!$E$66:CD$66))</f>
        <v>0</v>
      </c>
      <c r="CG66" s="956">
        <f>MIN(CG60*$C$65,Application!$AO$636-SUM('15 Year Pro Forma'!$E$66:CF$66))</f>
        <v>0</v>
      </c>
      <c r="CI66" s="956">
        <f>MIN(CI60*$C$65,Application!$AO$636-SUM('15 Year Pro Forma'!$E$66:CH$66))</f>
        <v>0</v>
      </c>
      <c r="CK66" s="956">
        <f>MIN(CK60*$C$65,Application!$AO$636-SUM('15 Year Pro Forma'!$E$66:CJ$66))</f>
        <v>0</v>
      </c>
      <c r="CM66" s="956">
        <f>MIN(CM60*$C$65,Application!$AO$636-SUM('15 Year Pro Forma'!$E$66:CL$66))</f>
        <v>0</v>
      </c>
      <c r="CO66" s="956">
        <f>MIN(CO60*$C$65,Application!$AO$636-SUM('15 Year Pro Forma'!$E$66:CN$66))</f>
        <v>0</v>
      </c>
      <c r="CQ66" s="956">
        <f>MIN(CQ60*$C$65,Application!$AO$636-SUM('15 Year Pro Forma'!$E$66:CP$66))</f>
        <v>0</v>
      </c>
      <c r="CS66" s="956">
        <f>MIN(CS60*$C$65,Application!$AO$636-SUM('15 Year Pro Forma'!$E$66:CR$66))</f>
        <v>0</v>
      </c>
      <c r="CU66" s="956">
        <f>MIN(CU60*$C$65,Application!$AO$636-SUM('15 Year Pro Forma'!$E$66:CT$66))</f>
        <v>0</v>
      </c>
      <c r="CW66" s="956">
        <f>MIN(CW60*$C$65,Application!$AO$636-SUM('15 Year Pro Forma'!$E$66:CV$66))</f>
        <v>0</v>
      </c>
      <c r="CY66" s="956">
        <f>MIN(CY60*$C$65,Application!$AO$636-SUM('15 Year Pro Forma'!$E$66:CX$66))</f>
        <v>0</v>
      </c>
      <c r="DA66" s="956">
        <f>MIN(DA60*$C$65,Application!$AO$636-SUM('15 Year Pro Forma'!$E$66:CZ$66))</f>
        <v>0</v>
      </c>
      <c r="DC66" s="956">
        <f>MIN(DC60*$C$65,Application!$AO$636-SUM('15 Year Pro Forma'!$E$66:DB$66))</f>
        <v>0</v>
      </c>
      <c r="DE66" s="956">
        <f>MIN(DE60*$C$65,Application!$AO$636-SUM('15 Year Pro Forma'!$E$66:DD$66))</f>
        <v>0</v>
      </c>
      <c r="DG66" s="956">
        <f>MIN(DG60*$C$65,Application!$AO$636-SUM('15 Year Pro Forma'!$E$66:DF$66))</f>
        <v>0</v>
      </c>
      <c r="DI66" s="956">
        <f>MIN(DI60*$C$65,Application!$AO$636-SUM('15 Year Pro Forma'!$E$66:DH$66))</f>
        <v>0</v>
      </c>
      <c r="DK66" s="956">
        <f>MIN(DK60*$C$65,Application!$AO$636-SUM('15 Year Pro Forma'!$E$66:DJ$66))</f>
        <v>0</v>
      </c>
      <c r="DM66" s="956">
        <f>MIN(DM60*$C$65,Application!$AO$636-SUM('15 Year Pro Forma'!$E$66:DL$66))</f>
        <v>0</v>
      </c>
      <c r="DO66" s="956">
        <f>MIN(DO60*$C$65,Application!$AO$636-SUM('15 Year Pro Forma'!$E$66:DN$66))</f>
        <v>0</v>
      </c>
      <c r="DQ66" s="956">
        <f>MIN(DQ60*$C$65,Application!$AO$636-SUM('15 Year Pro Forma'!$E$66:DP$66))</f>
        <v>0</v>
      </c>
      <c r="DS66" s="956">
        <f>MIN(DS60*$C$65,Application!$AO$636-SUM('15 Year Pro Forma'!$E$66:DR$66))</f>
        <v>0</v>
      </c>
      <c r="DU66" s="956">
        <f>MIN(DU60*$C$65,Application!$AO$636-SUM('15 Year Pro Forma'!$E$66:DT$66))</f>
        <v>0</v>
      </c>
      <c r="DW66" s="956">
        <f>MIN(DW60*$C$65,Application!$AO$636-SUM('15 Year Pro Forma'!$E$66:DV$66))</f>
        <v>0</v>
      </c>
      <c r="DY66" s="956">
        <f>MIN(DY60*$C$65,Application!$AO$636-SUM('15 Year Pro Forma'!$E$66:DX$66))</f>
        <v>0</v>
      </c>
      <c r="EA66" s="956">
        <f>MIN(EA60*$C$65,Application!$AO$636-SUM('15 Year Pro Forma'!$E$66:DZ$66))</f>
        <v>0</v>
      </c>
      <c r="EC66" s="956">
        <f>MIN(EC60*$C$65,Application!$AO$636-SUM('15 Year Pro Forma'!$E$66:EB$66))</f>
        <v>0</v>
      </c>
      <c r="EE66" s="956">
        <f>MIN(EE60*$C$65,Application!$AO$636-SUM('15 Year Pro Forma'!$E$66:ED$66))</f>
        <v>0</v>
      </c>
      <c r="EG66" s="956">
        <f>MIN(EG60*$C$65,Application!$AO$636-SUM('15 Year Pro Forma'!$E$66:EF$66))</f>
        <v>0</v>
      </c>
      <c r="EI66" s="956">
        <f>MIN(EI60*$C$65,Application!$AO$636-SUM('15 Year Pro Forma'!$E$66:EH$66))</f>
        <v>0</v>
      </c>
      <c r="EK66" s="956">
        <f>MIN(EK60*$C$65,Application!$AO$636-SUM('15 Year Pro Forma'!$E$66:EJ$66))</f>
        <v>0</v>
      </c>
      <c r="EM66" s="956">
        <f>MIN(EM60*$C$65,Application!$AO$636-SUM('15 Year Pro Forma'!$E$66:EL$66))</f>
        <v>0</v>
      </c>
      <c r="EO66" s="956">
        <f>MIN(EO60*$C$65,Application!$AO$636-SUM('15 Year Pro Forma'!$E$66:EN$66))</f>
        <v>0</v>
      </c>
      <c r="EQ66" s="956">
        <f>MIN(EQ60*$C$65,Application!$AO$636-SUM('15 Year Pro Forma'!$E$66:EP$66))</f>
        <v>0</v>
      </c>
      <c r="ES66" s="956">
        <f>MIN(ES60*$C$65,Application!$AO$636-SUM('15 Year Pro Forma'!$E$66:ER$66))</f>
        <v>0</v>
      </c>
      <c r="EU66" s="956">
        <f>MIN(EU60*$C$65,Application!$AO$636-SUM('15 Year Pro Forma'!$E$66:ET$66))</f>
        <v>0</v>
      </c>
      <c r="EW66" s="956">
        <f>MIN(EW60*$C$65,Application!$AO$636-SUM('15 Year Pro Forma'!$E$66:EV$66))</f>
        <v>0</v>
      </c>
      <c r="EY66" s="956">
        <f>MIN(EY60*$C$65,Application!$AO$636-SUM('15 Year Pro Forma'!$E$66:EX$66))</f>
        <v>0</v>
      </c>
      <c r="FA66" s="956">
        <f>MIN(FA60*$C$65,Application!$AO$636-SUM('15 Year Pro Forma'!$E$66:EZ$66))</f>
        <v>0</v>
      </c>
      <c r="FC66" s="956">
        <f>MIN(FC60*$C$65,Application!$AO$636-SUM('15 Year Pro Forma'!$E$66:FB$66))</f>
        <v>0</v>
      </c>
      <c r="FE66" s="956">
        <f>MIN(FE60*$C$65,Application!$AO$636-SUM('15 Year Pro Forma'!$E$66:FD$66))</f>
        <v>0</v>
      </c>
      <c r="FG66" s="956">
        <f>MIN(FG60*$C$65,Application!$AO$636-SUM('15 Year Pro Forma'!$E$66:FF$66))</f>
        <v>0</v>
      </c>
      <c r="FI66" s="956">
        <f>MIN(FI60*$C$65,Application!$AO$636-SUM('15 Year Pro Forma'!$E$66:FH$66))</f>
        <v>0</v>
      </c>
      <c r="FK66" s="956">
        <f>MIN(FK60*$C$65,Application!$AO$636-SUM('15 Year Pro Forma'!$E$66:FJ$66))</f>
        <v>0</v>
      </c>
      <c r="FM66" s="956">
        <f>MIN(FM60*$C$65,Application!$AO$636-SUM('15 Year Pro Forma'!$E$66:FL$66))</f>
        <v>0</v>
      </c>
      <c r="FO66" s="956">
        <f>MIN(FO60*$C$65,Application!$AO$636-SUM('15 Year Pro Forma'!$E$66:FN$66))</f>
        <v>0</v>
      </c>
      <c r="FQ66" s="956">
        <f>MIN(FQ60*$C$65,Application!$AO$636-SUM('15 Year Pro Forma'!$E$66:FP$66))</f>
        <v>0</v>
      </c>
      <c r="FS66" s="956">
        <f>MIN(FS60*$C$65,Application!$AO$636-SUM('15 Year Pro Forma'!$E$66:FR$66))</f>
        <v>0</v>
      </c>
      <c r="FU66" s="956">
        <f>MIN(FU60*$C$65,Application!$AO$636-SUM('15 Year Pro Forma'!$E$66:FT$66))</f>
        <v>0</v>
      </c>
      <c r="FW66" s="956">
        <f>MIN(FW60*$C$65,Application!$AO$636-SUM('15 Year Pro Forma'!$E$66:FV$66))</f>
        <v>0</v>
      </c>
      <c r="FY66" s="956">
        <f>MIN(FY60*$C$65,Application!$AO$636-SUM('15 Year Pro Forma'!$E$66:FX$66))</f>
        <v>0</v>
      </c>
      <c r="GA66" s="956">
        <f>MIN(GA60*$C$65,Application!$AO$636-SUM('15 Year Pro Forma'!$E$66:FZ$66))</f>
        <v>0</v>
      </c>
      <c r="GC66" s="956">
        <f>MIN(GC60*$C$65,Application!$AO$636-SUM('15 Year Pro Forma'!$E$66:GB$66))</f>
        <v>0</v>
      </c>
      <c r="GE66" s="956">
        <f>MIN(GE60*$C$65,Application!$AO$636-SUM('15 Year Pro Forma'!$E$66:GD$66))</f>
        <v>0</v>
      </c>
      <c r="GG66" s="956">
        <f>MIN(GG60*$C$65,Application!$AO$636-SUM('15 Year Pro Forma'!$E$66:GF$66))</f>
        <v>0</v>
      </c>
      <c r="GI66" s="956">
        <f>MIN(GI60*$C$65,Application!$AO$636-SUM('15 Year Pro Forma'!$E$66:GH$66))</f>
        <v>0</v>
      </c>
      <c r="GK66" s="956">
        <f>MIN(GK60*$C$65,Application!$AO$636-SUM('15 Year Pro Forma'!$E$66:GJ$66))</f>
        <v>0</v>
      </c>
      <c r="GM66" s="956">
        <f>MIN(GM60*$C$65,Application!$AO$636-SUM('15 Year Pro Forma'!$E$66:GL$66))</f>
        <v>0</v>
      </c>
      <c r="GO66" s="956">
        <f>MIN(GO60*$C$65,Application!$AO$636-SUM('15 Year Pro Forma'!$E$66:GN$66))</f>
        <v>0</v>
      </c>
      <c r="GQ66" s="956">
        <f>MIN(GQ60*$C$65,Application!$AO$636-SUM('15 Year Pro Forma'!$E$66:GP$66))</f>
        <v>0</v>
      </c>
      <c r="GS66" s="956">
        <f>MIN(GS60*$C$65,Application!$AO$636-SUM('15 Year Pro Forma'!$E$66:GR$66))</f>
        <v>0</v>
      </c>
      <c r="GU66" s="956">
        <f>MIN(GU60*$C$65,Application!$AO$636-SUM('15 Year Pro Forma'!$E$66:GT$66))</f>
        <v>0</v>
      </c>
      <c r="GW66" s="956">
        <f>MIN(GW60*$C$65,Application!$AO$636-SUM('15 Year Pro Forma'!$E$66:GV$66))</f>
        <v>0</v>
      </c>
      <c r="GY66" s="956">
        <f>MIN(GY60*$C$65,Application!$AO$636-SUM('15 Year Pro Forma'!$E$66:GX$66))</f>
        <v>0</v>
      </c>
      <c r="HA66" s="956">
        <f>MIN(HA60*$C$65,Application!$AO$636-SUM('15 Year Pro Forma'!$E$66:GZ$66))</f>
        <v>0</v>
      </c>
      <c r="HC66" s="956">
        <f>MIN(HC60*$C$65,Application!$AO$636-SUM('15 Year Pro Forma'!$E$66:HB$66))</f>
        <v>0</v>
      </c>
      <c r="HE66" s="956">
        <f>MIN(HE60*$C$65,Application!$AO$636-SUM('15 Year Pro Forma'!$E$66:HD$66))</f>
        <v>0</v>
      </c>
      <c r="HG66" s="956">
        <f>MIN(HG60*$C$65,Application!$AO$636-SUM('15 Year Pro Forma'!$E$66:HF$66))</f>
        <v>0</v>
      </c>
      <c r="HI66" s="956">
        <f>MIN(HI60*$C$65,Application!$AO$636-SUM('15 Year Pro Forma'!$E$66:HH$66))</f>
        <v>0</v>
      </c>
      <c r="HK66" s="956">
        <f>MIN(HK60*$C$65,Application!$AO$636-SUM('15 Year Pro Forma'!$E$66:HJ$66))</f>
        <v>0</v>
      </c>
      <c r="HM66" s="956">
        <f>MIN(HM60*$C$65,Application!$AO$636-SUM('15 Year Pro Forma'!$E$66:HL$66))</f>
        <v>0</v>
      </c>
      <c r="HO66" s="956">
        <f>MIN(HO60*$C$65,Application!$AO$636-SUM('15 Year Pro Forma'!$E$66:HN$66))</f>
        <v>0</v>
      </c>
      <c r="HQ66" s="956">
        <f>MIN(HQ60*$C$65,Application!$AO$636-SUM('15 Year Pro Forma'!$E$66:HP$66))</f>
        <v>0</v>
      </c>
      <c r="HS66" s="956">
        <f>MIN(HS60*$C$65,Application!$AO$636-SUM('15 Year Pro Forma'!$E$66:HR$66))</f>
        <v>0</v>
      </c>
      <c r="HU66" s="956">
        <f>MIN(HU60*$C$65,Application!$AO$636-SUM('15 Year Pro Forma'!$E$66:HT$66))</f>
        <v>0</v>
      </c>
      <c r="HW66" s="956">
        <f>MIN(HW60*$C$65,Application!$AO$636-SUM('15 Year Pro Forma'!$E$66:HV$66))</f>
        <v>0</v>
      </c>
      <c r="HY66" s="956">
        <f>MIN(HY60*$C$65,Application!$AO$636-SUM('15 Year Pro Forma'!$E$66:HX$66))</f>
        <v>0</v>
      </c>
      <c r="IA66" s="956">
        <f>MIN(IA60*$C$65,Application!$AO$636-SUM('15 Year Pro Forma'!$E$66:HZ$66))</f>
        <v>0</v>
      </c>
      <c r="IC66" s="956">
        <f>MIN(IC60*$C$65,Application!$AO$636-SUM('15 Year Pro Forma'!$E$66:IB$66))</f>
        <v>0</v>
      </c>
      <c r="IE66" s="956">
        <f>MIN(IE60*$C$65,Application!$AO$636-SUM('15 Year Pro Forma'!$E$66:ID$66))</f>
        <v>0</v>
      </c>
      <c r="IG66" s="956">
        <f>MIN(IG60*$C$65,Application!$AO$636-SUM('15 Year Pro Forma'!$E$66:IF$66))</f>
        <v>0</v>
      </c>
      <c r="II66" s="956">
        <f>MIN(II60*$C$65,Application!$AO$636-SUM('15 Year Pro Forma'!$E$66:IH$66))</f>
        <v>0</v>
      </c>
      <c r="IK66" s="956">
        <f>MIN(IK60*$C$65,Application!$AO$636-SUM('15 Year Pro Forma'!$E$66:IJ$66))</f>
        <v>0</v>
      </c>
      <c r="IM66" s="956">
        <f>MIN(IM60*$C$65,Application!$AO$636-SUM('15 Year Pro Forma'!$E$66:IL$66))</f>
        <v>0</v>
      </c>
      <c r="IO66" s="956">
        <f>MIN(IO60*$C$65,Application!$AO$636-SUM('15 Year Pro Forma'!$E$66:IN$66))</f>
        <v>0</v>
      </c>
      <c r="IQ66" s="956">
        <f>MIN(IQ60*$C$65,Application!$AO$636-SUM('15 Year Pro Forma'!$E$66:IP$66))</f>
        <v>0</v>
      </c>
      <c r="IS66" s="956">
        <f>MIN(IS60*$C$65,Application!$AO$636-SUM('15 Year Pro Forma'!$E$66:IR$66))</f>
        <v>0</v>
      </c>
      <c r="IU66" s="956">
        <f>MIN(IU60*$C$65,Application!$AO$636-SUM('15 Year Pro Forma'!$E$66:IT$66))</f>
        <v>0</v>
      </c>
      <c r="IW66" s="956">
        <f>MIN(IW60*$C$65,Application!$AO$636-SUM('15 Year Pro Forma'!$E$66:IV$66))</f>
        <v>0</v>
      </c>
      <c r="IY66" s="956">
        <f>MIN(IY60*$C$65,Application!$AO$636-SUM('15 Year Pro Forma'!$E$66:IX$66))</f>
        <v>0</v>
      </c>
      <c r="JA66" s="956">
        <f>MIN(JA60*$C$65,Application!$AO$636-SUM('15 Year Pro Forma'!$E$66:IZ$66))</f>
        <v>0</v>
      </c>
      <c r="JC66" s="956">
        <f>MIN(JC60*$C$65,Application!$AO$636-SUM('15 Year Pro Forma'!$E$66:JB$66))</f>
        <v>0</v>
      </c>
      <c r="JE66" s="956">
        <f>MIN(JE60*$C$65,Application!$AO$636-SUM('15 Year Pro Forma'!$E$66:JD$66))</f>
        <v>0</v>
      </c>
      <c r="JG66" s="956">
        <f>MIN(JG60*$C$65,Application!$AO$636-SUM('15 Year Pro Forma'!$E$66:JF$66))</f>
        <v>0</v>
      </c>
      <c r="JI66" s="956">
        <f>MIN(JI60*$C$65,Application!$AO$636-SUM('15 Year Pro Forma'!$E$66:JH$66))</f>
        <v>0</v>
      </c>
      <c r="JK66" s="956">
        <f>MIN(JK60*$C$65,Application!$AO$636-SUM('15 Year Pro Forma'!$E$66:JJ$66))</f>
        <v>0</v>
      </c>
      <c r="JM66" s="956">
        <f>MIN(JM60*$C$65,Application!$AO$636-SUM('15 Year Pro Forma'!$E$66:JL$66))</f>
        <v>0</v>
      </c>
      <c r="JO66" s="956">
        <f>MIN(JO60*$C$65,Application!$AO$636-SUM('15 Year Pro Forma'!$E$66:JN$66))</f>
        <v>0</v>
      </c>
      <c r="JQ66" s="956">
        <f>MIN(JQ60*$C$65,Application!$AO$636-SUM('15 Year Pro Forma'!$E$66:JP$66))</f>
        <v>0</v>
      </c>
      <c r="JS66" s="956">
        <f>MIN(JS60*$C$65,Application!$AO$636-SUM('15 Year Pro Forma'!$E$66:JR$66))</f>
        <v>0</v>
      </c>
      <c r="JU66" s="956">
        <f>MIN(JU60*$C$65,Application!$AO$636-SUM('15 Year Pro Forma'!$E$66:JT$66))</f>
        <v>0</v>
      </c>
      <c r="JW66" s="956">
        <f>MIN(JW60*$C$65,Application!$AO$636-SUM('15 Year Pro Forma'!$E$66:JV$66))</f>
        <v>0</v>
      </c>
      <c r="JY66" s="956">
        <f>MIN(JY60*$C$65,Application!$AO$636-SUM('15 Year Pro Forma'!$E$66:JX$66))</f>
        <v>0</v>
      </c>
      <c r="KA66" s="956">
        <f>MIN(KA60*$C$65,Application!$AO$636-SUM('15 Year Pro Forma'!$E$66:JZ$66))</f>
        <v>0</v>
      </c>
      <c r="KC66" s="956">
        <f>MIN(KC60*$C$65,Application!$AO$636-SUM('15 Year Pro Forma'!$E$66:KB$66))</f>
        <v>0</v>
      </c>
      <c r="KE66" s="956">
        <f>MIN(KE60*$C$65,Application!$AO$636-SUM('15 Year Pro Forma'!$E$66:KD$66))</f>
        <v>0</v>
      </c>
      <c r="KG66" s="956">
        <f>MIN(KG60*$C$65,Application!$AO$636-SUM('15 Year Pro Forma'!$E$66:KF$66))</f>
        <v>0</v>
      </c>
      <c r="KI66" s="956">
        <f>MIN(KI60*$C$65,Application!$AO$636-SUM('15 Year Pro Forma'!$E$66:KH$66))</f>
        <v>0</v>
      </c>
      <c r="KK66" s="956">
        <f>MIN(KK60*$C$65,Application!$AO$636-SUM('15 Year Pro Forma'!$E$66:KJ$66))</f>
        <v>0</v>
      </c>
      <c r="KM66" s="956">
        <f>MIN(KM60*$C$65,Application!$AO$636-SUM('15 Year Pro Forma'!$E$66:KL$66))</f>
        <v>0</v>
      </c>
      <c r="KO66" s="956">
        <f>MIN(KO60*$C$65,Application!$AO$636-SUM('15 Year Pro Forma'!$E$66:KN$66))</f>
        <v>0</v>
      </c>
      <c r="KQ66" s="956">
        <f>MIN(KQ60*$C$65,Application!$AO$636-SUM('15 Year Pro Forma'!$E$66:KP$66))</f>
        <v>0</v>
      </c>
      <c r="KS66" s="956">
        <f>MIN(KS60*$C$65,Application!$AO$636-SUM('15 Year Pro Forma'!$E$66:KR$66))</f>
        <v>0</v>
      </c>
      <c r="KU66" s="956">
        <f>MIN(KU60*$C$65,Application!$AO$636-SUM('15 Year Pro Forma'!$E$66:KT$66))</f>
        <v>0</v>
      </c>
      <c r="KW66" s="956">
        <f>MIN(KW60*$C$65,Application!$AO$636-SUM('15 Year Pro Forma'!$E$66:KV$66))</f>
        <v>0</v>
      </c>
      <c r="KY66" s="956">
        <f>MIN(KY60*$C$65,Application!$AO$636-SUM('15 Year Pro Forma'!$E$66:KX$66))</f>
        <v>0</v>
      </c>
      <c r="LA66" s="956">
        <f>MIN(LA60*$C$65,Application!$AO$636-SUM('15 Year Pro Forma'!$E$66:KZ$66))</f>
        <v>0</v>
      </c>
      <c r="LC66" s="956">
        <f>MIN(LC60*$C$65,Application!$AO$636-SUM('15 Year Pro Forma'!$E$66:LB$66))</f>
        <v>0</v>
      </c>
      <c r="LE66" s="956">
        <f>MIN(LE60*$C$65,Application!$AO$636-SUM('15 Year Pro Forma'!$E$66:LD$66))</f>
        <v>0</v>
      </c>
      <c r="LG66" s="956">
        <f>MIN(LG60*$C$65,Application!$AO$636-SUM('15 Year Pro Forma'!$E$66:LF$66))</f>
        <v>0</v>
      </c>
      <c r="LI66" s="956">
        <f>MIN(LI60*$C$65,Application!$AO$636-SUM('15 Year Pro Forma'!$E$66:LH$66))</f>
        <v>0</v>
      </c>
      <c r="LK66" s="956">
        <f>MIN(LK60*$C$65,Application!$AO$636-SUM('15 Year Pro Forma'!$E$66:LJ$66))</f>
        <v>0</v>
      </c>
      <c r="LM66" s="956">
        <f>MIN(LM60*$C$65,Application!$AO$636-SUM('15 Year Pro Forma'!$E$66:LL$66))</f>
        <v>0</v>
      </c>
      <c r="LO66" s="956">
        <f>MIN(LO60*$C$65,Application!$AO$636-SUM('15 Year Pro Forma'!$E$66:LN$66))</f>
        <v>0</v>
      </c>
      <c r="LQ66" s="956">
        <f>MIN(LQ60*$C$65,Application!$AO$636-SUM('15 Year Pro Forma'!$E$66:LP$66))</f>
        <v>0</v>
      </c>
      <c r="LS66" s="956">
        <f>MIN(LS60*$C$65,Application!$AO$636-SUM('15 Year Pro Forma'!$E$66:LR$66))</f>
        <v>0</v>
      </c>
      <c r="LU66" s="956">
        <f>MIN(LU60*$C$65,Application!$AO$636-SUM('15 Year Pro Forma'!$E$66:LT$66))</f>
        <v>0</v>
      </c>
      <c r="LW66" s="956">
        <f>MIN(LW60*$C$65,Application!$AO$636-SUM('15 Year Pro Forma'!$E$66:LV$66))</f>
        <v>0</v>
      </c>
      <c r="LY66" s="956">
        <f>MIN(LY60*$C$65,Application!$AO$636-SUM('15 Year Pro Forma'!$E$66:LX$66))</f>
        <v>0</v>
      </c>
      <c r="MA66" s="956">
        <f>MIN(MA60*$C$65,Application!$AO$636-SUM('15 Year Pro Forma'!$E$66:LZ$66))</f>
        <v>0</v>
      </c>
      <c r="MC66" s="956">
        <f>MIN(MC60*$C$65,Application!$AO$636-SUM('15 Year Pro Forma'!$E$66:MB$66))</f>
        <v>0</v>
      </c>
      <c r="ME66" s="956">
        <f>MIN(ME60*$C$65,Application!$AO$636-SUM('15 Year Pro Forma'!$E$66:MD$66))</f>
        <v>0</v>
      </c>
      <c r="MG66" s="956">
        <f>MIN(MG60*$C$65,Application!$AO$636-SUM('15 Year Pro Forma'!$E$66:MF$66))</f>
        <v>0</v>
      </c>
      <c r="MI66" s="956">
        <f>MIN(MI60*$C$65,Application!$AO$636-SUM('15 Year Pro Forma'!$E$66:MH$66))</f>
        <v>0</v>
      </c>
      <c r="MK66" s="956">
        <f>MIN(MK60*$C$65,Application!$AO$636-SUM('15 Year Pro Forma'!$E$66:MJ$66))</f>
        <v>0</v>
      </c>
      <c r="MM66" s="956">
        <f>MIN(MM60*$C$65,Application!$AO$636-SUM('15 Year Pro Forma'!$E$66:ML$66))</f>
        <v>0</v>
      </c>
      <c r="MO66" s="956">
        <f>MIN(MO60*$C$65,Application!$AO$636-SUM('15 Year Pro Forma'!$E$66:MN$66))</f>
        <v>0</v>
      </c>
      <c r="MQ66" s="956">
        <f>MIN(MQ60*$C$65,Application!$AO$636-SUM('15 Year Pro Forma'!$E$66:MP$66))</f>
        <v>0</v>
      </c>
      <c r="MS66" s="956">
        <f>MIN(MS60*$C$65,Application!$AO$636-SUM('15 Year Pro Forma'!$E$66:MR$66))</f>
        <v>0</v>
      </c>
      <c r="MU66" s="956">
        <f>MIN(MU60*$C$65,Application!$AO$636-SUM('15 Year Pro Forma'!$E$66:MT$66))</f>
        <v>0</v>
      </c>
      <c r="MW66" s="956">
        <f>MIN(MW60*$C$65,Application!$AO$636-SUM('15 Year Pro Forma'!$E$66:MV$66))</f>
        <v>0</v>
      </c>
      <c r="MY66" s="956">
        <f>MIN(MY60*$C$65,Application!$AO$636-SUM('15 Year Pro Forma'!$E$66:MX$66))</f>
        <v>0</v>
      </c>
      <c r="NA66" s="956">
        <f>MIN(NA60*$C$65,Application!$AO$636-SUM('15 Year Pro Forma'!$E$66:MZ$66))</f>
        <v>0</v>
      </c>
      <c r="NC66" s="956">
        <f>MIN(NC60*$C$65,Application!$AO$636-SUM('15 Year Pro Forma'!$E$66:NB$66))</f>
        <v>0</v>
      </c>
      <c r="NE66" s="956">
        <f>MIN(NE60*$C$65,Application!$AO$636-SUM('15 Year Pro Forma'!$E$66:ND$66))</f>
        <v>0</v>
      </c>
      <c r="NG66" s="956">
        <f>MIN(NG60*$C$65,Application!$AO$636-SUM('15 Year Pro Forma'!$E$66:NF$66))</f>
        <v>0</v>
      </c>
      <c r="NI66" s="956">
        <f>MIN(NI60*$C$65,Application!$AO$636-SUM('15 Year Pro Forma'!$E$66:NH$66))</f>
        <v>0</v>
      </c>
      <c r="NK66" s="956">
        <f>MIN(NK60*$C$65,Application!$AO$636-SUM('15 Year Pro Forma'!$E$66:NJ$66))</f>
        <v>0</v>
      </c>
      <c r="NM66" s="956">
        <f>MIN(NM60*$C$65,Application!$AO$636-SUM('15 Year Pro Forma'!$E$66:NL$66))</f>
        <v>0</v>
      </c>
      <c r="NO66" s="956">
        <f>MIN(NO60*$C$65,Application!$AO$636-SUM('15 Year Pro Forma'!$E$66:NN$66))</f>
        <v>0</v>
      </c>
      <c r="NQ66" s="956">
        <f>MIN(NQ60*$C$65,Application!$AO$636-SUM('15 Year Pro Forma'!$E$66:NP$66))</f>
        <v>0</v>
      </c>
      <c r="NS66" s="956">
        <f>MIN(NS60*$C$65,Application!$AO$636-SUM('15 Year Pro Forma'!$E$66:NR$66))</f>
        <v>0</v>
      </c>
      <c r="NU66" s="956">
        <f>MIN(NU60*$C$65,Application!$AO$636-SUM('15 Year Pro Forma'!$E$66:NT$66))</f>
        <v>0</v>
      </c>
      <c r="NW66" s="956">
        <f>MIN(NW60*$C$65,Application!$AO$636-SUM('15 Year Pro Forma'!$E$66:NV$66))</f>
        <v>0</v>
      </c>
      <c r="NY66" s="956">
        <f>MIN(NY60*$C$65,Application!$AO$636-SUM('15 Year Pro Forma'!$E$66:NX$66))</f>
        <v>0</v>
      </c>
      <c r="OA66" s="956">
        <f>MIN(OA60*$C$65,Application!$AO$636-SUM('15 Year Pro Forma'!$E$66:NZ$66))</f>
        <v>0</v>
      </c>
      <c r="OC66" s="956">
        <f>MIN(OC60*$C$65,Application!$AO$636-SUM('15 Year Pro Forma'!$E$66:OB$66))</f>
        <v>0</v>
      </c>
      <c r="OE66" s="956">
        <f>MIN(OE60*$C$65,Application!$AO$636-SUM('15 Year Pro Forma'!$E$66:OD$66))</f>
        <v>0</v>
      </c>
      <c r="OG66" s="956">
        <f>MIN(OG60*$C$65,Application!$AO$636-SUM('15 Year Pro Forma'!$E$66:OF$66))</f>
        <v>0</v>
      </c>
      <c r="OI66" s="956">
        <f>MIN(OI60*$C$65,Application!$AO$636-SUM('15 Year Pro Forma'!$E$66:OH$66))</f>
        <v>0</v>
      </c>
      <c r="OK66" s="956">
        <f>MIN(OK60*$C$65,Application!$AO$636-SUM('15 Year Pro Forma'!$E$66:OJ$66))</f>
        <v>0</v>
      </c>
      <c r="OM66" s="956">
        <f>MIN(OM60*$C$65,Application!$AO$636-SUM('15 Year Pro Forma'!$E$66:OL$66))</f>
        <v>0</v>
      </c>
      <c r="OO66" s="956">
        <f>MIN(OO60*$C$65,Application!$AO$636-SUM('15 Year Pro Forma'!$E$66:ON$66))</f>
        <v>0</v>
      </c>
      <c r="OQ66" s="956">
        <f>MIN(OQ60*$C$65,Application!$AO$636-SUM('15 Year Pro Forma'!$E$66:OP$66))</f>
        <v>0</v>
      </c>
      <c r="OS66" s="956">
        <f>MIN(OS60*$C$65,Application!$AO$636-SUM('15 Year Pro Forma'!$E$66:OR$66))</f>
        <v>0</v>
      </c>
      <c r="OU66" s="956">
        <f>MIN(OU60*$C$65,Application!$AO$636-SUM('15 Year Pro Forma'!$E$66:OT$66))</f>
        <v>0</v>
      </c>
      <c r="OW66" s="956">
        <f>MIN(OW60*$C$65,Application!$AO$636-SUM('15 Year Pro Forma'!$E$66:OV$66))</f>
        <v>0</v>
      </c>
      <c r="OY66" s="956">
        <f>MIN(OY60*$C$65,Application!$AO$636-SUM('15 Year Pro Forma'!$E$66:OX$66))</f>
        <v>0</v>
      </c>
      <c r="PA66" s="956">
        <f>MIN(PA60*$C$65,Application!$AO$636-SUM('15 Year Pro Forma'!$E$66:OZ$66))</f>
        <v>0</v>
      </c>
      <c r="PC66" s="956">
        <f>MIN(PC60*$C$65,Application!$AO$636-SUM('15 Year Pro Forma'!$E$66:PB$66))</f>
        <v>0</v>
      </c>
      <c r="PE66" s="956">
        <f>MIN(PE60*$C$65,Application!$AO$636-SUM('15 Year Pro Forma'!$E$66:PD$66))</f>
        <v>0</v>
      </c>
      <c r="PG66" s="956">
        <f>MIN(PG60*$C$65,Application!$AO$636-SUM('15 Year Pro Forma'!$E$66:PF$66))</f>
        <v>0</v>
      </c>
      <c r="PI66" s="956">
        <f>MIN(PI60*$C$65,Application!$AO$636-SUM('15 Year Pro Forma'!$E$66:PH$66))</f>
        <v>0</v>
      </c>
      <c r="PK66" s="956">
        <f>MIN(PK60*$C$65,Application!$AO$636-SUM('15 Year Pro Forma'!$E$66:PJ$66))</f>
        <v>0</v>
      </c>
      <c r="PM66" s="956">
        <f>MIN(PM60*$C$65,Application!$AO$636-SUM('15 Year Pro Forma'!$E$66:PL$66))</f>
        <v>0</v>
      </c>
      <c r="PO66" s="956">
        <f>MIN(PO60*$C$65,Application!$AO$636-SUM('15 Year Pro Forma'!$E$66:PN$66))</f>
        <v>0</v>
      </c>
      <c r="PQ66" s="956">
        <f>MIN(PQ60*$C$65,Application!$AO$636-SUM('15 Year Pro Forma'!$E$66:PP$66))</f>
        <v>0</v>
      </c>
      <c r="PS66" s="956">
        <f>MIN(PS60*$C$65,Application!$AO$636-SUM('15 Year Pro Forma'!$E$66:PR$66))</f>
        <v>0</v>
      </c>
      <c r="PU66" s="956">
        <f>MIN(PU60*$C$65,Application!$AO$636-SUM('15 Year Pro Forma'!$E$66:PT$66))</f>
        <v>0</v>
      </c>
      <c r="PW66" s="956">
        <f>MIN(PW60*$C$65,Application!$AO$636-SUM('15 Year Pro Forma'!$E$66:PV$66))</f>
        <v>0</v>
      </c>
      <c r="PY66" s="956">
        <f>MIN(PY60*$C$65,Application!$AO$636-SUM('15 Year Pro Forma'!$E$66:PX$66))</f>
        <v>0</v>
      </c>
      <c r="QA66" s="956">
        <f>MIN(QA60*$C$65,Application!$AO$636-SUM('15 Year Pro Forma'!$E$66:PZ$66))</f>
        <v>0</v>
      </c>
      <c r="QC66" s="956">
        <f>MIN(QC60*$C$65,Application!$AO$636-SUM('15 Year Pro Forma'!$E$66:QB$66))</f>
        <v>0</v>
      </c>
      <c r="QE66" s="956">
        <f>MIN(QE60*$C$65,Application!$AO$636-SUM('15 Year Pro Forma'!$E$66:QD$66))</f>
        <v>0</v>
      </c>
      <c r="QG66" s="956">
        <f>MIN(QG60*$C$65,Application!$AO$636-SUM('15 Year Pro Forma'!$E$66:QF$66))</f>
        <v>0</v>
      </c>
      <c r="QI66" s="956">
        <f>MIN(QI60*$C$65,Application!$AO$636-SUM('15 Year Pro Forma'!$E$66:QH$66))</f>
        <v>0</v>
      </c>
      <c r="QK66" s="956">
        <f>MIN(QK60*$C$65,Application!$AO$636-SUM('15 Year Pro Forma'!$E$66:QJ$66))</f>
        <v>0</v>
      </c>
      <c r="QM66" s="956">
        <f>MIN(QM60*$C$65,Application!$AO$636-SUM('15 Year Pro Forma'!$E$66:QL$66))</f>
        <v>0</v>
      </c>
      <c r="QO66" s="956">
        <f>MIN(QO60*$C$65,Application!$AO$636-SUM('15 Year Pro Forma'!$E$66:QN$66))</f>
        <v>0</v>
      </c>
      <c r="QQ66" s="956">
        <f>MIN(QQ60*$C$65,Application!$AO$636-SUM('15 Year Pro Forma'!$E$66:QP$66))</f>
        <v>0</v>
      </c>
      <c r="QS66" s="956">
        <f>MIN(QS60*$C$65,Application!$AO$636-SUM('15 Year Pro Forma'!$E$66:QR$66))</f>
        <v>0</v>
      </c>
      <c r="QU66" s="956">
        <f>MIN(QU60*$C$65,Application!$AO$636-SUM('15 Year Pro Forma'!$E$66:QT$66))</f>
        <v>0</v>
      </c>
      <c r="QW66" s="956">
        <f>MIN(QW60*$C$65,Application!$AO$636-SUM('15 Year Pro Forma'!$E$66:QV$66))</f>
        <v>0</v>
      </c>
      <c r="QY66" s="956">
        <f>MIN(QY60*$C$65,Application!$AO$636-SUM('15 Year Pro Forma'!$E$66:QX$66))</f>
        <v>0</v>
      </c>
      <c r="RA66" s="956">
        <f>MIN(RA60*$C$65,Application!$AO$636-SUM('15 Year Pro Forma'!$E$66:QZ$66))</f>
        <v>0</v>
      </c>
      <c r="RC66" s="956">
        <f>MIN(RC60*$C$65,Application!$AO$636-SUM('15 Year Pro Forma'!$E$66:RB$66))</f>
        <v>0</v>
      </c>
      <c r="RE66" s="956">
        <f>MIN(RE60*$C$65,Application!$AO$636-SUM('15 Year Pro Forma'!$E$66:RD$66))</f>
        <v>0</v>
      </c>
      <c r="RG66" s="956">
        <f>MIN(RG60*$C$65,Application!$AO$636-SUM('15 Year Pro Forma'!$E$66:RF$66))</f>
        <v>0</v>
      </c>
      <c r="RI66" s="956">
        <f>MIN(RI60*$C$65,Application!$AO$636-SUM('15 Year Pro Forma'!$E$66:RH$66))</f>
        <v>0</v>
      </c>
      <c r="RK66" s="956">
        <f>MIN(RK60*$C$65,Application!$AO$636-SUM('15 Year Pro Forma'!$E$66:RJ$66))</f>
        <v>0</v>
      </c>
      <c r="RM66" s="956">
        <f>MIN(RM60*$C$65,Application!$AO$636-SUM('15 Year Pro Forma'!$E$66:RL$66))</f>
        <v>0</v>
      </c>
      <c r="RO66" s="956">
        <f>MIN(RO60*$C$65,Application!$AO$636-SUM('15 Year Pro Forma'!$E$66:RN$66))</f>
        <v>0</v>
      </c>
      <c r="RQ66" s="956">
        <f>MIN(RQ60*$C$65,Application!$AO$636-SUM('15 Year Pro Forma'!$E$66:RP$66))</f>
        <v>0</v>
      </c>
      <c r="RS66" s="956">
        <f>MIN(RS60*$C$65,Application!$AO$636-SUM('15 Year Pro Forma'!$E$66:RR$66))</f>
        <v>0</v>
      </c>
      <c r="RU66" s="956">
        <f>MIN(RU60*$C$65,Application!$AO$636-SUM('15 Year Pro Forma'!$E$66:RT$66))</f>
        <v>0</v>
      </c>
      <c r="RW66" s="956">
        <f>MIN(RW60*$C$65,Application!$AO$636-SUM('15 Year Pro Forma'!$E$66:RV$66))</f>
        <v>0</v>
      </c>
      <c r="RY66" s="956">
        <f>MIN(RY60*$C$65,Application!$AO$636-SUM('15 Year Pro Forma'!$E$66:RX$66))</f>
        <v>0</v>
      </c>
      <c r="SA66" s="956">
        <f>MIN(SA60*$C$65,Application!$AO$636-SUM('15 Year Pro Forma'!$E$66:RZ$66))</f>
        <v>0</v>
      </c>
      <c r="SC66" s="956">
        <f>MIN(SC60*$C$65,Application!$AO$636-SUM('15 Year Pro Forma'!$E$66:SB$66))</f>
        <v>0</v>
      </c>
      <c r="SE66" s="956">
        <f>MIN(SE60*$C$65,Application!$AO$636-SUM('15 Year Pro Forma'!$E$66:SD$66))</f>
        <v>0</v>
      </c>
      <c r="SG66" s="956">
        <f>MIN(SG60*$C$65,Application!$AO$636-SUM('15 Year Pro Forma'!$E$66:SF$66))</f>
        <v>0</v>
      </c>
      <c r="SI66" s="956">
        <f>MIN(SI60*$C$65,Application!$AO$636-SUM('15 Year Pro Forma'!$E$66:SH$66))</f>
        <v>0</v>
      </c>
      <c r="SK66" s="956">
        <f>MIN(SK60*$C$65,Application!$AO$636-SUM('15 Year Pro Forma'!$E$66:SJ$66))</f>
        <v>0</v>
      </c>
      <c r="SM66" s="956">
        <f>MIN(SM60*$C$65,Application!$AO$636-SUM('15 Year Pro Forma'!$E$66:SL$66))</f>
        <v>0</v>
      </c>
      <c r="SO66" s="956">
        <f>MIN(SO60*$C$65,Application!$AO$636-SUM('15 Year Pro Forma'!$E$66:SN$66))</f>
        <v>0</v>
      </c>
      <c r="SQ66" s="956">
        <f>MIN(SQ60*$C$65,Application!$AO$636-SUM('15 Year Pro Forma'!$E$66:SP$66))</f>
        <v>0</v>
      </c>
      <c r="SS66" s="956">
        <f>MIN(SS60*$C$65,Application!$AO$636-SUM('15 Year Pro Forma'!$E$66:SR$66))</f>
        <v>0</v>
      </c>
      <c r="SU66" s="956">
        <f>MIN(SU60*$C$65,Application!$AO$636-SUM('15 Year Pro Forma'!$E$66:ST$66))</f>
        <v>0</v>
      </c>
      <c r="SW66" s="956">
        <f>MIN(SW60*$C$65,Application!$AO$636-SUM('15 Year Pro Forma'!$E$66:SV$66))</f>
        <v>0</v>
      </c>
      <c r="SY66" s="956">
        <f>MIN(SY60*$C$65,Application!$AO$636-SUM('15 Year Pro Forma'!$E$66:SX$66))</f>
        <v>0</v>
      </c>
      <c r="TA66" s="956">
        <f>MIN(TA60*$C$65,Application!$AO$636-SUM('15 Year Pro Forma'!$E$66:SZ$66))</f>
        <v>0</v>
      </c>
      <c r="TC66" s="956">
        <f>MIN(TC60*$C$65,Application!$AO$636-SUM('15 Year Pro Forma'!$E$66:TB$66))</f>
        <v>0</v>
      </c>
      <c r="TE66" s="956">
        <f>MIN(TE60*$C$65,Application!$AO$636-SUM('15 Year Pro Forma'!$E$66:TD$66))</f>
        <v>0</v>
      </c>
      <c r="TG66" s="956">
        <f>MIN(TG60*$C$65,Application!$AO$636-SUM('15 Year Pro Forma'!$E$66:TF$66))</f>
        <v>0</v>
      </c>
      <c r="TI66" s="956">
        <f>MIN(TI60*$C$65,Application!$AO$636-SUM('15 Year Pro Forma'!$E$66:TH$66))</f>
        <v>0</v>
      </c>
      <c r="TK66" s="956">
        <f>MIN(TK60*$C$65,Application!$AO$636-SUM('15 Year Pro Forma'!$E$66:TJ$66))</f>
        <v>0</v>
      </c>
      <c r="TM66" s="956">
        <f>MIN(TM60*$C$65,Application!$AO$636-SUM('15 Year Pro Forma'!$E$66:TL$66))</f>
        <v>0</v>
      </c>
      <c r="TO66" s="956">
        <f>MIN(TO60*$C$65,Application!$AO$636-SUM('15 Year Pro Forma'!$E$66:TN$66))</f>
        <v>0</v>
      </c>
      <c r="TQ66" s="956">
        <f>MIN(TQ60*$C$65,Application!$AO$636-SUM('15 Year Pro Forma'!$E$66:TP$66))</f>
        <v>0</v>
      </c>
      <c r="TS66" s="956">
        <f>MIN(TS60*$C$65,Application!$AO$636-SUM('15 Year Pro Forma'!$E$66:TR$66))</f>
        <v>0</v>
      </c>
      <c r="TU66" s="956">
        <f>MIN(TU60*$C$65,Application!$AO$636-SUM('15 Year Pro Forma'!$E$66:TT$66))</f>
        <v>0</v>
      </c>
      <c r="TW66" s="956">
        <f>MIN(TW60*$C$65,Application!$AO$636-SUM('15 Year Pro Forma'!$E$66:TV$66))</f>
        <v>0</v>
      </c>
      <c r="TY66" s="956">
        <f>MIN(TY60*$C$65,Application!$AO$636-SUM('15 Year Pro Forma'!$E$66:TX$66))</f>
        <v>0</v>
      </c>
      <c r="UA66" s="956">
        <f>MIN(UA60*$C$65,Application!$AO$636-SUM('15 Year Pro Forma'!$E$66:TZ$66))</f>
        <v>0</v>
      </c>
      <c r="UC66" s="956">
        <f>MIN(UC60*$C$65,Application!$AO$636-SUM('15 Year Pro Forma'!$E$66:UB$66))</f>
        <v>0</v>
      </c>
      <c r="UE66" s="956">
        <f>MIN(UE60*$C$65,Application!$AO$636-SUM('15 Year Pro Forma'!$E$66:UD$66))</f>
        <v>0</v>
      </c>
      <c r="UG66" s="956">
        <f>MIN(UG60*$C$65,Application!$AO$636-SUM('15 Year Pro Forma'!$E$66:UF$66))</f>
        <v>0</v>
      </c>
      <c r="UI66" s="956">
        <f>MIN(UI60*$C$65,Application!$AO$636-SUM('15 Year Pro Forma'!$E$66:UH$66))</f>
        <v>0</v>
      </c>
      <c r="UK66" s="956">
        <f>MIN(UK60*$C$65,Application!$AO$636-SUM('15 Year Pro Forma'!$E$66:UJ$66))</f>
        <v>0</v>
      </c>
      <c r="UM66" s="956">
        <f>MIN(UM60*$C$65,Application!$AO$636-SUM('15 Year Pro Forma'!$E$66:UL$66))</f>
        <v>0</v>
      </c>
      <c r="UO66" s="956">
        <f>MIN(UO60*$C$65,Application!$AO$636-SUM('15 Year Pro Forma'!$E$66:UN$66))</f>
        <v>0</v>
      </c>
      <c r="UQ66" s="956">
        <f>MIN(UQ60*$C$65,Application!$AO$636-SUM('15 Year Pro Forma'!$E$66:UP$66))</f>
        <v>0</v>
      </c>
      <c r="US66" s="956">
        <f>MIN(US60*$C$65,Application!$AO$636-SUM('15 Year Pro Forma'!$E$66:UR$66))</f>
        <v>0</v>
      </c>
      <c r="UU66" s="956">
        <f>MIN(UU60*$C$65,Application!$AO$636-SUM('15 Year Pro Forma'!$E$66:UT$66))</f>
        <v>0</v>
      </c>
      <c r="UW66" s="956">
        <f>MIN(UW60*$C$65,Application!$AO$636-SUM('15 Year Pro Forma'!$E$66:UV$66))</f>
        <v>0</v>
      </c>
      <c r="UY66" s="956">
        <f>MIN(UY60*$C$65,Application!$AO$636-SUM('15 Year Pro Forma'!$E$66:UX$66))</f>
        <v>0</v>
      </c>
      <c r="VA66" s="956">
        <f>MIN(VA60*$C$65,Application!$AO$636-SUM('15 Year Pro Forma'!$E$66:UZ$66))</f>
        <v>0</v>
      </c>
      <c r="VC66" s="956">
        <f>MIN(VC60*$C$65,Application!$AO$636-SUM('15 Year Pro Forma'!$E$66:VB$66))</f>
        <v>0</v>
      </c>
      <c r="VE66" s="956">
        <f>MIN(VE60*$C$65,Application!$AO$636-SUM('15 Year Pro Forma'!$E$66:VD$66))</f>
        <v>0</v>
      </c>
      <c r="VG66" s="956">
        <f>MIN(VG60*$C$65,Application!$AO$636-SUM('15 Year Pro Forma'!$E$66:VF$66))</f>
        <v>0</v>
      </c>
      <c r="VI66" s="956">
        <f>MIN(VI60*$C$65,Application!$AO$636-SUM('15 Year Pro Forma'!$E$66:VH$66))</f>
        <v>0</v>
      </c>
      <c r="VK66" s="956">
        <f>MIN(VK60*$C$65,Application!$AO$636-SUM('15 Year Pro Forma'!$E$66:VJ$66))</f>
        <v>0</v>
      </c>
      <c r="VM66" s="956">
        <f>MIN(VM60*$C$65,Application!$AO$636-SUM('15 Year Pro Forma'!$E$66:VL$66))</f>
        <v>0</v>
      </c>
      <c r="VO66" s="956">
        <f>MIN(VO60*$C$65,Application!$AO$636-SUM('15 Year Pro Forma'!$E$66:VN$66))</f>
        <v>0</v>
      </c>
      <c r="VQ66" s="956">
        <f>MIN(VQ60*$C$65,Application!$AO$636-SUM('15 Year Pro Forma'!$E$66:VP$66))</f>
        <v>0</v>
      </c>
      <c r="VS66" s="956">
        <f>MIN(VS60*$C$65,Application!$AO$636-SUM('15 Year Pro Forma'!$E$66:VR$66))</f>
        <v>0</v>
      </c>
      <c r="VU66" s="956">
        <f>MIN(VU60*$C$65,Application!$AO$636-SUM('15 Year Pro Forma'!$E$66:VT$66))</f>
        <v>0</v>
      </c>
      <c r="VW66" s="956">
        <f>MIN(VW60*$C$65,Application!$AO$636-SUM('15 Year Pro Forma'!$E$66:VV$66))</f>
        <v>0</v>
      </c>
      <c r="VY66" s="956">
        <f>MIN(VY60*$C$65,Application!$AO$636-SUM('15 Year Pro Forma'!$E$66:VX$66))</f>
        <v>0</v>
      </c>
      <c r="WA66" s="956">
        <f>MIN(WA60*$C$65,Application!$AO$636-SUM('15 Year Pro Forma'!$E$66:VZ$66))</f>
        <v>0</v>
      </c>
      <c r="WC66" s="956">
        <f>MIN(WC60*$C$65,Application!$AO$636-SUM('15 Year Pro Forma'!$E$66:WB$66))</f>
        <v>0</v>
      </c>
      <c r="WE66" s="956">
        <f>MIN(WE60*$C$65,Application!$AO$636-SUM('15 Year Pro Forma'!$E$66:WD$66))</f>
        <v>0</v>
      </c>
      <c r="WG66" s="956">
        <f>MIN(WG60*$C$65,Application!$AO$636-SUM('15 Year Pro Forma'!$E$66:WF$66))</f>
        <v>0</v>
      </c>
      <c r="WI66" s="956">
        <f>MIN(WI60*$C$65,Application!$AO$636-SUM('15 Year Pro Forma'!$E$66:WH$66))</f>
        <v>0</v>
      </c>
      <c r="WK66" s="956">
        <f>MIN(WK60*$C$65,Application!$AO$636-SUM('15 Year Pro Forma'!$E$66:WJ$66))</f>
        <v>0</v>
      </c>
      <c r="WM66" s="956">
        <f>MIN(WM60*$C$65,Application!$AO$636-SUM('15 Year Pro Forma'!$E$66:WL$66))</f>
        <v>0</v>
      </c>
      <c r="WO66" s="956">
        <f>MIN(WO60*$C$65,Application!$AO$636-SUM('15 Year Pro Forma'!$E$66:WN$66))</f>
        <v>0</v>
      </c>
      <c r="WQ66" s="956">
        <f>MIN(WQ60*$C$65,Application!$AO$636-SUM('15 Year Pro Forma'!$E$66:WP$66))</f>
        <v>0</v>
      </c>
      <c r="WS66" s="956">
        <f>MIN(WS60*$C$65,Application!$AO$636-SUM('15 Year Pro Forma'!$E$66:WR$66))</f>
        <v>0</v>
      </c>
      <c r="WU66" s="956">
        <f>MIN(WU60*$C$65,Application!$AO$636-SUM('15 Year Pro Forma'!$E$66:WT$66))</f>
        <v>0</v>
      </c>
      <c r="WW66" s="956">
        <f>MIN(WW60*$C$65,Application!$AO$636-SUM('15 Year Pro Forma'!$E$66:WV$66))</f>
        <v>0</v>
      </c>
      <c r="WY66" s="956">
        <f>MIN(WY60*$C$65,Application!$AO$636-SUM('15 Year Pro Forma'!$E$66:WX$66))</f>
        <v>0</v>
      </c>
      <c r="XA66" s="956">
        <f>MIN(XA60*$C$65,Application!$AO$636-SUM('15 Year Pro Forma'!$E$66:WZ$66))</f>
        <v>0</v>
      </c>
      <c r="XC66" s="956">
        <f>MIN(XC60*$C$65,Application!$AO$636-SUM('15 Year Pro Forma'!$E$66:XB$66))</f>
        <v>0</v>
      </c>
      <c r="XE66" s="956">
        <f>MIN(XE60*$C$65,Application!$AO$636-SUM('15 Year Pro Forma'!$E$66:XD$66))</f>
        <v>0</v>
      </c>
      <c r="XG66" s="956">
        <f>MIN(XG60*$C$65,Application!$AO$636-SUM('15 Year Pro Forma'!$E$66:XF$66))</f>
        <v>0</v>
      </c>
      <c r="XI66" s="956">
        <f>MIN(XI60*$C$65,Application!$AO$636-SUM('15 Year Pro Forma'!$E$66:XH$66))</f>
        <v>0</v>
      </c>
      <c r="XK66" s="956">
        <f>MIN(XK60*$C$65,Application!$AO$636-SUM('15 Year Pro Forma'!$E$66:XJ$66))</f>
        <v>0</v>
      </c>
      <c r="XM66" s="956">
        <f>MIN(XM60*$C$65,Application!$AO$636-SUM('15 Year Pro Forma'!$E$66:XL$66))</f>
        <v>0</v>
      </c>
      <c r="XO66" s="956">
        <f>MIN(XO60*$C$65,Application!$AO$636-SUM('15 Year Pro Forma'!$E$66:XN$66))</f>
        <v>0</v>
      </c>
      <c r="XQ66" s="956">
        <f>MIN(XQ60*$C$65,Application!$AO$636-SUM('15 Year Pro Forma'!$E$66:XP$66))</f>
        <v>0</v>
      </c>
      <c r="XS66" s="956">
        <f>MIN(XS60*$C$65,Application!$AO$636-SUM('15 Year Pro Forma'!$E$66:XR$66))</f>
        <v>0</v>
      </c>
      <c r="XU66" s="956">
        <f>MIN(XU60*$C$65,Application!$AO$636-SUM('15 Year Pro Forma'!$E$66:XT$66))</f>
        <v>0</v>
      </c>
      <c r="XW66" s="956">
        <f>MIN(XW60*$C$65,Application!$AO$636-SUM('15 Year Pro Forma'!$E$66:XV$66))</f>
        <v>0</v>
      </c>
      <c r="XY66" s="956">
        <f>MIN(XY60*$C$65,Application!$AO$636-SUM('15 Year Pro Forma'!$E$66:XX$66))</f>
        <v>0</v>
      </c>
      <c r="YA66" s="956">
        <f>MIN(YA60*$C$65,Application!$AO$636-SUM('15 Year Pro Forma'!$E$66:XZ$66))</f>
        <v>0</v>
      </c>
      <c r="YC66" s="956">
        <f>MIN(YC60*$C$65,Application!$AO$636-SUM('15 Year Pro Forma'!$E$66:YB$66))</f>
        <v>0</v>
      </c>
      <c r="YE66" s="956">
        <f>MIN(YE60*$C$65,Application!$AO$636-SUM('15 Year Pro Forma'!$E$66:YD$66))</f>
        <v>0</v>
      </c>
      <c r="YG66" s="956">
        <f>MIN(YG60*$C$65,Application!$AO$636-SUM('15 Year Pro Forma'!$E$66:YF$66))</f>
        <v>0</v>
      </c>
      <c r="YI66" s="956">
        <f>MIN(YI60*$C$65,Application!$AO$636-SUM('15 Year Pro Forma'!$E$66:YH$66))</f>
        <v>0</v>
      </c>
      <c r="YK66" s="956">
        <f>MIN(YK60*$C$65,Application!$AO$636-SUM('15 Year Pro Forma'!$E$66:YJ$66))</f>
        <v>0</v>
      </c>
      <c r="YM66" s="956">
        <f>MIN(YM60*$C$65,Application!$AO$636-SUM('15 Year Pro Forma'!$E$66:YL$66))</f>
        <v>0</v>
      </c>
      <c r="YO66" s="956">
        <f>MIN(YO60*$C$65,Application!$AO$636-SUM('15 Year Pro Forma'!$E$66:YN$66))</f>
        <v>0</v>
      </c>
      <c r="YQ66" s="956">
        <f>MIN(YQ60*$C$65,Application!$AO$636-SUM('15 Year Pro Forma'!$E$66:YP$66))</f>
        <v>0</v>
      </c>
      <c r="YS66" s="956">
        <f>MIN(YS60*$C$65,Application!$AO$636-SUM('15 Year Pro Forma'!$E$66:YR$66))</f>
        <v>0</v>
      </c>
      <c r="YU66" s="956">
        <f>MIN(YU60*$C$65,Application!$AO$636-SUM('15 Year Pro Forma'!$E$66:YT$66))</f>
        <v>0</v>
      </c>
      <c r="YW66" s="956">
        <f>MIN(YW60*$C$65,Application!$AO$636-SUM('15 Year Pro Forma'!$E$66:YV$66))</f>
        <v>0</v>
      </c>
      <c r="YY66" s="956">
        <f>MIN(YY60*$C$65,Application!$AO$636-SUM('15 Year Pro Forma'!$E$66:YX$66))</f>
        <v>0</v>
      </c>
      <c r="ZA66" s="956">
        <f>MIN(ZA60*$C$65,Application!$AO$636-SUM('15 Year Pro Forma'!$E$66:YZ$66))</f>
        <v>0</v>
      </c>
      <c r="ZC66" s="956">
        <f>MIN(ZC60*$C$65,Application!$AO$636-SUM('15 Year Pro Forma'!$E$66:ZB$66))</f>
        <v>0</v>
      </c>
      <c r="ZE66" s="956">
        <f>MIN(ZE60*$C$65,Application!$AO$636-SUM('15 Year Pro Forma'!$E$66:ZD$66))</f>
        <v>0</v>
      </c>
      <c r="ZG66" s="956">
        <f>MIN(ZG60*$C$65,Application!$AO$636-SUM('15 Year Pro Forma'!$E$66:ZF$66))</f>
        <v>0</v>
      </c>
      <c r="ZI66" s="956">
        <f>MIN(ZI60*$C$65,Application!$AO$636-SUM('15 Year Pro Forma'!$E$66:ZH$66))</f>
        <v>0</v>
      </c>
      <c r="ZK66" s="956">
        <f>MIN(ZK60*$C$65,Application!$AO$636-SUM('15 Year Pro Forma'!$E$66:ZJ$66))</f>
        <v>0</v>
      </c>
      <c r="ZM66" s="956">
        <f>MIN(ZM60*$C$65,Application!$AO$636-SUM('15 Year Pro Forma'!$E$66:ZL$66))</f>
        <v>0</v>
      </c>
      <c r="ZO66" s="956">
        <f>MIN(ZO60*$C$65,Application!$AO$636-SUM('15 Year Pro Forma'!$E$66:ZN$66))</f>
        <v>0</v>
      </c>
      <c r="ZQ66" s="956">
        <f>MIN(ZQ60*$C$65,Application!$AO$636-SUM('15 Year Pro Forma'!$E$66:ZP$66))</f>
        <v>0</v>
      </c>
      <c r="ZS66" s="956">
        <f>MIN(ZS60*$C$65,Application!$AO$636-SUM('15 Year Pro Forma'!$E$66:ZR$66))</f>
        <v>0</v>
      </c>
      <c r="ZU66" s="956">
        <f>MIN(ZU60*$C$65,Application!$AO$636-SUM('15 Year Pro Forma'!$E$66:ZT$66))</f>
        <v>0</v>
      </c>
      <c r="ZW66" s="956">
        <f>MIN(ZW60*$C$65,Application!$AO$636-SUM('15 Year Pro Forma'!$E$66:ZV$66))</f>
        <v>0</v>
      </c>
      <c r="ZY66" s="956">
        <f>MIN(ZY60*$C$65,Application!$AO$636-SUM('15 Year Pro Forma'!$E$66:ZX$66))</f>
        <v>0</v>
      </c>
      <c r="AAA66" s="956">
        <f>MIN(AAA60*$C$65,Application!$AO$636-SUM('15 Year Pro Forma'!$E$66:ZZ$66))</f>
        <v>0</v>
      </c>
      <c r="AAC66" s="956">
        <f>MIN(AAC60*$C$65,Application!$AO$636-SUM('15 Year Pro Forma'!$E$66:AAB$66))</f>
        <v>0</v>
      </c>
      <c r="AAE66" s="956">
        <f>MIN(AAE60*$C$65,Application!$AO$636-SUM('15 Year Pro Forma'!$E$66:AAD$66))</f>
        <v>0</v>
      </c>
      <c r="AAG66" s="956">
        <f>MIN(AAG60*$C$65,Application!$AO$636-SUM('15 Year Pro Forma'!$E$66:AAF$66))</f>
        <v>0</v>
      </c>
      <c r="AAI66" s="956">
        <f>MIN(AAI60*$C$65,Application!$AO$636-SUM('15 Year Pro Forma'!$E$66:AAH$66))</f>
        <v>0</v>
      </c>
      <c r="AAK66" s="956">
        <f>MIN(AAK60*$C$65,Application!$AO$636-SUM('15 Year Pro Forma'!$E$66:AAJ$66))</f>
        <v>0</v>
      </c>
      <c r="AAM66" s="956">
        <f>MIN(AAM60*$C$65,Application!$AO$636-SUM('15 Year Pro Forma'!$E$66:AAL$66))</f>
        <v>0</v>
      </c>
      <c r="AAO66" s="956">
        <f>MIN(AAO60*$C$65,Application!$AO$636-SUM('15 Year Pro Forma'!$E$66:AAN$66))</f>
        <v>0</v>
      </c>
      <c r="AAQ66" s="956">
        <f>MIN(AAQ60*$C$65,Application!$AO$636-SUM('15 Year Pro Forma'!$E$66:AAP$66))</f>
        <v>0</v>
      </c>
      <c r="AAS66" s="956">
        <f>MIN(AAS60*$C$65,Application!$AO$636-SUM('15 Year Pro Forma'!$E$66:AAR$66))</f>
        <v>0</v>
      </c>
      <c r="AAU66" s="956">
        <f>MIN(AAU60*$C$65,Application!$AO$636-SUM('15 Year Pro Forma'!$E$66:AAT$66))</f>
        <v>0</v>
      </c>
      <c r="AAW66" s="956">
        <f>MIN(AAW60*$C$65,Application!$AO$636-SUM('15 Year Pro Forma'!$E$66:AAV$66))</f>
        <v>0</v>
      </c>
      <c r="AAY66" s="956">
        <f>MIN(AAY60*$C$65,Application!$AO$636-SUM('15 Year Pro Forma'!$E$66:AAX$66))</f>
        <v>0</v>
      </c>
      <c r="ABA66" s="956">
        <f>MIN(ABA60*$C$65,Application!$AO$636-SUM('15 Year Pro Forma'!$E$66:AAZ$66))</f>
        <v>0</v>
      </c>
      <c r="ABC66" s="956">
        <f>MIN(ABC60*$C$65,Application!$AO$636-SUM('15 Year Pro Forma'!$E$66:ABB$66))</f>
        <v>0</v>
      </c>
      <c r="ABE66" s="956">
        <f>MIN(ABE60*$C$65,Application!$AO$636-SUM('15 Year Pro Forma'!$E$66:ABD$66))</f>
        <v>0</v>
      </c>
      <c r="ABG66" s="956">
        <f>MIN(ABG60*$C$65,Application!$AO$636-SUM('15 Year Pro Forma'!$E$66:ABF$66))</f>
        <v>0</v>
      </c>
      <c r="ABI66" s="956">
        <f>MIN(ABI60*$C$65,Application!$AO$636-SUM('15 Year Pro Forma'!$E$66:ABH$66))</f>
        <v>0</v>
      </c>
      <c r="ABK66" s="956">
        <f>MIN(ABK60*$C$65,Application!$AO$636-SUM('15 Year Pro Forma'!$E$66:ABJ$66))</f>
        <v>0</v>
      </c>
      <c r="ABM66" s="956">
        <f>MIN(ABM60*$C$65,Application!$AO$636-SUM('15 Year Pro Forma'!$E$66:ABL$66))</f>
        <v>0</v>
      </c>
      <c r="ABO66" s="956">
        <f>MIN(ABO60*$C$65,Application!$AO$636-SUM('15 Year Pro Forma'!$E$66:ABN$66))</f>
        <v>0</v>
      </c>
      <c r="ABQ66" s="956">
        <f>MIN(ABQ60*$C$65,Application!$AO$636-SUM('15 Year Pro Forma'!$E$66:ABP$66))</f>
        <v>0</v>
      </c>
      <c r="ABS66" s="956">
        <f>MIN(ABS60*$C$65,Application!$AO$636-SUM('15 Year Pro Forma'!$E$66:ABR$66))</f>
        <v>0</v>
      </c>
      <c r="ABU66" s="956">
        <f>MIN(ABU60*$C$65,Application!$AO$636-SUM('15 Year Pro Forma'!$E$66:ABT$66))</f>
        <v>0</v>
      </c>
      <c r="ABW66" s="956">
        <f>MIN(ABW60*$C$65,Application!$AO$636-SUM('15 Year Pro Forma'!$E$66:ABV$66))</f>
        <v>0</v>
      </c>
      <c r="ABY66" s="956">
        <f>MIN(ABY60*$C$65,Application!$AO$636-SUM('15 Year Pro Forma'!$E$66:ABX$66))</f>
        <v>0</v>
      </c>
      <c r="ACA66" s="956">
        <f>MIN(ACA60*$C$65,Application!$AO$636-SUM('15 Year Pro Forma'!$E$66:ABZ$66))</f>
        <v>0</v>
      </c>
      <c r="ACC66" s="956">
        <f>MIN(ACC60*$C$65,Application!$AO$636-SUM('15 Year Pro Forma'!$E$66:ACB$66))</f>
        <v>0</v>
      </c>
      <c r="ACE66" s="956">
        <f>MIN(ACE60*$C$65,Application!$AO$636-SUM('15 Year Pro Forma'!$E$66:ACD$66))</f>
        <v>0</v>
      </c>
      <c r="ACG66" s="956">
        <f>MIN(ACG60*$C$65,Application!$AO$636-SUM('15 Year Pro Forma'!$E$66:ACF$66))</f>
        <v>0</v>
      </c>
      <c r="ACI66" s="956">
        <f>MIN(ACI60*$C$65,Application!$AO$636-SUM('15 Year Pro Forma'!$E$66:ACH$66))</f>
        <v>0</v>
      </c>
      <c r="ACK66" s="956">
        <f>MIN(ACK60*$C$65,Application!$AO$636-SUM('15 Year Pro Forma'!$E$66:ACJ$66))</f>
        <v>0</v>
      </c>
      <c r="ACM66" s="956">
        <f>MIN(ACM60*$C$65,Application!$AO$636-SUM('15 Year Pro Forma'!$E$66:ACL$66))</f>
        <v>0</v>
      </c>
      <c r="ACO66" s="956">
        <f>MIN(ACO60*$C$65,Application!$AO$636-SUM('15 Year Pro Forma'!$E$66:ACN$66))</f>
        <v>0</v>
      </c>
      <c r="ACQ66" s="956">
        <f>MIN(ACQ60*$C$65,Application!$AO$636-SUM('15 Year Pro Forma'!$E$66:ACP$66))</f>
        <v>0</v>
      </c>
      <c r="ACS66" s="956">
        <f>MIN(ACS60*$C$65,Application!$AO$636-SUM('15 Year Pro Forma'!$E$66:ACR$66))</f>
        <v>0</v>
      </c>
      <c r="ACU66" s="956">
        <f>MIN(ACU60*$C$65,Application!$AO$636-SUM('15 Year Pro Forma'!$E$66:ACT$66))</f>
        <v>0</v>
      </c>
      <c r="ACW66" s="956">
        <f>MIN(ACW60*$C$65,Application!$AO$636-SUM('15 Year Pro Forma'!$E$66:ACV$66))</f>
        <v>0</v>
      </c>
      <c r="ACY66" s="956">
        <f>MIN(ACY60*$C$65,Application!$AO$636-SUM('15 Year Pro Forma'!$E$66:ACX$66))</f>
        <v>0</v>
      </c>
      <c r="ADA66" s="956">
        <f>MIN(ADA60*$C$65,Application!$AO$636-SUM('15 Year Pro Forma'!$E$66:ACZ$66))</f>
        <v>0</v>
      </c>
      <c r="ADC66" s="956">
        <f>MIN(ADC60*$C$65,Application!$AO$636-SUM('15 Year Pro Forma'!$E$66:ADB$66))</f>
        <v>0</v>
      </c>
      <c r="ADE66" s="956">
        <f>MIN(ADE60*$C$65,Application!$AO$636-SUM('15 Year Pro Forma'!$E$66:ADD$66))</f>
        <v>0</v>
      </c>
      <c r="ADG66" s="956">
        <f>MIN(ADG60*$C$65,Application!$AO$636-SUM('15 Year Pro Forma'!$E$66:ADF$66))</f>
        <v>0</v>
      </c>
      <c r="ADI66" s="956">
        <f>MIN(ADI60*$C$65,Application!$AO$636-SUM('15 Year Pro Forma'!$E$66:ADH$66))</f>
        <v>0</v>
      </c>
      <c r="ADK66" s="956">
        <f>MIN(ADK60*$C$65,Application!$AO$636-SUM('15 Year Pro Forma'!$E$66:ADJ$66))</f>
        <v>0</v>
      </c>
      <c r="ADM66" s="956">
        <f>MIN(ADM60*$C$65,Application!$AO$636-SUM('15 Year Pro Forma'!$E$66:ADL$66))</f>
        <v>0</v>
      </c>
      <c r="ADO66" s="956">
        <f>MIN(ADO60*$C$65,Application!$AO$636-SUM('15 Year Pro Forma'!$E$66:ADN$66))</f>
        <v>0</v>
      </c>
      <c r="ADQ66" s="956">
        <f>MIN(ADQ60*$C$65,Application!$AO$636-SUM('15 Year Pro Forma'!$E$66:ADP$66))</f>
        <v>0</v>
      </c>
      <c r="ADS66" s="956">
        <f>MIN(ADS60*$C$65,Application!$AO$636-SUM('15 Year Pro Forma'!$E$66:ADR$66))</f>
        <v>0</v>
      </c>
      <c r="ADU66" s="956">
        <f>MIN(ADU60*$C$65,Application!$AO$636-SUM('15 Year Pro Forma'!$E$66:ADT$66))</f>
        <v>0</v>
      </c>
      <c r="ADW66" s="956">
        <f>MIN(ADW60*$C$65,Application!$AO$636-SUM('15 Year Pro Forma'!$E$66:ADV$66))</f>
        <v>0</v>
      </c>
      <c r="ADY66" s="956">
        <f>MIN(ADY60*$C$65,Application!$AO$636-SUM('15 Year Pro Forma'!$E$66:ADX$66))</f>
        <v>0</v>
      </c>
      <c r="AEA66" s="956">
        <f>MIN(AEA60*$C$65,Application!$AO$636-SUM('15 Year Pro Forma'!$E$66:ADZ$66))</f>
        <v>0</v>
      </c>
      <c r="AEC66" s="956">
        <f>MIN(AEC60*$C$65,Application!$AO$636-SUM('15 Year Pro Forma'!$E$66:AEB$66))</f>
        <v>0</v>
      </c>
      <c r="AEE66" s="956">
        <f>MIN(AEE60*$C$65,Application!$AO$636-SUM('15 Year Pro Forma'!$E$66:AED$66))</f>
        <v>0</v>
      </c>
      <c r="AEG66" s="956">
        <f>MIN(AEG60*$C$65,Application!$AO$636-SUM('15 Year Pro Forma'!$E$66:AEF$66))</f>
        <v>0</v>
      </c>
      <c r="AEI66" s="956">
        <f>MIN(AEI60*$C$65,Application!$AO$636-SUM('15 Year Pro Forma'!$E$66:AEH$66))</f>
        <v>0</v>
      </c>
      <c r="AEK66" s="956">
        <f>MIN(AEK60*$C$65,Application!$AO$636-SUM('15 Year Pro Forma'!$E$66:AEJ$66))</f>
        <v>0</v>
      </c>
      <c r="AEM66" s="956">
        <f>MIN(AEM60*$C$65,Application!$AO$636-SUM('15 Year Pro Forma'!$E$66:AEL$66))</f>
        <v>0</v>
      </c>
      <c r="AEO66" s="956">
        <f>MIN(AEO60*$C$65,Application!$AO$636-SUM('15 Year Pro Forma'!$E$66:AEN$66))</f>
        <v>0</v>
      </c>
      <c r="AEQ66" s="956">
        <f>MIN(AEQ60*$C$65,Application!$AO$636-SUM('15 Year Pro Forma'!$E$66:AEP$66))</f>
        <v>0</v>
      </c>
      <c r="AES66" s="956">
        <f>MIN(AES60*$C$65,Application!$AO$636-SUM('15 Year Pro Forma'!$E$66:AER$66))</f>
        <v>0</v>
      </c>
      <c r="AEU66" s="956">
        <f>MIN(AEU60*$C$65,Application!$AO$636-SUM('15 Year Pro Forma'!$E$66:AET$66))</f>
        <v>0</v>
      </c>
      <c r="AEW66" s="956">
        <f>MIN(AEW60*$C$65,Application!$AO$636-SUM('15 Year Pro Forma'!$E$66:AEV$66))</f>
        <v>0</v>
      </c>
      <c r="AEY66" s="956">
        <f>MIN(AEY60*$C$65,Application!$AO$636-SUM('15 Year Pro Forma'!$E$66:AEX$66))</f>
        <v>0</v>
      </c>
      <c r="AFA66" s="956">
        <f>MIN(AFA60*$C$65,Application!$AO$636-SUM('15 Year Pro Forma'!$E$66:AEZ$66))</f>
        <v>0</v>
      </c>
      <c r="AFC66" s="956">
        <f>MIN(AFC60*$C$65,Application!$AO$636-SUM('15 Year Pro Forma'!$E$66:AFB$66))</f>
        <v>0</v>
      </c>
      <c r="AFE66" s="956">
        <f>MIN(AFE60*$C$65,Application!$AO$636-SUM('15 Year Pro Forma'!$E$66:AFD$66))</f>
        <v>0</v>
      </c>
      <c r="AFG66" s="956">
        <f>MIN(AFG60*$C$65,Application!$AO$636-SUM('15 Year Pro Forma'!$E$66:AFF$66))</f>
        <v>0</v>
      </c>
      <c r="AFI66" s="956">
        <f>MIN(AFI60*$C$65,Application!$AO$636-SUM('15 Year Pro Forma'!$E$66:AFH$66))</f>
        <v>0</v>
      </c>
      <c r="AFK66" s="956">
        <f>MIN(AFK60*$C$65,Application!$AO$636-SUM('15 Year Pro Forma'!$E$66:AFJ$66))</f>
        <v>0</v>
      </c>
      <c r="AFM66" s="956">
        <f>MIN(AFM60*$C$65,Application!$AO$636-SUM('15 Year Pro Forma'!$E$66:AFL$66))</f>
        <v>0</v>
      </c>
      <c r="AFO66" s="956">
        <f>MIN(AFO60*$C$65,Application!$AO$636-SUM('15 Year Pro Forma'!$E$66:AFN$66))</f>
        <v>0</v>
      </c>
      <c r="AFQ66" s="956">
        <f>MIN(AFQ60*$C$65,Application!$AO$636-SUM('15 Year Pro Forma'!$E$66:AFP$66))</f>
        <v>0</v>
      </c>
      <c r="AFS66" s="956">
        <f>MIN(AFS60*$C$65,Application!$AO$636-SUM('15 Year Pro Forma'!$E$66:AFR$66))</f>
        <v>0</v>
      </c>
      <c r="AFU66" s="956">
        <f>MIN(AFU60*$C$65,Application!$AO$636-SUM('15 Year Pro Forma'!$E$66:AFT$66))</f>
        <v>0</v>
      </c>
      <c r="AFW66" s="956">
        <f>MIN(AFW60*$C$65,Application!$AO$636-SUM('15 Year Pro Forma'!$E$66:AFV$66))</f>
        <v>0</v>
      </c>
      <c r="AFY66" s="956">
        <f>MIN(AFY60*$C$65,Application!$AO$636-SUM('15 Year Pro Forma'!$E$66:AFX$66))</f>
        <v>0</v>
      </c>
      <c r="AGA66" s="956">
        <f>MIN(AGA60*$C$65,Application!$AO$636-SUM('15 Year Pro Forma'!$E$66:AFZ$66))</f>
        <v>0</v>
      </c>
      <c r="AGC66" s="956">
        <f>MIN(AGC60*$C$65,Application!$AO$636-SUM('15 Year Pro Forma'!$E$66:AGB$66))</f>
        <v>0</v>
      </c>
      <c r="AGE66" s="956">
        <f>MIN(AGE60*$C$65,Application!$AO$636-SUM('15 Year Pro Forma'!$E$66:AGD$66))</f>
        <v>0</v>
      </c>
      <c r="AGG66" s="956">
        <f>MIN(AGG60*$C$65,Application!$AO$636-SUM('15 Year Pro Forma'!$E$66:AGF$66))</f>
        <v>0</v>
      </c>
      <c r="AGI66" s="956">
        <f>MIN(AGI60*$C$65,Application!$AO$636-SUM('15 Year Pro Forma'!$E$66:AGH$66))</f>
        <v>0</v>
      </c>
      <c r="AGK66" s="956">
        <f>MIN(AGK60*$C$65,Application!$AO$636-SUM('15 Year Pro Forma'!$E$66:AGJ$66))</f>
        <v>0</v>
      </c>
      <c r="AGM66" s="956">
        <f>MIN(AGM60*$C$65,Application!$AO$636-SUM('15 Year Pro Forma'!$E$66:AGL$66))</f>
        <v>0</v>
      </c>
      <c r="AGO66" s="956">
        <f>MIN(AGO60*$C$65,Application!$AO$636-SUM('15 Year Pro Forma'!$E$66:AGN$66))</f>
        <v>0</v>
      </c>
      <c r="AGQ66" s="956">
        <f>MIN(AGQ60*$C$65,Application!$AO$636-SUM('15 Year Pro Forma'!$E$66:AGP$66))</f>
        <v>0</v>
      </c>
      <c r="AGS66" s="956">
        <f>MIN(AGS60*$C$65,Application!$AO$636-SUM('15 Year Pro Forma'!$E$66:AGR$66))</f>
        <v>0</v>
      </c>
      <c r="AGU66" s="956">
        <f>MIN(AGU60*$C$65,Application!$AO$636-SUM('15 Year Pro Forma'!$E$66:AGT$66))</f>
        <v>0</v>
      </c>
      <c r="AGW66" s="956">
        <f>MIN(AGW60*$C$65,Application!$AO$636-SUM('15 Year Pro Forma'!$E$66:AGV$66))</f>
        <v>0</v>
      </c>
      <c r="AGY66" s="956">
        <f>MIN(AGY60*$C$65,Application!$AO$636-SUM('15 Year Pro Forma'!$E$66:AGX$66))</f>
        <v>0</v>
      </c>
      <c r="AHA66" s="956">
        <f>MIN(AHA60*$C$65,Application!$AO$636-SUM('15 Year Pro Forma'!$E$66:AGZ$66))</f>
        <v>0</v>
      </c>
      <c r="AHC66" s="956">
        <f>MIN(AHC60*$C$65,Application!$AO$636-SUM('15 Year Pro Forma'!$E$66:AHB$66))</f>
        <v>0</v>
      </c>
      <c r="AHE66" s="956">
        <f>MIN(AHE60*$C$65,Application!$AO$636-SUM('15 Year Pro Forma'!$E$66:AHD$66))</f>
        <v>0</v>
      </c>
      <c r="AHG66" s="956">
        <f>MIN(AHG60*$C$65,Application!$AO$636-SUM('15 Year Pro Forma'!$E$66:AHF$66))</f>
        <v>0</v>
      </c>
      <c r="AHI66" s="956">
        <f>MIN(AHI60*$C$65,Application!$AO$636-SUM('15 Year Pro Forma'!$E$66:AHH$66))</f>
        <v>0</v>
      </c>
      <c r="AHK66" s="956">
        <f>MIN(AHK60*$C$65,Application!$AO$636-SUM('15 Year Pro Forma'!$E$66:AHJ$66))</f>
        <v>0</v>
      </c>
      <c r="AHM66" s="956">
        <f>MIN(AHM60*$C$65,Application!$AO$636-SUM('15 Year Pro Forma'!$E$66:AHL$66))</f>
        <v>0</v>
      </c>
      <c r="AHO66" s="956">
        <f>MIN(AHO60*$C$65,Application!$AO$636-SUM('15 Year Pro Forma'!$E$66:AHN$66))</f>
        <v>0</v>
      </c>
      <c r="AHQ66" s="956">
        <f>MIN(AHQ60*$C$65,Application!$AO$636-SUM('15 Year Pro Forma'!$E$66:AHP$66))</f>
        <v>0</v>
      </c>
      <c r="AHS66" s="956">
        <f>MIN(AHS60*$C$65,Application!$AO$636-SUM('15 Year Pro Forma'!$E$66:AHR$66))</f>
        <v>0</v>
      </c>
      <c r="AHU66" s="956">
        <f>MIN(AHU60*$C$65,Application!$AO$636-SUM('15 Year Pro Forma'!$E$66:AHT$66))</f>
        <v>0</v>
      </c>
      <c r="AHW66" s="956">
        <f>MIN(AHW60*$C$65,Application!$AO$636-SUM('15 Year Pro Forma'!$E$66:AHV$66))</f>
        <v>0</v>
      </c>
      <c r="AHY66" s="956">
        <f>MIN(AHY60*$C$65,Application!$AO$636-SUM('15 Year Pro Forma'!$E$66:AHX$66))</f>
        <v>0</v>
      </c>
      <c r="AIA66" s="956">
        <f>MIN(AIA60*$C$65,Application!$AO$636-SUM('15 Year Pro Forma'!$E$66:AHZ$66))</f>
        <v>0</v>
      </c>
      <c r="AIC66" s="956">
        <f>MIN(AIC60*$C$65,Application!$AO$636-SUM('15 Year Pro Forma'!$E$66:AIB$66))</f>
        <v>0</v>
      </c>
      <c r="AIE66" s="956">
        <f>MIN(AIE60*$C$65,Application!$AO$636-SUM('15 Year Pro Forma'!$E$66:AID$66))</f>
        <v>0</v>
      </c>
      <c r="AIG66" s="956">
        <f>MIN(AIG60*$C$65,Application!$AO$636-SUM('15 Year Pro Forma'!$E$66:AIF$66))</f>
        <v>0</v>
      </c>
      <c r="AII66" s="956">
        <f>MIN(AII60*$C$65,Application!$AO$636-SUM('15 Year Pro Forma'!$E$66:AIH$66))</f>
        <v>0</v>
      </c>
      <c r="AIK66" s="956">
        <f>MIN(AIK60*$C$65,Application!$AO$636-SUM('15 Year Pro Forma'!$E$66:AIJ$66))</f>
        <v>0</v>
      </c>
      <c r="AIM66" s="956">
        <f>MIN(AIM60*$C$65,Application!$AO$636-SUM('15 Year Pro Forma'!$E$66:AIL$66))</f>
        <v>0</v>
      </c>
      <c r="AIO66" s="956">
        <f>MIN(AIO60*$C$65,Application!$AO$636-SUM('15 Year Pro Forma'!$E$66:AIN$66))</f>
        <v>0</v>
      </c>
      <c r="AIQ66" s="956">
        <f>MIN(AIQ60*$C$65,Application!$AO$636-SUM('15 Year Pro Forma'!$E$66:AIP$66))</f>
        <v>0</v>
      </c>
      <c r="AIS66" s="956">
        <f>MIN(AIS60*$C$65,Application!$AO$636-SUM('15 Year Pro Forma'!$E$66:AIR$66))</f>
        <v>0</v>
      </c>
      <c r="AIU66" s="956">
        <f>MIN(AIU60*$C$65,Application!$AO$636-SUM('15 Year Pro Forma'!$E$66:AIT$66))</f>
        <v>0</v>
      </c>
      <c r="AIW66" s="956">
        <f>MIN(AIW60*$C$65,Application!$AO$636-SUM('15 Year Pro Forma'!$E$66:AIV$66))</f>
        <v>0</v>
      </c>
      <c r="AIY66" s="956">
        <f>MIN(AIY60*$C$65,Application!$AO$636-SUM('15 Year Pro Forma'!$E$66:AIX$66))</f>
        <v>0</v>
      </c>
      <c r="AJA66" s="956">
        <f>MIN(AJA60*$C$65,Application!$AO$636-SUM('15 Year Pro Forma'!$E$66:AIZ$66))</f>
        <v>0</v>
      </c>
      <c r="AJC66" s="956">
        <f>MIN(AJC60*$C$65,Application!$AO$636-SUM('15 Year Pro Forma'!$E$66:AJB$66))</f>
        <v>0</v>
      </c>
      <c r="AJE66" s="956">
        <f>MIN(AJE60*$C$65,Application!$AO$636-SUM('15 Year Pro Forma'!$E$66:AJD$66))</f>
        <v>0</v>
      </c>
      <c r="AJG66" s="956">
        <f>MIN(AJG60*$C$65,Application!$AO$636-SUM('15 Year Pro Forma'!$E$66:AJF$66))</f>
        <v>0</v>
      </c>
      <c r="AJI66" s="956">
        <f>MIN(AJI60*$C$65,Application!$AO$636-SUM('15 Year Pro Forma'!$E$66:AJH$66))</f>
        <v>0</v>
      </c>
      <c r="AJK66" s="956">
        <f>MIN(AJK60*$C$65,Application!$AO$636-SUM('15 Year Pro Forma'!$E$66:AJJ$66))</f>
        <v>0</v>
      </c>
      <c r="AJM66" s="956">
        <f>MIN(AJM60*$C$65,Application!$AO$636-SUM('15 Year Pro Forma'!$E$66:AJL$66))</f>
        <v>0</v>
      </c>
      <c r="AJO66" s="956">
        <f>MIN(AJO60*$C$65,Application!$AO$636-SUM('15 Year Pro Forma'!$E$66:AJN$66))</f>
        <v>0</v>
      </c>
      <c r="AJQ66" s="956">
        <f>MIN(AJQ60*$C$65,Application!$AO$636-SUM('15 Year Pro Forma'!$E$66:AJP$66))</f>
        <v>0</v>
      </c>
      <c r="AJS66" s="956">
        <f>MIN(AJS60*$C$65,Application!$AO$636-SUM('15 Year Pro Forma'!$E$66:AJR$66))</f>
        <v>0</v>
      </c>
      <c r="AJU66" s="956">
        <f>MIN(AJU60*$C$65,Application!$AO$636-SUM('15 Year Pro Forma'!$E$66:AJT$66))</f>
        <v>0</v>
      </c>
      <c r="AJW66" s="956">
        <f>MIN(AJW60*$C$65,Application!$AO$636-SUM('15 Year Pro Forma'!$E$66:AJV$66))</f>
        <v>0</v>
      </c>
      <c r="AJY66" s="956">
        <f>MIN(AJY60*$C$65,Application!$AO$636-SUM('15 Year Pro Forma'!$E$66:AJX$66))</f>
        <v>0</v>
      </c>
      <c r="AKA66" s="956">
        <f>MIN(AKA60*$C$65,Application!$AO$636-SUM('15 Year Pro Forma'!$E$66:AJZ$66))</f>
        <v>0</v>
      </c>
      <c r="AKC66" s="956">
        <f>MIN(AKC60*$C$65,Application!$AO$636-SUM('15 Year Pro Forma'!$E$66:AKB$66))</f>
        <v>0</v>
      </c>
      <c r="AKE66" s="956">
        <f>MIN(AKE60*$C$65,Application!$AO$636-SUM('15 Year Pro Forma'!$E$66:AKD$66))</f>
        <v>0</v>
      </c>
      <c r="AKG66" s="956">
        <f>MIN(AKG60*$C$65,Application!$AO$636-SUM('15 Year Pro Forma'!$E$66:AKF$66))</f>
        <v>0</v>
      </c>
      <c r="AKI66" s="956">
        <f>MIN(AKI60*$C$65,Application!$AO$636-SUM('15 Year Pro Forma'!$E$66:AKH$66))</f>
        <v>0</v>
      </c>
      <c r="AKK66" s="956">
        <f>MIN(AKK60*$C$65,Application!$AO$636-SUM('15 Year Pro Forma'!$E$66:AKJ$66))</f>
        <v>0</v>
      </c>
      <c r="AKM66" s="956">
        <f>MIN(AKM60*$C$65,Application!$AO$636-SUM('15 Year Pro Forma'!$E$66:AKL$66))</f>
        <v>0</v>
      </c>
      <c r="AKO66" s="956">
        <f>MIN(AKO60*$C$65,Application!$AO$636-SUM('15 Year Pro Forma'!$E$66:AKN$66))</f>
        <v>0</v>
      </c>
      <c r="AKQ66" s="956">
        <f>MIN(AKQ60*$C$65,Application!$AO$636-SUM('15 Year Pro Forma'!$E$66:AKP$66))</f>
        <v>0</v>
      </c>
      <c r="AKS66" s="956">
        <f>MIN(AKS60*$C$65,Application!$AO$636-SUM('15 Year Pro Forma'!$E$66:AKR$66))</f>
        <v>0</v>
      </c>
      <c r="AKU66" s="956">
        <f>MIN(AKU60*$C$65,Application!$AO$636-SUM('15 Year Pro Forma'!$E$66:AKT$66))</f>
        <v>0</v>
      </c>
      <c r="AKW66" s="956">
        <f>MIN(AKW60*$C$65,Application!$AO$636-SUM('15 Year Pro Forma'!$E$66:AKV$66))</f>
        <v>0</v>
      </c>
      <c r="AKY66" s="956">
        <f>MIN(AKY60*$C$65,Application!$AO$636-SUM('15 Year Pro Forma'!$E$66:AKX$66))</f>
        <v>0</v>
      </c>
      <c r="ALA66" s="956">
        <f>MIN(ALA60*$C$65,Application!$AO$636-SUM('15 Year Pro Forma'!$E$66:AKZ$66))</f>
        <v>0</v>
      </c>
      <c r="ALC66" s="956">
        <f>MIN(ALC60*$C$65,Application!$AO$636-SUM('15 Year Pro Forma'!$E$66:ALB$66))</f>
        <v>0</v>
      </c>
      <c r="ALE66" s="956">
        <f>MIN(ALE60*$C$65,Application!$AO$636-SUM('15 Year Pro Forma'!$E$66:ALD$66))</f>
        <v>0</v>
      </c>
      <c r="ALG66" s="956">
        <f>MIN(ALG60*$C$65,Application!$AO$636-SUM('15 Year Pro Forma'!$E$66:ALF$66))</f>
        <v>0</v>
      </c>
      <c r="ALI66" s="956">
        <f>MIN(ALI60*$C$65,Application!$AO$636-SUM('15 Year Pro Forma'!$E$66:ALH$66))</f>
        <v>0</v>
      </c>
      <c r="ALK66" s="956">
        <f>MIN(ALK60*$C$65,Application!$AO$636-SUM('15 Year Pro Forma'!$E$66:ALJ$66))</f>
        <v>0</v>
      </c>
      <c r="ALM66" s="956">
        <f>MIN(ALM60*$C$65,Application!$AO$636-SUM('15 Year Pro Forma'!$E$66:ALL$66))</f>
        <v>0</v>
      </c>
      <c r="ALO66" s="956">
        <f>MIN(ALO60*$C$65,Application!$AO$636-SUM('15 Year Pro Forma'!$E$66:ALN$66))</f>
        <v>0</v>
      </c>
      <c r="ALQ66" s="956">
        <f>MIN(ALQ60*$C$65,Application!$AO$636-SUM('15 Year Pro Forma'!$E$66:ALP$66))</f>
        <v>0</v>
      </c>
      <c r="ALS66" s="956">
        <f>MIN(ALS60*$C$65,Application!$AO$636-SUM('15 Year Pro Forma'!$E$66:ALR$66))</f>
        <v>0</v>
      </c>
      <c r="ALU66" s="956">
        <f>MIN(ALU60*$C$65,Application!$AO$636-SUM('15 Year Pro Forma'!$E$66:ALT$66))</f>
        <v>0</v>
      </c>
      <c r="ALW66" s="956">
        <f>MIN(ALW60*$C$65,Application!$AO$636-SUM('15 Year Pro Forma'!$E$66:ALV$66))</f>
        <v>0</v>
      </c>
      <c r="ALY66" s="956">
        <f>MIN(ALY60*$C$65,Application!$AO$636-SUM('15 Year Pro Forma'!$E$66:ALX$66))</f>
        <v>0</v>
      </c>
      <c r="AMA66" s="956">
        <f>MIN(AMA60*$C$65,Application!$AO$636-SUM('15 Year Pro Forma'!$E$66:ALZ$66))</f>
        <v>0</v>
      </c>
      <c r="AMC66" s="956">
        <f>MIN(AMC60*$C$65,Application!$AO$636-SUM('15 Year Pro Forma'!$E$66:AMB$66))</f>
        <v>0</v>
      </c>
      <c r="AME66" s="956">
        <f>MIN(AME60*$C$65,Application!$AO$636-SUM('15 Year Pro Forma'!$E$66:AMD$66))</f>
        <v>0</v>
      </c>
      <c r="AMG66" s="956">
        <f>MIN(AMG60*$C$65,Application!$AO$636-SUM('15 Year Pro Forma'!$E$66:AMF$66))</f>
        <v>0</v>
      </c>
      <c r="AMI66" s="956">
        <f>MIN(AMI60*$C$65,Application!$AO$636-SUM('15 Year Pro Forma'!$E$66:AMH$66))</f>
        <v>0</v>
      </c>
      <c r="AMK66" s="956">
        <f>MIN(AMK60*$C$65,Application!$AO$636-SUM('15 Year Pro Forma'!$E$66:AMJ$66))</f>
        <v>0</v>
      </c>
      <c r="AMM66" s="956">
        <f>MIN(AMM60*$C$65,Application!$AO$636-SUM('15 Year Pro Forma'!$E$66:AML$66))</f>
        <v>0</v>
      </c>
      <c r="AMO66" s="956">
        <f>MIN(AMO60*$C$65,Application!$AO$636-SUM('15 Year Pro Forma'!$E$66:AMN$66))</f>
        <v>0</v>
      </c>
      <c r="AMQ66" s="956">
        <f>MIN(AMQ60*$C$65,Application!$AO$636-SUM('15 Year Pro Forma'!$E$66:AMP$66))</f>
        <v>0</v>
      </c>
      <c r="AMS66" s="956">
        <f>MIN(AMS60*$C$65,Application!$AO$636-SUM('15 Year Pro Forma'!$E$66:AMR$66))</f>
        <v>0</v>
      </c>
      <c r="AMU66" s="956">
        <f>MIN(AMU60*$C$65,Application!$AO$636-SUM('15 Year Pro Forma'!$E$66:AMT$66))</f>
        <v>0</v>
      </c>
      <c r="AMW66" s="956">
        <f>MIN(AMW60*$C$65,Application!$AO$636-SUM('15 Year Pro Forma'!$E$66:AMV$66))</f>
        <v>0</v>
      </c>
      <c r="AMY66" s="956">
        <f>MIN(AMY60*$C$65,Application!$AO$636-SUM('15 Year Pro Forma'!$E$66:AMX$66))</f>
        <v>0</v>
      </c>
      <c r="ANA66" s="956">
        <f>MIN(ANA60*$C$65,Application!$AO$636-SUM('15 Year Pro Forma'!$E$66:AMZ$66))</f>
        <v>0</v>
      </c>
      <c r="ANC66" s="956">
        <f>MIN(ANC60*$C$65,Application!$AO$636-SUM('15 Year Pro Forma'!$E$66:ANB$66))</f>
        <v>0</v>
      </c>
      <c r="ANE66" s="956">
        <f>MIN(ANE60*$C$65,Application!$AO$636-SUM('15 Year Pro Forma'!$E$66:AND$66))</f>
        <v>0</v>
      </c>
      <c r="ANG66" s="956">
        <f>MIN(ANG60*$C$65,Application!$AO$636-SUM('15 Year Pro Forma'!$E$66:ANF$66))</f>
        <v>0</v>
      </c>
      <c r="ANI66" s="956">
        <f>MIN(ANI60*$C$65,Application!$AO$636-SUM('15 Year Pro Forma'!$E$66:ANH$66))</f>
        <v>0</v>
      </c>
      <c r="ANK66" s="956">
        <f>MIN(ANK60*$C$65,Application!$AO$636-SUM('15 Year Pro Forma'!$E$66:ANJ$66))</f>
        <v>0</v>
      </c>
      <c r="ANM66" s="956">
        <f>MIN(ANM60*$C$65,Application!$AO$636-SUM('15 Year Pro Forma'!$E$66:ANL$66))</f>
        <v>0</v>
      </c>
      <c r="ANO66" s="956">
        <f>MIN(ANO60*$C$65,Application!$AO$636-SUM('15 Year Pro Forma'!$E$66:ANN$66))</f>
        <v>0</v>
      </c>
      <c r="ANQ66" s="956">
        <f>MIN(ANQ60*$C$65,Application!$AO$636-SUM('15 Year Pro Forma'!$E$66:ANP$66))</f>
        <v>0</v>
      </c>
      <c r="ANS66" s="956">
        <f>MIN(ANS60*$C$65,Application!$AO$636-SUM('15 Year Pro Forma'!$E$66:ANR$66))</f>
        <v>0</v>
      </c>
      <c r="ANU66" s="956">
        <f>MIN(ANU60*$C$65,Application!$AO$636-SUM('15 Year Pro Forma'!$E$66:ANT$66))</f>
        <v>0</v>
      </c>
      <c r="ANW66" s="956">
        <f>MIN(ANW60*$C$65,Application!$AO$636-SUM('15 Year Pro Forma'!$E$66:ANV$66))</f>
        <v>0</v>
      </c>
      <c r="ANY66" s="956">
        <f>MIN(ANY60*$C$65,Application!$AO$636-SUM('15 Year Pro Forma'!$E$66:ANX$66))</f>
        <v>0</v>
      </c>
      <c r="AOA66" s="956">
        <f>MIN(AOA60*$C$65,Application!$AO$636-SUM('15 Year Pro Forma'!$E$66:ANZ$66))</f>
        <v>0</v>
      </c>
      <c r="AOC66" s="956">
        <f>MIN(AOC60*$C$65,Application!$AO$636-SUM('15 Year Pro Forma'!$E$66:AOB$66))</f>
        <v>0</v>
      </c>
      <c r="AOE66" s="956">
        <f>MIN(AOE60*$C$65,Application!$AO$636-SUM('15 Year Pro Forma'!$E$66:AOD$66))</f>
        <v>0</v>
      </c>
      <c r="AOG66" s="956">
        <f>MIN(AOG60*$C$65,Application!$AO$636-SUM('15 Year Pro Forma'!$E$66:AOF$66))</f>
        <v>0</v>
      </c>
      <c r="AOI66" s="956">
        <f>MIN(AOI60*$C$65,Application!$AO$636-SUM('15 Year Pro Forma'!$E$66:AOH$66))</f>
        <v>0</v>
      </c>
      <c r="AOK66" s="956">
        <f>MIN(AOK60*$C$65,Application!$AO$636-SUM('15 Year Pro Forma'!$E$66:AOJ$66))</f>
        <v>0</v>
      </c>
      <c r="AOM66" s="956">
        <f>MIN(AOM60*$C$65,Application!$AO$636-SUM('15 Year Pro Forma'!$E$66:AOL$66))</f>
        <v>0</v>
      </c>
      <c r="AOO66" s="956">
        <f>MIN(AOO60*$C$65,Application!$AO$636-SUM('15 Year Pro Forma'!$E$66:AON$66))</f>
        <v>0</v>
      </c>
      <c r="AOQ66" s="956">
        <f>MIN(AOQ60*$C$65,Application!$AO$636-SUM('15 Year Pro Forma'!$E$66:AOP$66))</f>
        <v>0</v>
      </c>
      <c r="AOS66" s="956">
        <f>MIN(AOS60*$C$65,Application!$AO$636-SUM('15 Year Pro Forma'!$E$66:AOR$66))</f>
        <v>0</v>
      </c>
      <c r="AOU66" s="956">
        <f>MIN(AOU60*$C$65,Application!$AO$636-SUM('15 Year Pro Forma'!$E$66:AOT$66))</f>
        <v>0</v>
      </c>
      <c r="AOW66" s="956">
        <f>MIN(AOW60*$C$65,Application!$AO$636-SUM('15 Year Pro Forma'!$E$66:AOV$66))</f>
        <v>0</v>
      </c>
      <c r="AOY66" s="956">
        <f>MIN(AOY60*$C$65,Application!$AO$636-SUM('15 Year Pro Forma'!$E$66:AOX$66))</f>
        <v>0</v>
      </c>
      <c r="APA66" s="956">
        <f>MIN(APA60*$C$65,Application!$AO$636-SUM('15 Year Pro Forma'!$E$66:AOZ$66))</f>
        <v>0</v>
      </c>
      <c r="APC66" s="956">
        <f>MIN(APC60*$C$65,Application!$AO$636-SUM('15 Year Pro Forma'!$E$66:APB$66))</f>
        <v>0</v>
      </c>
      <c r="APE66" s="956">
        <f>MIN(APE60*$C$65,Application!$AO$636-SUM('15 Year Pro Forma'!$E$66:APD$66))</f>
        <v>0</v>
      </c>
      <c r="APG66" s="956">
        <f>MIN(APG60*$C$65,Application!$AO$636-SUM('15 Year Pro Forma'!$E$66:APF$66))</f>
        <v>0</v>
      </c>
      <c r="API66" s="956">
        <f>MIN(API60*$C$65,Application!$AO$636-SUM('15 Year Pro Forma'!$E$66:APH$66))</f>
        <v>0</v>
      </c>
      <c r="APK66" s="956">
        <f>MIN(APK60*$C$65,Application!$AO$636-SUM('15 Year Pro Forma'!$E$66:APJ$66))</f>
        <v>0</v>
      </c>
      <c r="APM66" s="956">
        <f>MIN(APM60*$C$65,Application!$AO$636-SUM('15 Year Pro Forma'!$E$66:APL$66))</f>
        <v>0</v>
      </c>
      <c r="APO66" s="956">
        <f>MIN(APO60*$C$65,Application!$AO$636-SUM('15 Year Pro Forma'!$E$66:APN$66))</f>
        <v>0</v>
      </c>
      <c r="APQ66" s="956">
        <f>MIN(APQ60*$C$65,Application!$AO$636-SUM('15 Year Pro Forma'!$E$66:APP$66))</f>
        <v>0</v>
      </c>
      <c r="APS66" s="956">
        <f>MIN(APS60*$C$65,Application!$AO$636-SUM('15 Year Pro Forma'!$E$66:APR$66))</f>
        <v>0</v>
      </c>
      <c r="APU66" s="956">
        <f>MIN(APU60*$C$65,Application!$AO$636-SUM('15 Year Pro Forma'!$E$66:APT$66))</f>
        <v>0</v>
      </c>
      <c r="APW66" s="956">
        <f>MIN(APW60*$C$65,Application!$AO$636-SUM('15 Year Pro Forma'!$E$66:APV$66))</f>
        <v>0</v>
      </c>
      <c r="APY66" s="956">
        <f>MIN(APY60*$C$65,Application!$AO$636-SUM('15 Year Pro Forma'!$E$66:APX$66))</f>
        <v>0</v>
      </c>
      <c r="AQA66" s="956">
        <f>MIN(AQA60*$C$65,Application!$AO$636-SUM('15 Year Pro Forma'!$E$66:APZ$66))</f>
        <v>0</v>
      </c>
      <c r="AQC66" s="956">
        <f>MIN(AQC60*$C$65,Application!$AO$636-SUM('15 Year Pro Forma'!$E$66:AQB$66))</f>
        <v>0</v>
      </c>
      <c r="AQE66" s="956">
        <f>MIN(AQE60*$C$65,Application!$AO$636-SUM('15 Year Pro Forma'!$E$66:AQD$66))</f>
        <v>0</v>
      </c>
      <c r="AQG66" s="956">
        <f>MIN(AQG60*$C$65,Application!$AO$636-SUM('15 Year Pro Forma'!$E$66:AQF$66))</f>
        <v>0</v>
      </c>
      <c r="AQI66" s="956">
        <f>MIN(AQI60*$C$65,Application!$AO$636-SUM('15 Year Pro Forma'!$E$66:AQH$66))</f>
        <v>0</v>
      </c>
      <c r="AQK66" s="956">
        <f>MIN(AQK60*$C$65,Application!$AO$636-SUM('15 Year Pro Forma'!$E$66:AQJ$66))</f>
        <v>0</v>
      </c>
      <c r="AQM66" s="956">
        <f>MIN(AQM60*$C$65,Application!$AO$636-SUM('15 Year Pro Forma'!$E$66:AQL$66))</f>
        <v>0</v>
      </c>
      <c r="AQO66" s="956">
        <f>MIN(AQO60*$C$65,Application!$AO$636-SUM('15 Year Pro Forma'!$E$66:AQN$66))</f>
        <v>0</v>
      </c>
      <c r="AQQ66" s="956">
        <f>MIN(AQQ60*$C$65,Application!$AO$636-SUM('15 Year Pro Forma'!$E$66:AQP$66))</f>
        <v>0</v>
      </c>
      <c r="AQS66" s="956">
        <f>MIN(AQS60*$C$65,Application!$AO$636-SUM('15 Year Pro Forma'!$E$66:AQR$66))</f>
        <v>0</v>
      </c>
      <c r="AQU66" s="956">
        <f>MIN(AQU60*$C$65,Application!$AO$636-SUM('15 Year Pro Forma'!$E$66:AQT$66))</f>
        <v>0</v>
      </c>
      <c r="AQW66" s="956">
        <f>MIN(AQW60*$C$65,Application!$AO$636-SUM('15 Year Pro Forma'!$E$66:AQV$66))</f>
        <v>0</v>
      </c>
      <c r="AQY66" s="956">
        <f>MIN(AQY60*$C$65,Application!$AO$636-SUM('15 Year Pro Forma'!$E$66:AQX$66))</f>
        <v>0</v>
      </c>
      <c r="ARA66" s="956">
        <f>MIN(ARA60*$C$65,Application!$AO$636-SUM('15 Year Pro Forma'!$E$66:AQZ$66))</f>
        <v>0</v>
      </c>
      <c r="ARC66" s="956">
        <f>MIN(ARC60*$C$65,Application!$AO$636-SUM('15 Year Pro Forma'!$E$66:ARB$66))</f>
        <v>0</v>
      </c>
      <c r="ARE66" s="956">
        <f>MIN(ARE60*$C$65,Application!$AO$636-SUM('15 Year Pro Forma'!$E$66:ARD$66))</f>
        <v>0</v>
      </c>
      <c r="ARG66" s="956">
        <f>MIN(ARG60*$C$65,Application!$AO$636-SUM('15 Year Pro Forma'!$E$66:ARF$66))</f>
        <v>0</v>
      </c>
      <c r="ARI66" s="956">
        <f>MIN(ARI60*$C$65,Application!$AO$636-SUM('15 Year Pro Forma'!$E$66:ARH$66))</f>
        <v>0</v>
      </c>
      <c r="ARK66" s="956">
        <f>MIN(ARK60*$C$65,Application!$AO$636-SUM('15 Year Pro Forma'!$E$66:ARJ$66))</f>
        <v>0</v>
      </c>
      <c r="ARM66" s="956">
        <f>MIN(ARM60*$C$65,Application!$AO$636-SUM('15 Year Pro Forma'!$E$66:ARL$66))</f>
        <v>0</v>
      </c>
      <c r="ARO66" s="956">
        <f>MIN(ARO60*$C$65,Application!$AO$636-SUM('15 Year Pro Forma'!$E$66:ARN$66))</f>
        <v>0</v>
      </c>
      <c r="ARQ66" s="956">
        <f>MIN(ARQ60*$C$65,Application!$AO$636-SUM('15 Year Pro Forma'!$E$66:ARP$66))</f>
        <v>0</v>
      </c>
      <c r="ARS66" s="956">
        <f>MIN(ARS60*$C$65,Application!$AO$636-SUM('15 Year Pro Forma'!$E$66:ARR$66))</f>
        <v>0</v>
      </c>
      <c r="ARU66" s="956">
        <f>MIN(ARU60*$C$65,Application!$AO$636-SUM('15 Year Pro Forma'!$E$66:ART$66))</f>
        <v>0</v>
      </c>
      <c r="ARW66" s="956">
        <f>MIN(ARW60*$C$65,Application!$AO$636-SUM('15 Year Pro Forma'!$E$66:ARV$66))</f>
        <v>0</v>
      </c>
      <c r="ARY66" s="956">
        <f>MIN(ARY60*$C$65,Application!$AO$636-SUM('15 Year Pro Forma'!$E$66:ARX$66))</f>
        <v>0</v>
      </c>
      <c r="ASA66" s="956">
        <f>MIN(ASA60*$C$65,Application!$AO$636-SUM('15 Year Pro Forma'!$E$66:ARZ$66))</f>
        <v>0</v>
      </c>
      <c r="ASC66" s="956">
        <f>MIN(ASC60*$C$65,Application!$AO$636-SUM('15 Year Pro Forma'!$E$66:ASB$66))</f>
        <v>0</v>
      </c>
      <c r="ASE66" s="956">
        <f>MIN(ASE60*$C$65,Application!$AO$636-SUM('15 Year Pro Forma'!$E$66:ASD$66))</f>
        <v>0</v>
      </c>
      <c r="ASG66" s="956">
        <f>MIN(ASG60*$C$65,Application!$AO$636-SUM('15 Year Pro Forma'!$E$66:ASF$66))</f>
        <v>0</v>
      </c>
      <c r="ASI66" s="956">
        <f>MIN(ASI60*$C$65,Application!$AO$636-SUM('15 Year Pro Forma'!$E$66:ASH$66))</f>
        <v>0</v>
      </c>
      <c r="ASK66" s="956">
        <f>MIN(ASK60*$C$65,Application!$AO$636-SUM('15 Year Pro Forma'!$E$66:ASJ$66))</f>
        <v>0</v>
      </c>
      <c r="ASM66" s="956">
        <f>MIN(ASM60*$C$65,Application!$AO$636-SUM('15 Year Pro Forma'!$E$66:ASL$66))</f>
        <v>0</v>
      </c>
      <c r="ASO66" s="956">
        <f>MIN(ASO60*$C$65,Application!$AO$636-SUM('15 Year Pro Forma'!$E$66:ASN$66))</f>
        <v>0</v>
      </c>
      <c r="ASQ66" s="956">
        <f>MIN(ASQ60*$C$65,Application!$AO$636-SUM('15 Year Pro Forma'!$E$66:ASP$66))</f>
        <v>0</v>
      </c>
      <c r="ASS66" s="956">
        <f>MIN(ASS60*$C$65,Application!$AO$636-SUM('15 Year Pro Forma'!$E$66:ASR$66))</f>
        <v>0</v>
      </c>
      <c r="ASU66" s="956">
        <f>MIN(ASU60*$C$65,Application!$AO$636-SUM('15 Year Pro Forma'!$E$66:AST$66))</f>
        <v>0</v>
      </c>
      <c r="ASW66" s="956">
        <f>MIN(ASW60*$C$65,Application!$AO$636-SUM('15 Year Pro Forma'!$E$66:ASV$66))</f>
        <v>0</v>
      </c>
      <c r="ASY66" s="956">
        <f>MIN(ASY60*$C$65,Application!$AO$636-SUM('15 Year Pro Forma'!$E$66:ASX$66))</f>
        <v>0</v>
      </c>
      <c r="ATA66" s="956">
        <f>MIN(ATA60*$C$65,Application!$AO$636-SUM('15 Year Pro Forma'!$E$66:ASZ$66))</f>
        <v>0</v>
      </c>
      <c r="ATC66" s="956">
        <f>MIN(ATC60*$C$65,Application!$AO$636-SUM('15 Year Pro Forma'!$E$66:ATB$66))</f>
        <v>0</v>
      </c>
      <c r="ATE66" s="956">
        <f>MIN(ATE60*$C$65,Application!$AO$636-SUM('15 Year Pro Forma'!$E$66:ATD$66))</f>
        <v>0</v>
      </c>
      <c r="ATG66" s="956">
        <f>MIN(ATG60*$C$65,Application!$AO$636-SUM('15 Year Pro Forma'!$E$66:ATF$66))</f>
        <v>0</v>
      </c>
      <c r="ATI66" s="956">
        <f>MIN(ATI60*$C$65,Application!$AO$636-SUM('15 Year Pro Forma'!$E$66:ATH$66))</f>
        <v>0</v>
      </c>
      <c r="ATK66" s="956">
        <f>MIN(ATK60*$C$65,Application!$AO$636-SUM('15 Year Pro Forma'!$E$66:ATJ$66))</f>
        <v>0</v>
      </c>
      <c r="ATM66" s="956">
        <f>MIN(ATM60*$C$65,Application!$AO$636-SUM('15 Year Pro Forma'!$E$66:ATL$66))</f>
        <v>0</v>
      </c>
      <c r="ATO66" s="956">
        <f>MIN(ATO60*$C$65,Application!$AO$636-SUM('15 Year Pro Forma'!$E$66:ATN$66))</f>
        <v>0</v>
      </c>
      <c r="ATQ66" s="956">
        <f>MIN(ATQ60*$C$65,Application!$AO$636-SUM('15 Year Pro Forma'!$E$66:ATP$66))</f>
        <v>0</v>
      </c>
      <c r="ATS66" s="956">
        <f>MIN(ATS60*$C$65,Application!$AO$636-SUM('15 Year Pro Forma'!$E$66:ATR$66))</f>
        <v>0</v>
      </c>
      <c r="ATU66" s="956">
        <f>MIN(ATU60*$C$65,Application!$AO$636-SUM('15 Year Pro Forma'!$E$66:ATT$66))</f>
        <v>0</v>
      </c>
      <c r="ATW66" s="956">
        <f>MIN(ATW60*$C$65,Application!$AO$636-SUM('15 Year Pro Forma'!$E$66:ATV$66))</f>
        <v>0</v>
      </c>
      <c r="ATY66" s="956">
        <f>MIN(ATY60*$C$65,Application!$AO$636-SUM('15 Year Pro Forma'!$E$66:ATX$66))</f>
        <v>0</v>
      </c>
      <c r="AUA66" s="956">
        <f>MIN(AUA60*$C$65,Application!$AO$636-SUM('15 Year Pro Forma'!$E$66:ATZ$66))</f>
        <v>0</v>
      </c>
      <c r="AUC66" s="956">
        <f>MIN(AUC60*$C$65,Application!$AO$636-SUM('15 Year Pro Forma'!$E$66:AUB$66))</f>
        <v>0</v>
      </c>
      <c r="AUE66" s="956">
        <f>MIN(AUE60*$C$65,Application!$AO$636-SUM('15 Year Pro Forma'!$E$66:AUD$66))</f>
        <v>0</v>
      </c>
      <c r="AUG66" s="956">
        <f>MIN(AUG60*$C$65,Application!$AO$636-SUM('15 Year Pro Forma'!$E$66:AUF$66))</f>
        <v>0</v>
      </c>
      <c r="AUI66" s="956">
        <f>MIN(AUI60*$C$65,Application!$AO$636-SUM('15 Year Pro Forma'!$E$66:AUH$66))</f>
        <v>0</v>
      </c>
      <c r="AUK66" s="956">
        <f>MIN(AUK60*$C$65,Application!$AO$636-SUM('15 Year Pro Forma'!$E$66:AUJ$66))</f>
        <v>0</v>
      </c>
      <c r="AUM66" s="956">
        <f>MIN(AUM60*$C$65,Application!$AO$636-SUM('15 Year Pro Forma'!$E$66:AUL$66))</f>
        <v>0</v>
      </c>
      <c r="AUO66" s="956">
        <f>MIN(AUO60*$C$65,Application!$AO$636-SUM('15 Year Pro Forma'!$E$66:AUN$66))</f>
        <v>0</v>
      </c>
      <c r="AUQ66" s="956">
        <f>MIN(AUQ60*$C$65,Application!$AO$636-SUM('15 Year Pro Forma'!$E$66:AUP$66))</f>
        <v>0</v>
      </c>
      <c r="AUS66" s="956">
        <f>MIN(AUS60*$C$65,Application!$AO$636-SUM('15 Year Pro Forma'!$E$66:AUR$66))</f>
        <v>0</v>
      </c>
      <c r="AUU66" s="956">
        <f>MIN(AUU60*$C$65,Application!$AO$636-SUM('15 Year Pro Forma'!$E$66:AUT$66))</f>
        <v>0</v>
      </c>
      <c r="AUW66" s="956">
        <f>MIN(AUW60*$C$65,Application!$AO$636-SUM('15 Year Pro Forma'!$E$66:AUV$66))</f>
        <v>0</v>
      </c>
      <c r="AUY66" s="956">
        <f>MIN(AUY60*$C$65,Application!$AO$636-SUM('15 Year Pro Forma'!$E$66:AUX$66))</f>
        <v>0</v>
      </c>
      <c r="AVA66" s="956">
        <f>MIN(AVA60*$C$65,Application!$AO$636-SUM('15 Year Pro Forma'!$E$66:AUZ$66))</f>
        <v>0</v>
      </c>
      <c r="AVC66" s="956">
        <f>MIN(AVC60*$C$65,Application!$AO$636-SUM('15 Year Pro Forma'!$E$66:AVB$66))</f>
        <v>0</v>
      </c>
      <c r="AVE66" s="956">
        <f>MIN(AVE60*$C$65,Application!$AO$636-SUM('15 Year Pro Forma'!$E$66:AVD$66))</f>
        <v>0</v>
      </c>
      <c r="AVG66" s="956">
        <f>MIN(AVG60*$C$65,Application!$AO$636-SUM('15 Year Pro Forma'!$E$66:AVF$66))</f>
        <v>0</v>
      </c>
      <c r="AVI66" s="956">
        <f>MIN(AVI60*$C$65,Application!$AO$636-SUM('15 Year Pro Forma'!$E$66:AVH$66))</f>
        <v>0</v>
      </c>
      <c r="AVK66" s="956">
        <f>MIN(AVK60*$C$65,Application!$AO$636-SUM('15 Year Pro Forma'!$E$66:AVJ$66))</f>
        <v>0</v>
      </c>
      <c r="AVM66" s="956">
        <f>MIN(AVM60*$C$65,Application!$AO$636-SUM('15 Year Pro Forma'!$E$66:AVL$66))</f>
        <v>0</v>
      </c>
      <c r="AVO66" s="956">
        <f>MIN(AVO60*$C$65,Application!$AO$636-SUM('15 Year Pro Forma'!$E$66:AVN$66))</f>
        <v>0</v>
      </c>
      <c r="AVQ66" s="956">
        <f>MIN(AVQ60*$C$65,Application!$AO$636-SUM('15 Year Pro Forma'!$E$66:AVP$66))</f>
        <v>0</v>
      </c>
      <c r="AVS66" s="956">
        <f>MIN(AVS60*$C$65,Application!$AO$636-SUM('15 Year Pro Forma'!$E$66:AVR$66))</f>
        <v>0</v>
      </c>
      <c r="AVU66" s="956">
        <f>MIN(AVU60*$C$65,Application!$AO$636-SUM('15 Year Pro Forma'!$E$66:AVT$66))</f>
        <v>0</v>
      </c>
      <c r="AVW66" s="956">
        <f>MIN(AVW60*$C$65,Application!$AO$636-SUM('15 Year Pro Forma'!$E$66:AVV$66))</f>
        <v>0</v>
      </c>
      <c r="AVY66" s="956">
        <f>MIN(AVY60*$C$65,Application!$AO$636-SUM('15 Year Pro Forma'!$E$66:AVX$66))</f>
        <v>0</v>
      </c>
      <c r="AWA66" s="956">
        <f>MIN(AWA60*$C$65,Application!$AO$636-SUM('15 Year Pro Forma'!$E$66:AVZ$66))</f>
        <v>0</v>
      </c>
      <c r="AWC66" s="956">
        <f>MIN(AWC60*$C$65,Application!$AO$636-SUM('15 Year Pro Forma'!$E$66:AWB$66))</f>
        <v>0</v>
      </c>
      <c r="AWE66" s="956">
        <f>MIN(AWE60*$C$65,Application!$AO$636-SUM('15 Year Pro Forma'!$E$66:AWD$66))</f>
        <v>0</v>
      </c>
      <c r="AWG66" s="956">
        <f>MIN(AWG60*$C$65,Application!$AO$636-SUM('15 Year Pro Forma'!$E$66:AWF$66))</f>
        <v>0</v>
      </c>
      <c r="AWI66" s="956">
        <f>MIN(AWI60*$C$65,Application!$AO$636-SUM('15 Year Pro Forma'!$E$66:AWH$66))</f>
        <v>0</v>
      </c>
      <c r="AWK66" s="956">
        <f>MIN(AWK60*$C$65,Application!$AO$636-SUM('15 Year Pro Forma'!$E$66:AWJ$66))</f>
        <v>0</v>
      </c>
      <c r="AWM66" s="956">
        <f>MIN(AWM60*$C$65,Application!$AO$636-SUM('15 Year Pro Forma'!$E$66:AWL$66))</f>
        <v>0</v>
      </c>
      <c r="AWO66" s="956">
        <f>MIN(AWO60*$C$65,Application!$AO$636-SUM('15 Year Pro Forma'!$E$66:AWN$66))</f>
        <v>0</v>
      </c>
      <c r="AWQ66" s="956">
        <f>MIN(AWQ60*$C$65,Application!$AO$636-SUM('15 Year Pro Forma'!$E$66:AWP$66))</f>
        <v>0</v>
      </c>
      <c r="AWS66" s="956">
        <f>MIN(AWS60*$C$65,Application!$AO$636-SUM('15 Year Pro Forma'!$E$66:AWR$66))</f>
        <v>0</v>
      </c>
      <c r="AWU66" s="956">
        <f>MIN(AWU60*$C$65,Application!$AO$636-SUM('15 Year Pro Forma'!$E$66:AWT$66))</f>
        <v>0</v>
      </c>
      <c r="AWW66" s="956">
        <f>MIN(AWW60*$C$65,Application!$AO$636-SUM('15 Year Pro Forma'!$E$66:AWV$66))</f>
        <v>0</v>
      </c>
      <c r="AWY66" s="956">
        <f>MIN(AWY60*$C$65,Application!$AO$636-SUM('15 Year Pro Forma'!$E$66:AWX$66))</f>
        <v>0</v>
      </c>
      <c r="AXA66" s="956">
        <f>MIN(AXA60*$C$65,Application!$AO$636-SUM('15 Year Pro Forma'!$E$66:AWZ$66))</f>
        <v>0</v>
      </c>
      <c r="AXC66" s="956">
        <f>MIN(AXC60*$C$65,Application!$AO$636-SUM('15 Year Pro Forma'!$E$66:AXB$66))</f>
        <v>0</v>
      </c>
      <c r="AXE66" s="956">
        <f>MIN(AXE60*$C$65,Application!$AO$636-SUM('15 Year Pro Forma'!$E$66:AXD$66))</f>
        <v>0</v>
      </c>
      <c r="AXG66" s="956">
        <f>MIN(AXG60*$C$65,Application!$AO$636-SUM('15 Year Pro Forma'!$E$66:AXF$66))</f>
        <v>0</v>
      </c>
      <c r="AXI66" s="956">
        <f>MIN(AXI60*$C$65,Application!$AO$636-SUM('15 Year Pro Forma'!$E$66:AXH$66))</f>
        <v>0</v>
      </c>
      <c r="AXK66" s="956">
        <f>MIN(AXK60*$C$65,Application!$AO$636-SUM('15 Year Pro Forma'!$E$66:AXJ$66))</f>
        <v>0</v>
      </c>
      <c r="AXM66" s="956">
        <f>MIN(AXM60*$C$65,Application!$AO$636-SUM('15 Year Pro Forma'!$E$66:AXL$66))</f>
        <v>0</v>
      </c>
      <c r="AXO66" s="956">
        <f>MIN(AXO60*$C$65,Application!$AO$636-SUM('15 Year Pro Forma'!$E$66:AXN$66))</f>
        <v>0</v>
      </c>
      <c r="AXQ66" s="956">
        <f>MIN(AXQ60*$C$65,Application!$AO$636-SUM('15 Year Pro Forma'!$E$66:AXP$66))</f>
        <v>0</v>
      </c>
      <c r="AXS66" s="956">
        <f>MIN(AXS60*$C$65,Application!$AO$636-SUM('15 Year Pro Forma'!$E$66:AXR$66))</f>
        <v>0</v>
      </c>
      <c r="AXU66" s="956">
        <f>MIN(AXU60*$C$65,Application!$AO$636-SUM('15 Year Pro Forma'!$E$66:AXT$66))</f>
        <v>0</v>
      </c>
      <c r="AXW66" s="956">
        <f>MIN(AXW60*$C$65,Application!$AO$636-SUM('15 Year Pro Forma'!$E$66:AXV$66))</f>
        <v>0</v>
      </c>
      <c r="AXY66" s="956">
        <f>MIN(AXY60*$C$65,Application!$AO$636-SUM('15 Year Pro Forma'!$E$66:AXX$66))</f>
        <v>0</v>
      </c>
      <c r="AYA66" s="956">
        <f>MIN(AYA60*$C$65,Application!$AO$636-SUM('15 Year Pro Forma'!$E$66:AXZ$66))</f>
        <v>0</v>
      </c>
      <c r="AYC66" s="956">
        <f>MIN(AYC60*$C$65,Application!$AO$636-SUM('15 Year Pro Forma'!$E$66:AYB$66))</f>
        <v>0</v>
      </c>
      <c r="AYE66" s="956">
        <f>MIN(AYE60*$C$65,Application!$AO$636-SUM('15 Year Pro Forma'!$E$66:AYD$66))</f>
        <v>0</v>
      </c>
      <c r="AYG66" s="956">
        <f>MIN(AYG60*$C$65,Application!$AO$636-SUM('15 Year Pro Forma'!$E$66:AYF$66))</f>
        <v>0</v>
      </c>
      <c r="AYI66" s="956">
        <f>MIN(AYI60*$C$65,Application!$AO$636-SUM('15 Year Pro Forma'!$E$66:AYH$66))</f>
        <v>0</v>
      </c>
      <c r="AYK66" s="956">
        <f>MIN(AYK60*$C$65,Application!$AO$636-SUM('15 Year Pro Forma'!$E$66:AYJ$66))</f>
        <v>0</v>
      </c>
      <c r="AYM66" s="956">
        <f>MIN(AYM60*$C$65,Application!$AO$636-SUM('15 Year Pro Forma'!$E$66:AYL$66))</f>
        <v>0</v>
      </c>
      <c r="AYO66" s="956">
        <f>MIN(AYO60*$C$65,Application!$AO$636-SUM('15 Year Pro Forma'!$E$66:AYN$66))</f>
        <v>0</v>
      </c>
      <c r="AYQ66" s="956">
        <f>MIN(AYQ60*$C$65,Application!$AO$636-SUM('15 Year Pro Forma'!$E$66:AYP$66))</f>
        <v>0</v>
      </c>
      <c r="AYS66" s="956">
        <f>MIN(AYS60*$C$65,Application!$AO$636-SUM('15 Year Pro Forma'!$E$66:AYR$66))</f>
        <v>0</v>
      </c>
      <c r="AYU66" s="956">
        <f>MIN(AYU60*$C$65,Application!$AO$636-SUM('15 Year Pro Forma'!$E$66:AYT$66))</f>
        <v>0</v>
      </c>
      <c r="AYW66" s="956">
        <f>MIN(AYW60*$C$65,Application!$AO$636-SUM('15 Year Pro Forma'!$E$66:AYV$66))</f>
        <v>0</v>
      </c>
      <c r="AYY66" s="956">
        <f>MIN(AYY60*$C$65,Application!$AO$636-SUM('15 Year Pro Forma'!$E$66:AYX$66))</f>
        <v>0</v>
      </c>
      <c r="AZA66" s="956">
        <f>MIN(AZA60*$C$65,Application!$AO$636-SUM('15 Year Pro Forma'!$E$66:AYZ$66))</f>
        <v>0</v>
      </c>
      <c r="AZC66" s="956">
        <f>MIN(AZC60*$C$65,Application!$AO$636-SUM('15 Year Pro Forma'!$E$66:AZB$66))</f>
        <v>0</v>
      </c>
      <c r="AZE66" s="956">
        <f>MIN(AZE60*$C$65,Application!$AO$636-SUM('15 Year Pro Forma'!$E$66:AZD$66))</f>
        <v>0</v>
      </c>
      <c r="AZG66" s="956">
        <f>MIN(AZG60*$C$65,Application!$AO$636-SUM('15 Year Pro Forma'!$E$66:AZF$66))</f>
        <v>0</v>
      </c>
      <c r="AZI66" s="956">
        <f>MIN(AZI60*$C$65,Application!$AO$636-SUM('15 Year Pro Forma'!$E$66:AZH$66))</f>
        <v>0</v>
      </c>
      <c r="AZK66" s="956">
        <f>MIN(AZK60*$C$65,Application!$AO$636-SUM('15 Year Pro Forma'!$E$66:AZJ$66))</f>
        <v>0</v>
      </c>
      <c r="AZM66" s="956">
        <f>MIN(AZM60*$C$65,Application!$AO$636-SUM('15 Year Pro Forma'!$E$66:AZL$66))</f>
        <v>0</v>
      </c>
      <c r="AZO66" s="956">
        <f>MIN(AZO60*$C$65,Application!$AO$636-SUM('15 Year Pro Forma'!$E$66:AZN$66))</f>
        <v>0</v>
      </c>
      <c r="AZQ66" s="956">
        <f>MIN(AZQ60*$C$65,Application!$AO$636-SUM('15 Year Pro Forma'!$E$66:AZP$66))</f>
        <v>0</v>
      </c>
      <c r="AZS66" s="956">
        <f>MIN(AZS60*$C$65,Application!$AO$636-SUM('15 Year Pro Forma'!$E$66:AZR$66))</f>
        <v>0</v>
      </c>
      <c r="AZU66" s="956">
        <f>MIN(AZU60*$C$65,Application!$AO$636-SUM('15 Year Pro Forma'!$E$66:AZT$66))</f>
        <v>0</v>
      </c>
      <c r="AZW66" s="956">
        <f>MIN(AZW60*$C$65,Application!$AO$636-SUM('15 Year Pro Forma'!$E$66:AZV$66))</f>
        <v>0</v>
      </c>
      <c r="AZY66" s="956">
        <f>MIN(AZY60*$C$65,Application!$AO$636-SUM('15 Year Pro Forma'!$E$66:AZX$66))</f>
        <v>0</v>
      </c>
      <c r="BAA66" s="956">
        <f>MIN(BAA60*$C$65,Application!$AO$636-SUM('15 Year Pro Forma'!$E$66:AZZ$66))</f>
        <v>0</v>
      </c>
      <c r="BAC66" s="956">
        <f>MIN(BAC60*$C$65,Application!$AO$636-SUM('15 Year Pro Forma'!$E$66:BAB$66))</f>
        <v>0</v>
      </c>
      <c r="BAE66" s="956">
        <f>MIN(BAE60*$C$65,Application!$AO$636-SUM('15 Year Pro Forma'!$E$66:BAD$66))</f>
        <v>0</v>
      </c>
      <c r="BAG66" s="956">
        <f>MIN(BAG60*$C$65,Application!$AO$636-SUM('15 Year Pro Forma'!$E$66:BAF$66))</f>
        <v>0</v>
      </c>
      <c r="BAI66" s="956">
        <f>MIN(BAI60*$C$65,Application!$AO$636-SUM('15 Year Pro Forma'!$E$66:BAH$66))</f>
        <v>0</v>
      </c>
      <c r="BAK66" s="956">
        <f>MIN(BAK60*$C$65,Application!$AO$636-SUM('15 Year Pro Forma'!$E$66:BAJ$66))</f>
        <v>0</v>
      </c>
      <c r="BAM66" s="956">
        <f>MIN(BAM60*$C$65,Application!$AO$636-SUM('15 Year Pro Forma'!$E$66:BAL$66))</f>
        <v>0</v>
      </c>
      <c r="BAO66" s="956">
        <f>MIN(BAO60*$C$65,Application!$AO$636-SUM('15 Year Pro Forma'!$E$66:BAN$66))</f>
        <v>0</v>
      </c>
      <c r="BAQ66" s="956">
        <f>MIN(BAQ60*$C$65,Application!$AO$636-SUM('15 Year Pro Forma'!$E$66:BAP$66))</f>
        <v>0</v>
      </c>
      <c r="BAS66" s="956">
        <f>MIN(BAS60*$C$65,Application!$AO$636-SUM('15 Year Pro Forma'!$E$66:BAR$66))</f>
        <v>0</v>
      </c>
      <c r="BAU66" s="956">
        <f>MIN(BAU60*$C$65,Application!$AO$636-SUM('15 Year Pro Forma'!$E$66:BAT$66))</f>
        <v>0</v>
      </c>
      <c r="BAW66" s="956">
        <f>MIN(BAW60*$C$65,Application!$AO$636-SUM('15 Year Pro Forma'!$E$66:BAV$66))</f>
        <v>0</v>
      </c>
      <c r="BAY66" s="956">
        <f>MIN(BAY60*$C$65,Application!$AO$636-SUM('15 Year Pro Forma'!$E$66:BAX$66))</f>
        <v>0</v>
      </c>
      <c r="BBA66" s="956">
        <f>MIN(BBA60*$C$65,Application!$AO$636-SUM('15 Year Pro Forma'!$E$66:BAZ$66))</f>
        <v>0</v>
      </c>
      <c r="BBC66" s="956">
        <f>MIN(BBC60*$C$65,Application!$AO$636-SUM('15 Year Pro Forma'!$E$66:BBB$66))</f>
        <v>0</v>
      </c>
      <c r="BBE66" s="956">
        <f>MIN(BBE60*$C$65,Application!$AO$636-SUM('15 Year Pro Forma'!$E$66:BBD$66))</f>
        <v>0</v>
      </c>
      <c r="BBG66" s="956">
        <f>MIN(BBG60*$C$65,Application!$AO$636-SUM('15 Year Pro Forma'!$E$66:BBF$66))</f>
        <v>0</v>
      </c>
      <c r="BBI66" s="956">
        <f>MIN(BBI60*$C$65,Application!$AO$636-SUM('15 Year Pro Forma'!$E$66:BBH$66))</f>
        <v>0</v>
      </c>
      <c r="BBK66" s="956">
        <f>MIN(BBK60*$C$65,Application!$AO$636-SUM('15 Year Pro Forma'!$E$66:BBJ$66))</f>
        <v>0</v>
      </c>
      <c r="BBM66" s="956">
        <f>MIN(BBM60*$C$65,Application!$AO$636-SUM('15 Year Pro Forma'!$E$66:BBL$66))</f>
        <v>0</v>
      </c>
      <c r="BBO66" s="956">
        <f>MIN(BBO60*$C$65,Application!$AO$636-SUM('15 Year Pro Forma'!$E$66:BBN$66))</f>
        <v>0</v>
      </c>
      <c r="BBQ66" s="956">
        <f>MIN(BBQ60*$C$65,Application!$AO$636-SUM('15 Year Pro Forma'!$E$66:BBP$66))</f>
        <v>0</v>
      </c>
      <c r="BBS66" s="956">
        <f>MIN(BBS60*$C$65,Application!$AO$636-SUM('15 Year Pro Forma'!$E$66:BBR$66))</f>
        <v>0</v>
      </c>
      <c r="BBU66" s="956">
        <f>MIN(BBU60*$C$65,Application!$AO$636-SUM('15 Year Pro Forma'!$E$66:BBT$66))</f>
        <v>0</v>
      </c>
      <c r="BBW66" s="956">
        <f>MIN(BBW60*$C$65,Application!$AO$636-SUM('15 Year Pro Forma'!$E$66:BBV$66))</f>
        <v>0</v>
      </c>
      <c r="BBY66" s="956">
        <f>MIN(BBY60*$C$65,Application!$AO$636-SUM('15 Year Pro Forma'!$E$66:BBX$66))</f>
        <v>0</v>
      </c>
      <c r="BCA66" s="956">
        <f>MIN(BCA60*$C$65,Application!$AO$636-SUM('15 Year Pro Forma'!$E$66:BBZ$66))</f>
        <v>0</v>
      </c>
      <c r="BCC66" s="956">
        <f>MIN(BCC60*$C$65,Application!$AO$636-SUM('15 Year Pro Forma'!$E$66:BCB$66))</f>
        <v>0</v>
      </c>
      <c r="BCE66" s="956">
        <f>MIN(BCE60*$C$65,Application!$AO$636-SUM('15 Year Pro Forma'!$E$66:BCD$66))</f>
        <v>0</v>
      </c>
      <c r="BCG66" s="956">
        <f>MIN(BCG60*$C$65,Application!$AO$636-SUM('15 Year Pro Forma'!$E$66:BCF$66))</f>
        <v>0</v>
      </c>
      <c r="BCI66" s="956">
        <f>MIN(BCI60*$C$65,Application!$AO$636-SUM('15 Year Pro Forma'!$E$66:BCH$66))</f>
        <v>0</v>
      </c>
      <c r="BCK66" s="956">
        <f>MIN(BCK60*$C$65,Application!$AO$636-SUM('15 Year Pro Forma'!$E$66:BCJ$66))</f>
        <v>0</v>
      </c>
      <c r="BCM66" s="956">
        <f>MIN(BCM60*$C$65,Application!$AO$636-SUM('15 Year Pro Forma'!$E$66:BCL$66))</f>
        <v>0</v>
      </c>
      <c r="BCO66" s="956">
        <f>MIN(BCO60*$C$65,Application!$AO$636-SUM('15 Year Pro Forma'!$E$66:BCN$66))</f>
        <v>0</v>
      </c>
      <c r="BCQ66" s="956">
        <f>MIN(BCQ60*$C$65,Application!$AO$636-SUM('15 Year Pro Forma'!$E$66:BCP$66))</f>
        <v>0</v>
      </c>
      <c r="BCS66" s="956">
        <f>MIN(BCS60*$C$65,Application!$AO$636-SUM('15 Year Pro Forma'!$E$66:BCR$66))</f>
        <v>0</v>
      </c>
      <c r="BCU66" s="956">
        <f>MIN(BCU60*$C$65,Application!$AO$636-SUM('15 Year Pro Forma'!$E$66:BCT$66))</f>
        <v>0</v>
      </c>
      <c r="BCW66" s="956">
        <f>MIN(BCW60*$C$65,Application!$AO$636-SUM('15 Year Pro Forma'!$E$66:BCV$66))</f>
        <v>0</v>
      </c>
      <c r="BCY66" s="956">
        <f>MIN(BCY60*$C$65,Application!$AO$636-SUM('15 Year Pro Forma'!$E$66:BCX$66))</f>
        <v>0</v>
      </c>
      <c r="BDA66" s="956">
        <f>MIN(BDA60*$C$65,Application!$AO$636-SUM('15 Year Pro Forma'!$E$66:BCZ$66))</f>
        <v>0</v>
      </c>
      <c r="BDC66" s="956">
        <f>MIN(BDC60*$C$65,Application!$AO$636-SUM('15 Year Pro Forma'!$E$66:BDB$66))</f>
        <v>0</v>
      </c>
      <c r="BDE66" s="956">
        <f>MIN(BDE60*$C$65,Application!$AO$636-SUM('15 Year Pro Forma'!$E$66:BDD$66))</f>
        <v>0</v>
      </c>
      <c r="BDG66" s="956">
        <f>MIN(BDG60*$C$65,Application!$AO$636-SUM('15 Year Pro Forma'!$E$66:BDF$66))</f>
        <v>0</v>
      </c>
      <c r="BDI66" s="956">
        <f>MIN(BDI60*$C$65,Application!$AO$636-SUM('15 Year Pro Forma'!$E$66:BDH$66))</f>
        <v>0</v>
      </c>
      <c r="BDK66" s="956">
        <f>MIN(BDK60*$C$65,Application!$AO$636-SUM('15 Year Pro Forma'!$E$66:BDJ$66))</f>
        <v>0</v>
      </c>
      <c r="BDM66" s="956">
        <f>MIN(BDM60*$C$65,Application!$AO$636-SUM('15 Year Pro Forma'!$E$66:BDL$66))</f>
        <v>0</v>
      </c>
      <c r="BDO66" s="956">
        <f>MIN(BDO60*$C$65,Application!$AO$636-SUM('15 Year Pro Forma'!$E$66:BDN$66))</f>
        <v>0</v>
      </c>
      <c r="BDQ66" s="956">
        <f>MIN(BDQ60*$C$65,Application!$AO$636-SUM('15 Year Pro Forma'!$E$66:BDP$66))</f>
        <v>0</v>
      </c>
      <c r="BDS66" s="956">
        <f>MIN(BDS60*$C$65,Application!$AO$636-SUM('15 Year Pro Forma'!$E$66:BDR$66))</f>
        <v>0</v>
      </c>
      <c r="BDU66" s="956">
        <f>MIN(BDU60*$C$65,Application!$AO$636-SUM('15 Year Pro Forma'!$E$66:BDT$66))</f>
        <v>0</v>
      </c>
      <c r="BDW66" s="956">
        <f>MIN(BDW60*$C$65,Application!$AO$636-SUM('15 Year Pro Forma'!$E$66:BDV$66))</f>
        <v>0</v>
      </c>
      <c r="BDY66" s="956">
        <f>MIN(BDY60*$C$65,Application!$AO$636-SUM('15 Year Pro Forma'!$E$66:BDX$66))</f>
        <v>0</v>
      </c>
      <c r="BEA66" s="956">
        <f>MIN(BEA60*$C$65,Application!$AO$636-SUM('15 Year Pro Forma'!$E$66:BDZ$66))</f>
        <v>0</v>
      </c>
      <c r="BEC66" s="956">
        <f>MIN(BEC60*$C$65,Application!$AO$636-SUM('15 Year Pro Forma'!$E$66:BEB$66))</f>
        <v>0</v>
      </c>
      <c r="BEE66" s="956">
        <f>MIN(BEE60*$C$65,Application!$AO$636-SUM('15 Year Pro Forma'!$E$66:BED$66))</f>
        <v>0</v>
      </c>
      <c r="BEG66" s="956">
        <f>MIN(BEG60*$C$65,Application!$AO$636-SUM('15 Year Pro Forma'!$E$66:BEF$66))</f>
        <v>0</v>
      </c>
      <c r="BEI66" s="956">
        <f>MIN(BEI60*$C$65,Application!$AO$636-SUM('15 Year Pro Forma'!$E$66:BEH$66))</f>
        <v>0</v>
      </c>
      <c r="BEK66" s="956">
        <f>MIN(BEK60*$C$65,Application!$AO$636-SUM('15 Year Pro Forma'!$E$66:BEJ$66))</f>
        <v>0</v>
      </c>
      <c r="BEM66" s="956">
        <f>MIN(BEM60*$C$65,Application!$AO$636-SUM('15 Year Pro Forma'!$E$66:BEL$66))</f>
        <v>0</v>
      </c>
      <c r="BEO66" s="956">
        <f>MIN(BEO60*$C$65,Application!$AO$636-SUM('15 Year Pro Forma'!$E$66:BEN$66))</f>
        <v>0</v>
      </c>
      <c r="BEQ66" s="956">
        <f>MIN(BEQ60*$C$65,Application!$AO$636-SUM('15 Year Pro Forma'!$E$66:BEP$66))</f>
        <v>0</v>
      </c>
      <c r="BES66" s="956">
        <f>MIN(BES60*$C$65,Application!$AO$636-SUM('15 Year Pro Forma'!$E$66:BER$66))</f>
        <v>0</v>
      </c>
      <c r="BEU66" s="956">
        <f>MIN(BEU60*$C$65,Application!$AO$636-SUM('15 Year Pro Forma'!$E$66:BET$66))</f>
        <v>0</v>
      </c>
      <c r="BEW66" s="956">
        <f>MIN(BEW60*$C$65,Application!$AO$636-SUM('15 Year Pro Forma'!$E$66:BEV$66))</f>
        <v>0</v>
      </c>
      <c r="BEY66" s="956">
        <f>MIN(BEY60*$C$65,Application!$AO$636-SUM('15 Year Pro Forma'!$E$66:BEX$66))</f>
        <v>0</v>
      </c>
      <c r="BFA66" s="956">
        <f>MIN(BFA60*$C$65,Application!$AO$636-SUM('15 Year Pro Forma'!$E$66:BEZ$66))</f>
        <v>0</v>
      </c>
      <c r="BFC66" s="956">
        <f>MIN(BFC60*$C$65,Application!$AO$636-SUM('15 Year Pro Forma'!$E$66:BFB$66))</f>
        <v>0</v>
      </c>
      <c r="BFE66" s="956">
        <f>MIN(BFE60*$C$65,Application!$AO$636-SUM('15 Year Pro Forma'!$E$66:BFD$66))</f>
        <v>0</v>
      </c>
      <c r="BFG66" s="956">
        <f>MIN(BFG60*$C$65,Application!$AO$636-SUM('15 Year Pro Forma'!$E$66:BFF$66))</f>
        <v>0</v>
      </c>
      <c r="BFI66" s="956">
        <f>MIN(BFI60*$C$65,Application!$AO$636-SUM('15 Year Pro Forma'!$E$66:BFH$66))</f>
        <v>0</v>
      </c>
      <c r="BFK66" s="956">
        <f>MIN(BFK60*$C$65,Application!$AO$636-SUM('15 Year Pro Forma'!$E$66:BFJ$66))</f>
        <v>0</v>
      </c>
      <c r="BFM66" s="956">
        <f>MIN(BFM60*$C$65,Application!$AO$636-SUM('15 Year Pro Forma'!$E$66:BFL$66))</f>
        <v>0</v>
      </c>
      <c r="BFO66" s="956">
        <f>MIN(BFO60*$C$65,Application!$AO$636-SUM('15 Year Pro Forma'!$E$66:BFN$66))</f>
        <v>0</v>
      </c>
      <c r="BFQ66" s="956">
        <f>MIN(BFQ60*$C$65,Application!$AO$636-SUM('15 Year Pro Forma'!$E$66:BFP$66))</f>
        <v>0</v>
      </c>
      <c r="BFS66" s="956">
        <f>MIN(BFS60*$C$65,Application!$AO$636-SUM('15 Year Pro Forma'!$E$66:BFR$66))</f>
        <v>0</v>
      </c>
      <c r="BFU66" s="956">
        <f>MIN(BFU60*$C$65,Application!$AO$636-SUM('15 Year Pro Forma'!$E$66:BFT$66))</f>
        <v>0</v>
      </c>
      <c r="BFW66" s="956">
        <f>MIN(BFW60*$C$65,Application!$AO$636-SUM('15 Year Pro Forma'!$E$66:BFV$66))</f>
        <v>0</v>
      </c>
      <c r="BFY66" s="956">
        <f>MIN(BFY60*$C$65,Application!$AO$636-SUM('15 Year Pro Forma'!$E$66:BFX$66))</f>
        <v>0</v>
      </c>
      <c r="BGA66" s="956">
        <f>MIN(BGA60*$C$65,Application!$AO$636-SUM('15 Year Pro Forma'!$E$66:BFZ$66))</f>
        <v>0</v>
      </c>
      <c r="BGC66" s="956">
        <f>MIN(BGC60*$C$65,Application!$AO$636-SUM('15 Year Pro Forma'!$E$66:BGB$66))</f>
        <v>0</v>
      </c>
      <c r="BGE66" s="956">
        <f>MIN(BGE60*$C$65,Application!$AO$636-SUM('15 Year Pro Forma'!$E$66:BGD$66))</f>
        <v>0</v>
      </c>
      <c r="BGG66" s="956">
        <f>MIN(BGG60*$C$65,Application!$AO$636-SUM('15 Year Pro Forma'!$E$66:BGF$66))</f>
        <v>0</v>
      </c>
      <c r="BGI66" s="956">
        <f>MIN(BGI60*$C$65,Application!$AO$636-SUM('15 Year Pro Forma'!$E$66:BGH$66))</f>
        <v>0</v>
      </c>
      <c r="BGK66" s="956">
        <f>MIN(BGK60*$C$65,Application!$AO$636-SUM('15 Year Pro Forma'!$E$66:BGJ$66))</f>
        <v>0</v>
      </c>
      <c r="BGM66" s="956">
        <f>MIN(BGM60*$C$65,Application!$AO$636-SUM('15 Year Pro Forma'!$E$66:BGL$66))</f>
        <v>0</v>
      </c>
      <c r="BGO66" s="956">
        <f>MIN(BGO60*$C$65,Application!$AO$636-SUM('15 Year Pro Forma'!$E$66:BGN$66))</f>
        <v>0</v>
      </c>
      <c r="BGQ66" s="956">
        <f>MIN(BGQ60*$C$65,Application!$AO$636-SUM('15 Year Pro Forma'!$E$66:BGP$66))</f>
        <v>0</v>
      </c>
      <c r="BGS66" s="956">
        <f>MIN(BGS60*$C$65,Application!$AO$636-SUM('15 Year Pro Forma'!$E$66:BGR$66))</f>
        <v>0</v>
      </c>
      <c r="BGU66" s="956">
        <f>MIN(BGU60*$C$65,Application!$AO$636-SUM('15 Year Pro Forma'!$E$66:BGT$66))</f>
        <v>0</v>
      </c>
      <c r="BGW66" s="956">
        <f>MIN(BGW60*$C$65,Application!$AO$636-SUM('15 Year Pro Forma'!$E$66:BGV$66))</f>
        <v>0</v>
      </c>
      <c r="BGY66" s="956">
        <f>MIN(BGY60*$C$65,Application!$AO$636-SUM('15 Year Pro Forma'!$E$66:BGX$66))</f>
        <v>0</v>
      </c>
      <c r="BHA66" s="956">
        <f>MIN(BHA60*$C$65,Application!$AO$636-SUM('15 Year Pro Forma'!$E$66:BGZ$66))</f>
        <v>0</v>
      </c>
      <c r="BHC66" s="956">
        <f>MIN(BHC60*$C$65,Application!$AO$636-SUM('15 Year Pro Forma'!$E$66:BHB$66))</f>
        <v>0</v>
      </c>
      <c r="BHE66" s="956">
        <f>MIN(BHE60*$C$65,Application!$AO$636-SUM('15 Year Pro Forma'!$E$66:BHD$66))</f>
        <v>0</v>
      </c>
      <c r="BHG66" s="956">
        <f>MIN(BHG60*$C$65,Application!$AO$636-SUM('15 Year Pro Forma'!$E$66:BHF$66))</f>
        <v>0</v>
      </c>
      <c r="BHI66" s="956">
        <f>MIN(BHI60*$C$65,Application!$AO$636-SUM('15 Year Pro Forma'!$E$66:BHH$66))</f>
        <v>0</v>
      </c>
      <c r="BHK66" s="956">
        <f>MIN(BHK60*$C$65,Application!$AO$636-SUM('15 Year Pro Forma'!$E$66:BHJ$66))</f>
        <v>0</v>
      </c>
      <c r="BHM66" s="956">
        <f>MIN(BHM60*$C$65,Application!$AO$636-SUM('15 Year Pro Forma'!$E$66:BHL$66))</f>
        <v>0</v>
      </c>
      <c r="BHO66" s="956">
        <f>MIN(BHO60*$C$65,Application!$AO$636-SUM('15 Year Pro Forma'!$E$66:BHN$66))</f>
        <v>0</v>
      </c>
      <c r="BHQ66" s="956">
        <f>MIN(BHQ60*$C$65,Application!$AO$636-SUM('15 Year Pro Forma'!$E$66:BHP$66))</f>
        <v>0</v>
      </c>
      <c r="BHS66" s="956">
        <f>MIN(BHS60*$C$65,Application!$AO$636-SUM('15 Year Pro Forma'!$E$66:BHR$66))</f>
        <v>0</v>
      </c>
      <c r="BHU66" s="956">
        <f>MIN(BHU60*$C$65,Application!$AO$636-SUM('15 Year Pro Forma'!$E$66:BHT$66))</f>
        <v>0</v>
      </c>
      <c r="BHW66" s="956">
        <f>MIN(BHW60*$C$65,Application!$AO$636-SUM('15 Year Pro Forma'!$E$66:BHV$66))</f>
        <v>0</v>
      </c>
      <c r="BHY66" s="956">
        <f>MIN(BHY60*$C$65,Application!$AO$636-SUM('15 Year Pro Forma'!$E$66:BHX$66))</f>
        <v>0</v>
      </c>
      <c r="BIA66" s="956">
        <f>MIN(BIA60*$C$65,Application!$AO$636-SUM('15 Year Pro Forma'!$E$66:BHZ$66))</f>
        <v>0</v>
      </c>
      <c r="BIC66" s="956">
        <f>MIN(BIC60*$C$65,Application!$AO$636-SUM('15 Year Pro Forma'!$E$66:BIB$66))</f>
        <v>0</v>
      </c>
      <c r="BIE66" s="956">
        <f>MIN(BIE60*$C$65,Application!$AO$636-SUM('15 Year Pro Forma'!$E$66:BID$66))</f>
        <v>0</v>
      </c>
      <c r="BIG66" s="956">
        <f>MIN(BIG60*$C$65,Application!$AO$636-SUM('15 Year Pro Forma'!$E$66:BIF$66))</f>
        <v>0</v>
      </c>
      <c r="BII66" s="956">
        <f>MIN(BII60*$C$65,Application!$AO$636-SUM('15 Year Pro Forma'!$E$66:BIH$66))</f>
        <v>0</v>
      </c>
      <c r="BIK66" s="956">
        <f>MIN(BIK60*$C$65,Application!$AO$636-SUM('15 Year Pro Forma'!$E$66:BIJ$66))</f>
        <v>0</v>
      </c>
      <c r="BIM66" s="956">
        <f>MIN(BIM60*$C$65,Application!$AO$636-SUM('15 Year Pro Forma'!$E$66:BIL$66))</f>
        <v>0</v>
      </c>
      <c r="BIO66" s="956">
        <f>MIN(BIO60*$C$65,Application!$AO$636-SUM('15 Year Pro Forma'!$E$66:BIN$66))</f>
        <v>0</v>
      </c>
      <c r="BIQ66" s="956">
        <f>MIN(BIQ60*$C$65,Application!$AO$636-SUM('15 Year Pro Forma'!$E$66:BIP$66))</f>
        <v>0</v>
      </c>
      <c r="BIS66" s="956">
        <f>MIN(BIS60*$C$65,Application!$AO$636-SUM('15 Year Pro Forma'!$E$66:BIR$66))</f>
        <v>0</v>
      </c>
      <c r="BIU66" s="956">
        <f>MIN(BIU60*$C$65,Application!$AO$636-SUM('15 Year Pro Forma'!$E$66:BIT$66))</f>
        <v>0</v>
      </c>
      <c r="BIW66" s="956">
        <f>MIN(BIW60*$C$65,Application!$AO$636-SUM('15 Year Pro Forma'!$E$66:BIV$66))</f>
        <v>0</v>
      </c>
      <c r="BIY66" s="956">
        <f>MIN(BIY60*$C$65,Application!$AO$636-SUM('15 Year Pro Forma'!$E$66:BIX$66))</f>
        <v>0</v>
      </c>
      <c r="BJA66" s="956">
        <f>MIN(BJA60*$C$65,Application!$AO$636-SUM('15 Year Pro Forma'!$E$66:BIZ$66))</f>
        <v>0</v>
      </c>
      <c r="BJC66" s="956">
        <f>MIN(BJC60*$C$65,Application!$AO$636-SUM('15 Year Pro Forma'!$E$66:BJB$66))</f>
        <v>0</v>
      </c>
      <c r="BJE66" s="956">
        <f>MIN(BJE60*$C$65,Application!$AO$636-SUM('15 Year Pro Forma'!$E$66:BJD$66))</f>
        <v>0</v>
      </c>
      <c r="BJG66" s="956">
        <f>MIN(BJG60*$C$65,Application!$AO$636-SUM('15 Year Pro Forma'!$E$66:BJF$66))</f>
        <v>0</v>
      </c>
      <c r="BJI66" s="956">
        <f>MIN(BJI60*$C$65,Application!$AO$636-SUM('15 Year Pro Forma'!$E$66:BJH$66))</f>
        <v>0</v>
      </c>
      <c r="BJK66" s="956">
        <f>MIN(BJK60*$C$65,Application!$AO$636-SUM('15 Year Pro Forma'!$E$66:BJJ$66))</f>
        <v>0</v>
      </c>
      <c r="BJM66" s="956">
        <f>MIN(BJM60*$C$65,Application!$AO$636-SUM('15 Year Pro Forma'!$E$66:BJL$66))</f>
        <v>0</v>
      </c>
      <c r="BJO66" s="956">
        <f>MIN(BJO60*$C$65,Application!$AO$636-SUM('15 Year Pro Forma'!$E$66:BJN$66))</f>
        <v>0</v>
      </c>
      <c r="BJQ66" s="956">
        <f>MIN(BJQ60*$C$65,Application!$AO$636-SUM('15 Year Pro Forma'!$E$66:BJP$66))</f>
        <v>0</v>
      </c>
      <c r="BJS66" s="956">
        <f>MIN(BJS60*$C$65,Application!$AO$636-SUM('15 Year Pro Forma'!$E$66:BJR$66))</f>
        <v>0</v>
      </c>
      <c r="BJU66" s="956">
        <f>MIN(BJU60*$C$65,Application!$AO$636-SUM('15 Year Pro Forma'!$E$66:BJT$66))</f>
        <v>0</v>
      </c>
      <c r="BJW66" s="956">
        <f>MIN(BJW60*$C$65,Application!$AO$636-SUM('15 Year Pro Forma'!$E$66:BJV$66))</f>
        <v>0</v>
      </c>
      <c r="BJY66" s="956">
        <f>MIN(BJY60*$C$65,Application!$AO$636-SUM('15 Year Pro Forma'!$E$66:BJX$66))</f>
        <v>0</v>
      </c>
      <c r="BKA66" s="956">
        <f>MIN(BKA60*$C$65,Application!$AO$636-SUM('15 Year Pro Forma'!$E$66:BJZ$66))</f>
        <v>0</v>
      </c>
      <c r="BKC66" s="956">
        <f>MIN(BKC60*$C$65,Application!$AO$636-SUM('15 Year Pro Forma'!$E$66:BKB$66))</f>
        <v>0</v>
      </c>
      <c r="BKE66" s="956">
        <f>MIN(BKE60*$C$65,Application!$AO$636-SUM('15 Year Pro Forma'!$E$66:BKD$66))</f>
        <v>0</v>
      </c>
      <c r="BKG66" s="956">
        <f>MIN(BKG60*$C$65,Application!$AO$636-SUM('15 Year Pro Forma'!$E$66:BKF$66))</f>
        <v>0</v>
      </c>
      <c r="BKI66" s="956">
        <f>MIN(BKI60*$C$65,Application!$AO$636-SUM('15 Year Pro Forma'!$E$66:BKH$66))</f>
        <v>0</v>
      </c>
      <c r="BKK66" s="956">
        <f>MIN(BKK60*$C$65,Application!$AO$636-SUM('15 Year Pro Forma'!$E$66:BKJ$66))</f>
        <v>0</v>
      </c>
      <c r="BKM66" s="956">
        <f>MIN(BKM60*$C$65,Application!$AO$636-SUM('15 Year Pro Forma'!$E$66:BKL$66))</f>
        <v>0</v>
      </c>
      <c r="BKO66" s="956">
        <f>MIN(BKO60*$C$65,Application!$AO$636-SUM('15 Year Pro Forma'!$E$66:BKN$66))</f>
        <v>0</v>
      </c>
      <c r="BKQ66" s="956">
        <f>MIN(BKQ60*$C$65,Application!$AO$636-SUM('15 Year Pro Forma'!$E$66:BKP$66))</f>
        <v>0</v>
      </c>
      <c r="BKS66" s="956">
        <f>MIN(BKS60*$C$65,Application!$AO$636-SUM('15 Year Pro Forma'!$E$66:BKR$66))</f>
        <v>0</v>
      </c>
      <c r="BKU66" s="956">
        <f>MIN(BKU60*$C$65,Application!$AO$636-SUM('15 Year Pro Forma'!$E$66:BKT$66))</f>
        <v>0</v>
      </c>
      <c r="BKW66" s="956">
        <f>MIN(BKW60*$C$65,Application!$AO$636-SUM('15 Year Pro Forma'!$E$66:BKV$66))</f>
        <v>0</v>
      </c>
      <c r="BKY66" s="956">
        <f>MIN(BKY60*$C$65,Application!$AO$636-SUM('15 Year Pro Forma'!$E$66:BKX$66))</f>
        <v>0</v>
      </c>
      <c r="BLA66" s="956">
        <f>MIN(BLA60*$C$65,Application!$AO$636-SUM('15 Year Pro Forma'!$E$66:BKZ$66))</f>
        <v>0</v>
      </c>
      <c r="BLC66" s="956">
        <f>MIN(BLC60*$C$65,Application!$AO$636-SUM('15 Year Pro Forma'!$E$66:BLB$66))</f>
        <v>0</v>
      </c>
      <c r="BLE66" s="956">
        <f>MIN(BLE60*$C$65,Application!$AO$636-SUM('15 Year Pro Forma'!$E$66:BLD$66))</f>
        <v>0</v>
      </c>
      <c r="BLG66" s="956">
        <f>MIN(BLG60*$C$65,Application!$AO$636-SUM('15 Year Pro Forma'!$E$66:BLF$66))</f>
        <v>0</v>
      </c>
      <c r="BLI66" s="956">
        <f>MIN(BLI60*$C$65,Application!$AO$636-SUM('15 Year Pro Forma'!$E$66:BLH$66))</f>
        <v>0</v>
      </c>
      <c r="BLK66" s="956">
        <f>MIN(BLK60*$C$65,Application!$AO$636-SUM('15 Year Pro Forma'!$E$66:BLJ$66))</f>
        <v>0</v>
      </c>
      <c r="BLM66" s="956">
        <f>MIN(BLM60*$C$65,Application!$AO$636-SUM('15 Year Pro Forma'!$E$66:BLL$66))</f>
        <v>0</v>
      </c>
      <c r="BLO66" s="956">
        <f>MIN(BLO60*$C$65,Application!$AO$636-SUM('15 Year Pro Forma'!$E$66:BLN$66))</f>
        <v>0</v>
      </c>
      <c r="BLQ66" s="956">
        <f>MIN(BLQ60*$C$65,Application!$AO$636-SUM('15 Year Pro Forma'!$E$66:BLP$66))</f>
        <v>0</v>
      </c>
      <c r="BLS66" s="956">
        <f>MIN(BLS60*$C$65,Application!$AO$636-SUM('15 Year Pro Forma'!$E$66:BLR$66))</f>
        <v>0</v>
      </c>
      <c r="BLU66" s="956">
        <f>MIN(BLU60*$C$65,Application!$AO$636-SUM('15 Year Pro Forma'!$E$66:BLT$66))</f>
        <v>0</v>
      </c>
      <c r="BLW66" s="956">
        <f>MIN(BLW60*$C$65,Application!$AO$636-SUM('15 Year Pro Forma'!$E$66:BLV$66))</f>
        <v>0</v>
      </c>
      <c r="BLY66" s="956">
        <f>MIN(BLY60*$C$65,Application!$AO$636-SUM('15 Year Pro Forma'!$E$66:BLX$66))</f>
        <v>0</v>
      </c>
      <c r="BMA66" s="956">
        <f>MIN(BMA60*$C$65,Application!$AO$636-SUM('15 Year Pro Forma'!$E$66:BLZ$66))</f>
        <v>0</v>
      </c>
      <c r="BMC66" s="956">
        <f>MIN(BMC60*$C$65,Application!$AO$636-SUM('15 Year Pro Forma'!$E$66:BMB$66))</f>
        <v>0</v>
      </c>
      <c r="BME66" s="956">
        <f>MIN(BME60*$C$65,Application!$AO$636-SUM('15 Year Pro Forma'!$E$66:BMD$66))</f>
        <v>0</v>
      </c>
      <c r="BMG66" s="956">
        <f>MIN(BMG60*$C$65,Application!$AO$636-SUM('15 Year Pro Forma'!$E$66:BMF$66))</f>
        <v>0</v>
      </c>
      <c r="BMI66" s="956">
        <f>MIN(BMI60*$C$65,Application!$AO$636-SUM('15 Year Pro Forma'!$E$66:BMH$66))</f>
        <v>0</v>
      </c>
      <c r="BMK66" s="956">
        <f>MIN(BMK60*$C$65,Application!$AO$636-SUM('15 Year Pro Forma'!$E$66:BMJ$66))</f>
        <v>0</v>
      </c>
      <c r="BMM66" s="956">
        <f>MIN(BMM60*$C$65,Application!$AO$636-SUM('15 Year Pro Forma'!$E$66:BML$66))</f>
        <v>0</v>
      </c>
      <c r="BMO66" s="956">
        <f>MIN(BMO60*$C$65,Application!$AO$636-SUM('15 Year Pro Forma'!$E$66:BMN$66))</f>
        <v>0</v>
      </c>
      <c r="BMQ66" s="956">
        <f>MIN(BMQ60*$C$65,Application!$AO$636-SUM('15 Year Pro Forma'!$E$66:BMP$66))</f>
        <v>0</v>
      </c>
      <c r="BMS66" s="956">
        <f>MIN(BMS60*$C$65,Application!$AO$636-SUM('15 Year Pro Forma'!$E$66:BMR$66))</f>
        <v>0</v>
      </c>
      <c r="BMU66" s="956">
        <f>MIN(BMU60*$C$65,Application!$AO$636-SUM('15 Year Pro Forma'!$E$66:BMT$66))</f>
        <v>0</v>
      </c>
      <c r="BMW66" s="956">
        <f>MIN(BMW60*$C$65,Application!$AO$636-SUM('15 Year Pro Forma'!$E$66:BMV$66))</f>
        <v>0</v>
      </c>
      <c r="BMY66" s="956">
        <f>MIN(BMY60*$C$65,Application!$AO$636-SUM('15 Year Pro Forma'!$E$66:BMX$66))</f>
        <v>0</v>
      </c>
      <c r="BNA66" s="956">
        <f>MIN(BNA60*$C$65,Application!$AO$636-SUM('15 Year Pro Forma'!$E$66:BMZ$66))</f>
        <v>0</v>
      </c>
      <c r="BNC66" s="956">
        <f>MIN(BNC60*$C$65,Application!$AO$636-SUM('15 Year Pro Forma'!$E$66:BNB$66))</f>
        <v>0</v>
      </c>
      <c r="BNE66" s="956">
        <f>MIN(BNE60*$C$65,Application!$AO$636-SUM('15 Year Pro Forma'!$E$66:BND$66))</f>
        <v>0</v>
      </c>
      <c r="BNG66" s="956">
        <f>MIN(BNG60*$C$65,Application!$AO$636-SUM('15 Year Pro Forma'!$E$66:BNF$66))</f>
        <v>0</v>
      </c>
      <c r="BNI66" s="956">
        <f>MIN(BNI60*$C$65,Application!$AO$636-SUM('15 Year Pro Forma'!$E$66:BNH$66))</f>
        <v>0</v>
      </c>
      <c r="BNK66" s="956">
        <f>MIN(BNK60*$C$65,Application!$AO$636-SUM('15 Year Pro Forma'!$E$66:BNJ$66))</f>
        <v>0</v>
      </c>
      <c r="BNM66" s="956">
        <f>MIN(BNM60*$C$65,Application!$AO$636-SUM('15 Year Pro Forma'!$E$66:BNL$66))</f>
        <v>0</v>
      </c>
      <c r="BNO66" s="956">
        <f>MIN(BNO60*$C$65,Application!$AO$636-SUM('15 Year Pro Forma'!$E$66:BNN$66))</f>
        <v>0</v>
      </c>
      <c r="BNQ66" s="956">
        <f>MIN(BNQ60*$C$65,Application!$AO$636-SUM('15 Year Pro Forma'!$E$66:BNP$66))</f>
        <v>0</v>
      </c>
      <c r="BNS66" s="956">
        <f>MIN(BNS60*$C$65,Application!$AO$636-SUM('15 Year Pro Forma'!$E$66:BNR$66))</f>
        <v>0</v>
      </c>
      <c r="BNU66" s="956">
        <f>MIN(BNU60*$C$65,Application!$AO$636-SUM('15 Year Pro Forma'!$E$66:BNT$66))</f>
        <v>0</v>
      </c>
      <c r="BNW66" s="956">
        <f>MIN(BNW60*$C$65,Application!$AO$636-SUM('15 Year Pro Forma'!$E$66:BNV$66))</f>
        <v>0</v>
      </c>
      <c r="BNY66" s="956">
        <f>MIN(BNY60*$C$65,Application!$AO$636-SUM('15 Year Pro Forma'!$E$66:BNX$66))</f>
        <v>0</v>
      </c>
      <c r="BOA66" s="956">
        <f>MIN(BOA60*$C$65,Application!$AO$636-SUM('15 Year Pro Forma'!$E$66:BNZ$66))</f>
        <v>0</v>
      </c>
      <c r="BOC66" s="956">
        <f>MIN(BOC60*$C$65,Application!$AO$636-SUM('15 Year Pro Forma'!$E$66:BOB$66))</f>
        <v>0</v>
      </c>
      <c r="BOE66" s="956">
        <f>MIN(BOE60*$C$65,Application!$AO$636-SUM('15 Year Pro Forma'!$E$66:BOD$66))</f>
        <v>0</v>
      </c>
      <c r="BOG66" s="956">
        <f>MIN(BOG60*$C$65,Application!$AO$636-SUM('15 Year Pro Forma'!$E$66:BOF$66))</f>
        <v>0</v>
      </c>
      <c r="BOI66" s="956">
        <f>MIN(BOI60*$C$65,Application!$AO$636-SUM('15 Year Pro Forma'!$E$66:BOH$66))</f>
        <v>0</v>
      </c>
      <c r="BOK66" s="956">
        <f>MIN(BOK60*$C$65,Application!$AO$636-SUM('15 Year Pro Forma'!$E$66:BOJ$66))</f>
        <v>0</v>
      </c>
      <c r="BOM66" s="956">
        <f>MIN(BOM60*$C$65,Application!$AO$636-SUM('15 Year Pro Forma'!$E$66:BOL$66))</f>
        <v>0</v>
      </c>
      <c r="BOO66" s="956">
        <f>MIN(BOO60*$C$65,Application!$AO$636-SUM('15 Year Pro Forma'!$E$66:BON$66))</f>
        <v>0</v>
      </c>
      <c r="BOQ66" s="956">
        <f>MIN(BOQ60*$C$65,Application!$AO$636-SUM('15 Year Pro Forma'!$E$66:BOP$66))</f>
        <v>0</v>
      </c>
      <c r="BOS66" s="956">
        <f>MIN(BOS60*$C$65,Application!$AO$636-SUM('15 Year Pro Forma'!$E$66:BOR$66))</f>
        <v>0</v>
      </c>
      <c r="BOU66" s="956">
        <f>MIN(BOU60*$C$65,Application!$AO$636-SUM('15 Year Pro Forma'!$E$66:BOT$66))</f>
        <v>0</v>
      </c>
      <c r="BOW66" s="956">
        <f>MIN(BOW60*$C$65,Application!$AO$636-SUM('15 Year Pro Forma'!$E$66:BOV$66))</f>
        <v>0</v>
      </c>
      <c r="BOY66" s="956">
        <f>MIN(BOY60*$C$65,Application!$AO$636-SUM('15 Year Pro Forma'!$E$66:BOX$66))</f>
        <v>0</v>
      </c>
      <c r="BPA66" s="956">
        <f>MIN(BPA60*$C$65,Application!$AO$636-SUM('15 Year Pro Forma'!$E$66:BOZ$66))</f>
        <v>0</v>
      </c>
      <c r="BPC66" s="956">
        <f>MIN(BPC60*$C$65,Application!$AO$636-SUM('15 Year Pro Forma'!$E$66:BPB$66))</f>
        <v>0</v>
      </c>
      <c r="BPE66" s="956">
        <f>MIN(BPE60*$C$65,Application!$AO$636-SUM('15 Year Pro Forma'!$E$66:BPD$66))</f>
        <v>0</v>
      </c>
      <c r="BPG66" s="956">
        <f>MIN(BPG60*$C$65,Application!$AO$636-SUM('15 Year Pro Forma'!$E$66:BPF$66))</f>
        <v>0</v>
      </c>
      <c r="BPI66" s="956">
        <f>MIN(BPI60*$C$65,Application!$AO$636-SUM('15 Year Pro Forma'!$E$66:BPH$66))</f>
        <v>0</v>
      </c>
      <c r="BPK66" s="956">
        <f>MIN(BPK60*$C$65,Application!$AO$636-SUM('15 Year Pro Forma'!$E$66:BPJ$66))</f>
        <v>0</v>
      </c>
      <c r="BPM66" s="956">
        <f>MIN(BPM60*$C$65,Application!$AO$636-SUM('15 Year Pro Forma'!$E$66:BPL$66))</f>
        <v>0</v>
      </c>
      <c r="BPO66" s="956">
        <f>MIN(BPO60*$C$65,Application!$AO$636-SUM('15 Year Pro Forma'!$E$66:BPN$66))</f>
        <v>0</v>
      </c>
      <c r="BPQ66" s="956">
        <f>MIN(BPQ60*$C$65,Application!$AO$636-SUM('15 Year Pro Forma'!$E$66:BPP$66))</f>
        <v>0</v>
      </c>
      <c r="BPS66" s="956">
        <f>MIN(BPS60*$C$65,Application!$AO$636-SUM('15 Year Pro Forma'!$E$66:BPR$66))</f>
        <v>0</v>
      </c>
      <c r="BPU66" s="956">
        <f>MIN(BPU60*$C$65,Application!$AO$636-SUM('15 Year Pro Forma'!$E$66:BPT$66))</f>
        <v>0</v>
      </c>
      <c r="BPW66" s="956">
        <f>MIN(BPW60*$C$65,Application!$AO$636-SUM('15 Year Pro Forma'!$E$66:BPV$66))</f>
        <v>0</v>
      </c>
      <c r="BPY66" s="956">
        <f>MIN(BPY60*$C$65,Application!$AO$636-SUM('15 Year Pro Forma'!$E$66:BPX$66))</f>
        <v>0</v>
      </c>
      <c r="BQA66" s="956">
        <f>MIN(BQA60*$C$65,Application!$AO$636-SUM('15 Year Pro Forma'!$E$66:BPZ$66))</f>
        <v>0</v>
      </c>
      <c r="BQC66" s="956">
        <f>MIN(BQC60*$C$65,Application!$AO$636-SUM('15 Year Pro Forma'!$E$66:BQB$66))</f>
        <v>0</v>
      </c>
      <c r="BQE66" s="956">
        <f>MIN(BQE60*$C$65,Application!$AO$636-SUM('15 Year Pro Forma'!$E$66:BQD$66))</f>
        <v>0</v>
      </c>
      <c r="BQG66" s="956">
        <f>MIN(BQG60*$C$65,Application!$AO$636-SUM('15 Year Pro Forma'!$E$66:BQF$66))</f>
        <v>0</v>
      </c>
      <c r="BQI66" s="956">
        <f>MIN(BQI60*$C$65,Application!$AO$636-SUM('15 Year Pro Forma'!$E$66:BQH$66))</f>
        <v>0</v>
      </c>
      <c r="BQK66" s="956">
        <f>MIN(BQK60*$C$65,Application!$AO$636-SUM('15 Year Pro Forma'!$E$66:BQJ$66))</f>
        <v>0</v>
      </c>
      <c r="BQM66" s="956">
        <f>MIN(BQM60*$C$65,Application!$AO$636-SUM('15 Year Pro Forma'!$E$66:BQL$66))</f>
        <v>0</v>
      </c>
      <c r="BQO66" s="956">
        <f>MIN(BQO60*$C$65,Application!$AO$636-SUM('15 Year Pro Forma'!$E$66:BQN$66))</f>
        <v>0</v>
      </c>
      <c r="BQQ66" s="956">
        <f>MIN(BQQ60*$C$65,Application!$AO$636-SUM('15 Year Pro Forma'!$E$66:BQP$66))</f>
        <v>0</v>
      </c>
      <c r="BQS66" s="956">
        <f>MIN(BQS60*$C$65,Application!$AO$636-SUM('15 Year Pro Forma'!$E$66:BQR$66))</f>
        <v>0</v>
      </c>
      <c r="BQU66" s="956">
        <f>MIN(BQU60*$C$65,Application!$AO$636-SUM('15 Year Pro Forma'!$E$66:BQT$66))</f>
        <v>0</v>
      </c>
      <c r="BQW66" s="956">
        <f>MIN(BQW60*$C$65,Application!$AO$636-SUM('15 Year Pro Forma'!$E$66:BQV$66))</f>
        <v>0</v>
      </c>
      <c r="BQY66" s="956">
        <f>MIN(BQY60*$C$65,Application!$AO$636-SUM('15 Year Pro Forma'!$E$66:BQX$66))</f>
        <v>0</v>
      </c>
      <c r="BRA66" s="956">
        <f>MIN(BRA60*$C$65,Application!$AO$636-SUM('15 Year Pro Forma'!$E$66:BQZ$66))</f>
        <v>0</v>
      </c>
      <c r="BRC66" s="956">
        <f>MIN(BRC60*$C$65,Application!$AO$636-SUM('15 Year Pro Forma'!$E$66:BRB$66))</f>
        <v>0</v>
      </c>
      <c r="BRE66" s="956">
        <f>MIN(BRE60*$C$65,Application!$AO$636-SUM('15 Year Pro Forma'!$E$66:BRD$66))</f>
        <v>0</v>
      </c>
      <c r="BRG66" s="956">
        <f>MIN(BRG60*$C$65,Application!$AO$636-SUM('15 Year Pro Forma'!$E$66:BRF$66))</f>
        <v>0</v>
      </c>
      <c r="BRI66" s="956">
        <f>MIN(BRI60*$C$65,Application!$AO$636-SUM('15 Year Pro Forma'!$E$66:BRH$66))</f>
        <v>0</v>
      </c>
      <c r="BRK66" s="956">
        <f>MIN(BRK60*$C$65,Application!$AO$636-SUM('15 Year Pro Forma'!$E$66:BRJ$66))</f>
        <v>0</v>
      </c>
      <c r="BRM66" s="956">
        <f>MIN(BRM60*$C$65,Application!$AO$636-SUM('15 Year Pro Forma'!$E$66:BRL$66))</f>
        <v>0</v>
      </c>
      <c r="BRO66" s="956">
        <f>MIN(BRO60*$C$65,Application!$AO$636-SUM('15 Year Pro Forma'!$E$66:BRN$66))</f>
        <v>0</v>
      </c>
      <c r="BRQ66" s="956">
        <f>MIN(BRQ60*$C$65,Application!$AO$636-SUM('15 Year Pro Forma'!$E$66:BRP$66))</f>
        <v>0</v>
      </c>
      <c r="BRS66" s="956">
        <f>MIN(BRS60*$C$65,Application!$AO$636-SUM('15 Year Pro Forma'!$E$66:BRR$66))</f>
        <v>0</v>
      </c>
      <c r="BRU66" s="956">
        <f>MIN(BRU60*$C$65,Application!$AO$636-SUM('15 Year Pro Forma'!$E$66:BRT$66))</f>
        <v>0</v>
      </c>
      <c r="BRW66" s="956">
        <f>MIN(BRW60*$C$65,Application!$AO$636-SUM('15 Year Pro Forma'!$E$66:BRV$66))</f>
        <v>0</v>
      </c>
      <c r="BRY66" s="956">
        <f>MIN(BRY60*$C$65,Application!$AO$636-SUM('15 Year Pro Forma'!$E$66:BRX$66))</f>
        <v>0</v>
      </c>
      <c r="BSA66" s="956">
        <f>MIN(BSA60*$C$65,Application!$AO$636-SUM('15 Year Pro Forma'!$E$66:BRZ$66))</f>
        <v>0</v>
      </c>
      <c r="BSC66" s="956">
        <f>MIN(BSC60*$C$65,Application!$AO$636-SUM('15 Year Pro Forma'!$E$66:BSB$66))</f>
        <v>0</v>
      </c>
      <c r="BSE66" s="956">
        <f>MIN(BSE60*$C$65,Application!$AO$636-SUM('15 Year Pro Forma'!$E$66:BSD$66))</f>
        <v>0</v>
      </c>
      <c r="BSG66" s="956">
        <f>MIN(BSG60*$C$65,Application!$AO$636-SUM('15 Year Pro Forma'!$E$66:BSF$66))</f>
        <v>0</v>
      </c>
      <c r="BSI66" s="956">
        <f>MIN(BSI60*$C$65,Application!$AO$636-SUM('15 Year Pro Forma'!$E$66:BSH$66))</f>
        <v>0</v>
      </c>
      <c r="BSK66" s="956">
        <f>MIN(BSK60*$C$65,Application!$AO$636-SUM('15 Year Pro Forma'!$E$66:BSJ$66))</f>
        <v>0</v>
      </c>
      <c r="BSM66" s="956">
        <f>MIN(BSM60*$C$65,Application!$AO$636-SUM('15 Year Pro Forma'!$E$66:BSL$66))</f>
        <v>0</v>
      </c>
      <c r="BSO66" s="956">
        <f>MIN(BSO60*$C$65,Application!$AO$636-SUM('15 Year Pro Forma'!$E$66:BSN$66))</f>
        <v>0</v>
      </c>
      <c r="BSQ66" s="956">
        <f>MIN(BSQ60*$C$65,Application!$AO$636-SUM('15 Year Pro Forma'!$E$66:BSP$66))</f>
        <v>0</v>
      </c>
      <c r="BSS66" s="956">
        <f>MIN(BSS60*$C$65,Application!$AO$636-SUM('15 Year Pro Forma'!$E$66:BSR$66))</f>
        <v>0</v>
      </c>
      <c r="BSU66" s="956">
        <f>MIN(BSU60*$C$65,Application!$AO$636-SUM('15 Year Pro Forma'!$E$66:BST$66))</f>
        <v>0</v>
      </c>
      <c r="BSW66" s="956">
        <f>MIN(BSW60*$C$65,Application!$AO$636-SUM('15 Year Pro Forma'!$E$66:BSV$66))</f>
        <v>0</v>
      </c>
      <c r="BSY66" s="956">
        <f>MIN(BSY60*$C$65,Application!$AO$636-SUM('15 Year Pro Forma'!$E$66:BSX$66))</f>
        <v>0</v>
      </c>
      <c r="BTA66" s="956">
        <f>MIN(BTA60*$C$65,Application!$AO$636-SUM('15 Year Pro Forma'!$E$66:BSZ$66))</f>
        <v>0</v>
      </c>
      <c r="BTC66" s="956">
        <f>MIN(BTC60*$C$65,Application!$AO$636-SUM('15 Year Pro Forma'!$E$66:BTB$66))</f>
        <v>0</v>
      </c>
      <c r="BTE66" s="956">
        <f>MIN(BTE60*$C$65,Application!$AO$636-SUM('15 Year Pro Forma'!$E$66:BTD$66))</f>
        <v>0</v>
      </c>
      <c r="BTG66" s="956">
        <f>MIN(BTG60*$C$65,Application!$AO$636-SUM('15 Year Pro Forma'!$E$66:BTF$66))</f>
        <v>0</v>
      </c>
      <c r="BTI66" s="956">
        <f>MIN(BTI60*$C$65,Application!$AO$636-SUM('15 Year Pro Forma'!$E$66:BTH$66))</f>
        <v>0</v>
      </c>
      <c r="BTK66" s="956">
        <f>MIN(BTK60*$C$65,Application!$AO$636-SUM('15 Year Pro Forma'!$E$66:BTJ$66))</f>
        <v>0</v>
      </c>
      <c r="BTM66" s="956">
        <f>MIN(BTM60*$C$65,Application!$AO$636-SUM('15 Year Pro Forma'!$E$66:BTL$66))</f>
        <v>0</v>
      </c>
      <c r="BTO66" s="956">
        <f>MIN(BTO60*$C$65,Application!$AO$636-SUM('15 Year Pro Forma'!$E$66:BTN$66))</f>
        <v>0</v>
      </c>
      <c r="BTQ66" s="956">
        <f>MIN(BTQ60*$C$65,Application!$AO$636-SUM('15 Year Pro Forma'!$E$66:BTP$66))</f>
        <v>0</v>
      </c>
      <c r="BTS66" s="956">
        <f>MIN(BTS60*$C$65,Application!$AO$636-SUM('15 Year Pro Forma'!$E$66:BTR$66))</f>
        <v>0</v>
      </c>
      <c r="BTU66" s="956">
        <f>MIN(BTU60*$C$65,Application!$AO$636-SUM('15 Year Pro Forma'!$E$66:BTT$66))</f>
        <v>0</v>
      </c>
      <c r="BTW66" s="956">
        <f>MIN(BTW60*$C$65,Application!$AO$636-SUM('15 Year Pro Forma'!$E$66:BTV$66))</f>
        <v>0</v>
      </c>
      <c r="BTY66" s="956">
        <f>MIN(BTY60*$C$65,Application!$AO$636-SUM('15 Year Pro Forma'!$E$66:BTX$66))</f>
        <v>0</v>
      </c>
      <c r="BUA66" s="956">
        <f>MIN(BUA60*$C$65,Application!$AO$636-SUM('15 Year Pro Forma'!$E$66:BTZ$66))</f>
        <v>0</v>
      </c>
      <c r="BUC66" s="956">
        <f>MIN(BUC60*$C$65,Application!$AO$636-SUM('15 Year Pro Forma'!$E$66:BUB$66))</f>
        <v>0</v>
      </c>
      <c r="BUE66" s="956">
        <f>MIN(BUE60*$C$65,Application!$AO$636-SUM('15 Year Pro Forma'!$E$66:BUD$66))</f>
        <v>0</v>
      </c>
      <c r="BUG66" s="956">
        <f>MIN(BUG60*$C$65,Application!$AO$636-SUM('15 Year Pro Forma'!$E$66:BUF$66))</f>
        <v>0</v>
      </c>
      <c r="BUI66" s="956">
        <f>MIN(BUI60*$C$65,Application!$AO$636-SUM('15 Year Pro Forma'!$E$66:BUH$66))</f>
        <v>0</v>
      </c>
      <c r="BUK66" s="956">
        <f>MIN(BUK60*$C$65,Application!$AO$636-SUM('15 Year Pro Forma'!$E$66:BUJ$66))</f>
        <v>0</v>
      </c>
      <c r="BUM66" s="956">
        <f>MIN(BUM60*$C$65,Application!$AO$636-SUM('15 Year Pro Forma'!$E$66:BUL$66))</f>
        <v>0</v>
      </c>
      <c r="BUO66" s="956">
        <f>MIN(BUO60*$C$65,Application!$AO$636-SUM('15 Year Pro Forma'!$E$66:BUN$66))</f>
        <v>0</v>
      </c>
      <c r="BUQ66" s="956">
        <f>MIN(BUQ60*$C$65,Application!$AO$636-SUM('15 Year Pro Forma'!$E$66:BUP$66))</f>
        <v>0</v>
      </c>
      <c r="BUS66" s="956">
        <f>MIN(BUS60*$C$65,Application!$AO$636-SUM('15 Year Pro Forma'!$E$66:BUR$66))</f>
        <v>0</v>
      </c>
      <c r="BUU66" s="956">
        <f>MIN(BUU60*$C$65,Application!$AO$636-SUM('15 Year Pro Forma'!$E$66:BUT$66))</f>
        <v>0</v>
      </c>
      <c r="BUW66" s="956">
        <f>MIN(BUW60*$C$65,Application!$AO$636-SUM('15 Year Pro Forma'!$E$66:BUV$66))</f>
        <v>0</v>
      </c>
      <c r="BUY66" s="956">
        <f>MIN(BUY60*$C$65,Application!$AO$636-SUM('15 Year Pro Forma'!$E$66:BUX$66))</f>
        <v>0</v>
      </c>
      <c r="BVA66" s="956">
        <f>MIN(BVA60*$C$65,Application!$AO$636-SUM('15 Year Pro Forma'!$E$66:BUZ$66))</f>
        <v>0</v>
      </c>
      <c r="BVC66" s="956">
        <f>MIN(BVC60*$C$65,Application!$AO$636-SUM('15 Year Pro Forma'!$E$66:BVB$66))</f>
        <v>0</v>
      </c>
      <c r="BVE66" s="956">
        <f>MIN(BVE60*$C$65,Application!$AO$636-SUM('15 Year Pro Forma'!$E$66:BVD$66))</f>
        <v>0</v>
      </c>
      <c r="BVG66" s="956">
        <f>MIN(BVG60*$C$65,Application!$AO$636-SUM('15 Year Pro Forma'!$E$66:BVF$66))</f>
        <v>0</v>
      </c>
      <c r="BVI66" s="956">
        <f>MIN(BVI60*$C$65,Application!$AO$636-SUM('15 Year Pro Forma'!$E$66:BVH$66))</f>
        <v>0</v>
      </c>
      <c r="BVK66" s="956">
        <f>MIN(BVK60*$C$65,Application!$AO$636-SUM('15 Year Pro Forma'!$E$66:BVJ$66))</f>
        <v>0</v>
      </c>
      <c r="BVM66" s="956">
        <f>MIN(BVM60*$C$65,Application!$AO$636-SUM('15 Year Pro Forma'!$E$66:BVL$66))</f>
        <v>0</v>
      </c>
      <c r="BVO66" s="956">
        <f>MIN(BVO60*$C$65,Application!$AO$636-SUM('15 Year Pro Forma'!$E$66:BVN$66))</f>
        <v>0</v>
      </c>
      <c r="BVQ66" s="956">
        <f>MIN(BVQ60*$C$65,Application!$AO$636-SUM('15 Year Pro Forma'!$E$66:BVP$66))</f>
        <v>0</v>
      </c>
      <c r="BVS66" s="956">
        <f>MIN(BVS60*$C$65,Application!$AO$636-SUM('15 Year Pro Forma'!$E$66:BVR$66))</f>
        <v>0</v>
      </c>
      <c r="BVU66" s="956">
        <f>MIN(BVU60*$C$65,Application!$AO$636-SUM('15 Year Pro Forma'!$E$66:BVT$66))</f>
        <v>0</v>
      </c>
      <c r="BVW66" s="956">
        <f>MIN(BVW60*$C$65,Application!$AO$636-SUM('15 Year Pro Forma'!$E$66:BVV$66))</f>
        <v>0</v>
      </c>
      <c r="BVY66" s="956">
        <f>MIN(BVY60*$C$65,Application!$AO$636-SUM('15 Year Pro Forma'!$E$66:BVX$66))</f>
        <v>0</v>
      </c>
      <c r="BWA66" s="956">
        <f>MIN(BWA60*$C$65,Application!$AO$636-SUM('15 Year Pro Forma'!$E$66:BVZ$66))</f>
        <v>0</v>
      </c>
      <c r="BWC66" s="956">
        <f>MIN(BWC60*$C$65,Application!$AO$636-SUM('15 Year Pro Forma'!$E$66:BWB$66))</f>
        <v>0</v>
      </c>
      <c r="BWE66" s="956">
        <f>MIN(BWE60*$C$65,Application!$AO$636-SUM('15 Year Pro Forma'!$E$66:BWD$66))</f>
        <v>0</v>
      </c>
      <c r="BWG66" s="956">
        <f>MIN(BWG60*$C$65,Application!$AO$636-SUM('15 Year Pro Forma'!$E$66:BWF$66))</f>
        <v>0</v>
      </c>
      <c r="BWI66" s="956">
        <f>MIN(BWI60*$C$65,Application!$AO$636-SUM('15 Year Pro Forma'!$E$66:BWH$66))</f>
        <v>0</v>
      </c>
      <c r="BWK66" s="956">
        <f>MIN(BWK60*$C$65,Application!$AO$636-SUM('15 Year Pro Forma'!$E$66:BWJ$66))</f>
        <v>0</v>
      </c>
      <c r="BWM66" s="956">
        <f>MIN(BWM60*$C$65,Application!$AO$636-SUM('15 Year Pro Forma'!$E$66:BWL$66))</f>
        <v>0</v>
      </c>
      <c r="BWO66" s="956">
        <f>MIN(BWO60*$C$65,Application!$AO$636-SUM('15 Year Pro Forma'!$E$66:BWN$66))</f>
        <v>0</v>
      </c>
      <c r="BWQ66" s="956">
        <f>MIN(BWQ60*$C$65,Application!$AO$636-SUM('15 Year Pro Forma'!$E$66:BWP$66))</f>
        <v>0</v>
      </c>
      <c r="BWS66" s="956">
        <f>MIN(BWS60*$C$65,Application!$AO$636-SUM('15 Year Pro Forma'!$E$66:BWR$66))</f>
        <v>0</v>
      </c>
      <c r="BWU66" s="956">
        <f>MIN(BWU60*$C$65,Application!$AO$636-SUM('15 Year Pro Forma'!$E$66:BWT$66))</f>
        <v>0</v>
      </c>
      <c r="BWW66" s="956">
        <f>MIN(BWW60*$C$65,Application!$AO$636-SUM('15 Year Pro Forma'!$E$66:BWV$66))</f>
        <v>0</v>
      </c>
      <c r="BWY66" s="956">
        <f>MIN(BWY60*$C$65,Application!$AO$636-SUM('15 Year Pro Forma'!$E$66:BWX$66))</f>
        <v>0</v>
      </c>
      <c r="BXA66" s="956">
        <f>MIN(BXA60*$C$65,Application!$AO$636-SUM('15 Year Pro Forma'!$E$66:BWZ$66))</f>
        <v>0</v>
      </c>
      <c r="BXC66" s="956">
        <f>MIN(BXC60*$C$65,Application!$AO$636-SUM('15 Year Pro Forma'!$E$66:BXB$66))</f>
        <v>0</v>
      </c>
      <c r="BXE66" s="956">
        <f>MIN(BXE60*$C$65,Application!$AO$636-SUM('15 Year Pro Forma'!$E$66:BXD$66))</f>
        <v>0</v>
      </c>
      <c r="BXG66" s="956">
        <f>MIN(BXG60*$C$65,Application!$AO$636-SUM('15 Year Pro Forma'!$E$66:BXF$66))</f>
        <v>0</v>
      </c>
      <c r="BXI66" s="956">
        <f>MIN(BXI60*$C$65,Application!$AO$636-SUM('15 Year Pro Forma'!$E$66:BXH$66))</f>
        <v>0</v>
      </c>
      <c r="BXK66" s="956">
        <f>MIN(BXK60*$C$65,Application!$AO$636-SUM('15 Year Pro Forma'!$E$66:BXJ$66))</f>
        <v>0</v>
      </c>
      <c r="BXM66" s="956">
        <f>MIN(BXM60*$C$65,Application!$AO$636-SUM('15 Year Pro Forma'!$E$66:BXL$66))</f>
        <v>0</v>
      </c>
      <c r="BXO66" s="956">
        <f>MIN(BXO60*$C$65,Application!$AO$636-SUM('15 Year Pro Forma'!$E$66:BXN$66))</f>
        <v>0</v>
      </c>
      <c r="BXQ66" s="956">
        <f>MIN(BXQ60*$C$65,Application!$AO$636-SUM('15 Year Pro Forma'!$E$66:BXP$66))</f>
        <v>0</v>
      </c>
      <c r="BXS66" s="956">
        <f>MIN(BXS60*$C$65,Application!$AO$636-SUM('15 Year Pro Forma'!$E$66:BXR$66))</f>
        <v>0</v>
      </c>
      <c r="BXU66" s="956">
        <f>MIN(BXU60*$C$65,Application!$AO$636-SUM('15 Year Pro Forma'!$E$66:BXT$66))</f>
        <v>0</v>
      </c>
      <c r="BXW66" s="956">
        <f>MIN(BXW60*$C$65,Application!$AO$636-SUM('15 Year Pro Forma'!$E$66:BXV$66))</f>
        <v>0</v>
      </c>
      <c r="BXY66" s="956">
        <f>MIN(BXY60*$C$65,Application!$AO$636-SUM('15 Year Pro Forma'!$E$66:BXX$66))</f>
        <v>0</v>
      </c>
      <c r="BYA66" s="956">
        <f>MIN(BYA60*$C$65,Application!$AO$636-SUM('15 Year Pro Forma'!$E$66:BXZ$66))</f>
        <v>0</v>
      </c>
      <c r="BYC66" s="956">
        <f>MIN(BYC60*$C$65,Application!$AO$636-SUM('15 Year Pro Forma'!$E$66:BYB$66))</f>
        <v>0</v>
      </c>
      <c r="BYE66" s="956">
        <f>MIN(BYE60*$C$65,Application!$AO$636-SUM('15 Year Pro Forma'!$E$66:BYD$66))</f>
        <v>0</v>
      </c>
      <c r="BYG66" s="956">
        <f>MIN(BYG60*$C$65,Application!$AO$636-SUM('15 Year Pro Forma'!$E$66:BYF$66))</f>
        <v>0</v>
      </c>
      <c r="BYI66" s="956">
        <f>MIN(BYI60*$C$65,Application!$AO$636-SUM('15 Year Pro Forma'!$E$66:BYH$66))</f>
        <v>0</v>
      </c>
      <c r="BYK66" s="956">
        <f>MIN(BYK60*$C$65,Application!$AO$636-SUM('15 Year Pro Forma'!$E$66:BYJ$66))</f>
        <v>0</v>
      </c>
      <c r="BYM66" s="956">
        <f>MIN(BYM60*$C$65,Application!$AO$636-SUM('15 Year Pro Forma'!$E$66:BYL$66))</f>
        <v>0</v>
      </c>
      <c r="BYO66" s="956">
        <f>MIN(BYO60*$C$65,Application!$AO$636-SUM('15 Year Pro Forma'!$E$66:BYN$66))</f>
        <v>0</v>
      </c>
      <c r="BYQ66" s="956">
        <f>MIN(BYQ60*$C$65,Application!$AO$636-SUM('15 Year Pro Forma'!$E$66:BYP$66))</f>
        <v>0</v>
      </c>
      <c r="BYS66" s="956">
        <f>MIN(BYS60*$C$65,Application!$AO$636-SUM('15 Year Pro Forma'!$E$66:BYR$66))</f>
        <v>0</v>
      </c>
      <c r="BYU66" s="956">
        <f>MIN(BYU60*$C$65,Application!$AO$636-SUM('15 Year Pro Forma'!$E$66:BYT$66))</f>
        <v>0</v>
      </c>
      <c r="BYW66" s="956">
        <f>MIN(BYW60*$C$65,Application!$AO$636-SUM('15 Year Pro Forma'!$E$66:BYV$66))</f>
        <v>0</v>
      </c>
      <c r="BYY66" s="956">
        <f>MIN(BYY60*$C$65,Application!$AO$636-SUM('15 Year Pro Forma'!$E$66:BYX$66))</f>
        <v>0</v>
      </c>
      <c r="BZA66" s="956">
        <f>MIN(BZA60*$C$65,Application!$AO$636-SUM('15 Year Pro Forma'!$E$66:BYZ$66))</f>
        <v>0</v>
      </c>
      <c r="BZC66" s="956">
        <f>MIN(BZC60*$C$65,Application!$AO$636-SUM('15 Year Pro Forma'!$E$66:BZB$66))</f>
        <v>0</v>
      </c>
      <c r="BZE66" s="956">
        <f>MIN(BZE60*$C$65,Application!$AO$636-SUM('15 Year Pro Forma'!$E$66:BZD$66))</f>
        <v>0</v>
      </c>
      <c r="BZG66" s="956">
        <f>MIN(BZG60*$C$65,Application!$AO$636-SUM('15 Year Pro Forma'!$E$66:BZF$66))</f>
        <v>0</v>
      </c>
      <c r="BZI66" s="956">
        <f>MIN(BZI60*$C$65,Application!$AO$636-SUM('15 Year Pro Forma'!$E$66:BZH$66))</f>
        <v>0</v>
      </c>
      <c r="BZK66" s="956">
        <f>MIN(BZK60*$C$65,Application!$AO$636-SUM('15 Year Pro Forma'!$E$66:BZJ$66))</f>
        <v>0</v>
      </c>
      <c r="BZM66" s="956">
        <f>MIN(BZM60*$C$65,Application!$AO$636-SUM('15 Year Pro Forma'!$E$66:BZL$66))</f>
        <v>0</v>
      </c>
      <c r="BZO66" s="956">
        <f>MIN(BZO60*$C$65,Application!$AO$636-SUM('15 Year Pro Forma'!$E$66:BZN$66))</f>
        <v>0</v>
      </c>
      <c r="BZQ66" s="956">
        <f>MIN(BZQ60*$C$65,Application!$AO$636-SUM('15 Year Pro Forma'!$E$66:BZP$66))</f>
        <v>0</v>
      </c>
      <c r="BZS66" s="956">
        <f>MIN(BZS60*$C$65,Application!$AO$636-SUM('15 Year Pro Forma'!$E$66:BZR$66))</f>
        <v>0</v>
      </c>
      <c r="BZU66" s="956">
        <f>MIN(BZU60*$C$65,Application!$AO$636-SUM('15 Year Pro Forma'!$E$66:BZT$66))</f>
        <v>0</v>
      </c>
      <c r="BZW66" s="956">
        <f>MIN(BZW60*$C$65,Application!$AO$636-SUM('15 Year Pro Forma'!$E$66:BZV$66))</f>
        <v>0</v>
      </c>
      <c r="BZY66" s="956">
        <f>MIN(BZY60*$C$65,Application!$AO$636-SUM('15 Year Pro Forma'!$E$66:BZX$66))</f>
        <v>0</v>
      </c>
      <c r="CAA66" s="956">
        <f>MIN(CAA60*$C$65,Application!$AO$636-SUM('15 Year Pro Forma'!$E$66:BZZ$66))</f>
        <v>0</v>
      </c>
      <c r="CAC66" s="956">
        <f>MIN(CAC60*$C$65,Application!$AO$636-SUM('15 Year Pro Forma'!$E$66:CAB$66))</f>
        <v>0</v>
      </c>
      <c r="CAE66" s="956">
        <f>MIN(CAE60*$C$65,Application!$AO$636-SUM('15 Year Pro Forma'!$E$66:CAD$66))</f>
        <v>0</v>
      </c>
      <c r="CAG66" s="956">
        <f>MIN(CAG60*$C$65,Application!$AO$636-SUM('15 Year Pro Forma'!$E$66:CAF$66))</f>
        <v>0</v>
      </c>
      <c r="CAI66" s="956">
        <f>MIN(CAI60*$C$65,Application!$AO$636-SUM('15 Year Pro Forma'!$E$66:CAH$66))</f>
        <v>0</v>
      </c>
      <c r="CAK66" s="956">
        <f>MIN(CAK60*$C$65,Application!$AO$636-SUM('15 Year Pro Forma'!$E$66:CAJ$66))</f>
        <v>0</v>
      </c>
      <c r="CAM66" s="956">
        <f>MIN(CAM60*$C$65,Application!$AO$636-SUM('15 Year Pro Forma'!$E$66:CAL$66))</f>
        <v>0</v>
      </c>
      <c r="CAO66" s="956">
        <f>MIN(CAO60*$C$65,Application!$AO$636-SUM('15 Year Pro Forma'!$E$66:CAN$66))</f>
        <v>0</v>
      </c>
      <c r="CAQ66" s="956">
        <f>MIN(CAQ60*$C$65,Application!$AO$636-SUM('15 Year Pro Forma'!$E$66:CAP$66))</f>
        <v>0</v>
      </c>
      <c r="CAS66" s="956">
        <f>MIN(CAS60*$C$65,Application!$AO$636-SUM('15 Year Pro Forma'!$E$66:CAR$66))</f>
        <v>0</v>
      </c>
      <c r="CAU66" s="956">
        <f>MIN(CAU60*$C$65,Application!$AO$636-SUM('15 Year Pro Forma'!$E$66:CAT$66))</f>
        <v>0</v>
      </c>
      <c r="CAW66" s="956">
        <f>MIN(CAW60*$C$65,Application!$AO$636-SUM('15 Year Pro Forma'!$E$66:CAV$66))</f>
        <v>0</v>
      </c>
      <c r="CAY66" s="956">
        <f>MIN(CAY60*$C$65,Application!$AO$636-SUM('15 Year Pro Forma'!$E$66:CAX$66))</f>
        <v>0</v>
      </c>
      <c r="CBA66" s="956">
        <f>MIN(CBA60*$C$65,Application!$AO$636-SUM('15 Year Pro Forma'!$E$66:CAZ$66))</f>
        <v>0</v>
      </c>
      <c r="CBC66" s="956">
        <f>MIN(CBC60*$C$65,Application!$AO$636-SUM('15 Year Pro Forma'!$E$66:CBB$66))</f>
        <v>0</v>
      </c>
      <c r="CBE66" s="956">
        <f>MIN(CBE60*$C$65,Application!$AO$636-SUM('15 Year Pro Forma'!$E$66:CBD$66))</f>
        <v>0</v>
      </c>
      <c r="CBG66" s="956">
        <f>MIN(CBG60*$C$65,Application!$AO$636-SUM('15 Year Pro Forma'!$E$66:CBF$66))</f>
        <v>0</v>
      </c>
      <c r="CBI66" s="956">
        <f>MIN(CBI60*$C$65,Application!$AO$636-SUM('15 Year Pro Forma'!$E$66:CBH$66))</f>
        <v>0</v>
      </c>
      <c r="CBK66" s="956">
        <f>MIN(CBK60*$C$65,Application!$AO$636-SUM('15 Year Pro Forma'!$E$66:CBJ$66))</f>
        <v>0</v>
      </c>
      <c r="CBM66" s="956">
        <f>MIN(CBM60*$C$65,Application!$AO$636-SUM('15 Year Pro Forma'!$E$66:CBL$66))</f>
        <v>0</v>
      </c>
      <c r="CBO66" s="956">
        <f>MIN(CBO60*$C$65,Application!$AO$636-SUM('15 Year Pro Forma'!$E$66:CBN$66))</f>
        <v>0</v>
      </c>
      <c r="CBQ66" s="956">
        <f>MIN(CBQ60*$C$65,Application!$AO$636-SUM('15 Year Pro Forma'!$E$66:CBP$66))</f>
        <v>0</v>
      </c>
      <c r="CBS66" s="956">
        <f>MIN(CBS60*$C$65,Application!$AO$636-SUM('15 Year Pro Forma'!$E$66:CBR$66))</f>
        <v>0</v>
      </c>
      <c r="CBU66" s="956">
        <f>MIN(CBU60*$C$65,Application!$AO$636-SUM('15 Year Pro Forma'!$E$66:CBT$66))</f>
        <v>0</v>
      </c>
      <c r="CBW66" s="956">
        <f>MIN(CBW60*$C$65,Application!$AO$636-SUM('15 Year Pro Forma'!$E$66:CBV$66))</f>
        <v>0</v>
      </c>
      <c r="CBY66" s="956">
        <f>MIN(CBY60*$C$65,Application!$AO$636-SUM('15 Year Pro Forma'!$E$66:CBX$66))</f>
        <v>0</v>
      </c>
      <c r="CCA66" s="956">
        <f>MIN(CCA60*$C$65,Application!$AO$636-SUM('15 Year Pro Forma'!$E$66:CBZ$66))</f>
        <v>0</v>
      </c>
      <c r="CCC66" s="956">
        <f>MIN(CCC60*$C$65,Application!$AO$636-SUM('15 Year Pro Forma'!$E$66:CCB$66))</f>
        <v>0</v>
      </c>
      <c r="CCE66" s="956">
        <f>MIN(CCE60*$C$65,Application!$AO$636-SUM('15 Year Pro Forma'!$E$66:CCD$66))</f>
        <v>0</v>
      </c>
      <c r="CCG66" s="956">
        <f>MIN(CCG60*$C$65,Application!$AO$636-SUM('15 Year Pro Forma'!$E$66:CCF$66))</f>
        <v>0</v>
      </c>
      <c r="CCI66" s="956">
        <f>MIN(CCI60*$C$65,Application!$AO$636-SUM('15 Year Pro Forma'!$E$66:CCH$66))</f>
        <v>0</v>
      </c>
      <c r="CCK66" s="956">
        <f>MIN(CCK60*$C$65,Application!$AO$636-SUM('15 Year Pro Forma'!$E$66:CCJ$66))</f>
        <v>0</v>
      </c>
      <c r="CCM66" s="956">
        <f>MIN(CCM60*$C$65,Application!$AO$636-SUM('15 Year Pro Forma'!$E$66:CCL$66))</f>
        <v>0</v>
      </c>
      <c r="CCO66" s="956">
        <f>MIN(CCO60*$C$65,Application!$AO$636-SUM('15 Year Pro Forma'!$E$66:CCN$66))</f>
        <v>0</v>
      </c>
      <c r="CCQ66" s="956">
        <f>MIN(CCQ60*$C$65,Application!$AO$636-SUM('15 Year Pro Forma'!$E$66:CCP$66))</f>
        <v>0</v>
      </c>
      <c r="CCS66" s="956">
        <f>MIN(CCS60*$C$65,Application!$AO$636-SUM('15 Year Pro Forma'!$E$66:CCR$66))</f>
        <v>0</v>
      </c>
      <c r="CCU66" s="956">
        <f>MIN(CCU60*$C$65,Application!$AO$636-SUM('15 Year Pro Forma'!$E$66:CCT$66))</f>
        <v>0</v>
      </c>
      <c r="CCW66" s="956">
        <f>MIN(CCW60*$C$65,Application!$AO$636-SUM('15 Year Pro Forma'!$E$66:CCV$66))</f>
        <v>0</v>
      </c>
      <c r="CCY66" s="956">
        <f>MIN(CCY60*$C$65,Application!$AO$636-SUM('15 Year Pro Forma'!$E$66:CCX$66))</f>
        <v>0</v>
      </c>
      <c r="CDA66" s="956">
        <f>MIN(CDA60*$C$65,Application!$AO$636-SUM('15 Year Pro Forma'!$E$66:CCZ$66))</f>
        <v>0</v>
      </c>
      <c r="CDC66" s="956">
        <f>MIN(CDC60*$C$65,Application!$AO$636-SUM('15 Year Pro Forma'!$E$66:CDB$66))</f>
        <v>0</v>
      </c>
      <c r="CDE66" s="956">
        <f>MIN(CDE60*$C$65,Application!$AO$636-SUM('15 Year Pro Forma'!$E$66:CDD$66))</f>
        <v>0</v>
      </c>
      <c r="CDG66" s="956">
        <f>MIN(CDG60*$C$65,Application!$AO$636-SUM('15 Year Pro Forma'!$E$66:CDF$66))</f>
        <v>0</v>
      </c>
      <c r="CDI66" s="956">
        <f>MIN(CDI60*$C$65,Application!$AO$636-SUM('15 Year Pro Forma'!$E$66:CDH$66))</f>
        <v>0</v>
      </c>
      <c r="CDK66" s="956">
        <f>MIN(CDK60*$C$65,Application!$AO$636-SUM('15 Year Pro Forma'!$E$66:CDJ$66))</f>
        <v>0</v>
      </c>
      <c r="CDM66" s="956">
        <f>MIN(CDM60*$C$65,Application!$AO$636-SUM('15 Year Pro Forma'!$E$66:CDL$66))</f>
        <v>0</v>
      </c>
      <c r="CDO66" s="956">
        <f>MIN(CDO60*$C$65,Application!$AO$636-SUM('15 Year Pro Forma'!$E$66:CDN$66))</f>
        <v>0</v>
      </c>
      <c r="CDQ66" s="956">
        <f>MIN(CDQ60*$C$65,Application!$AO$636-SUM('15 Year Pro Forma'!$E$66:CDP$66))</f>
        <v>0</v>
      </c>
      <c r="CDS66" s="956">
        <f>MIN(CDS60*$C$65,Application!$AO$636-SUM('15 Year Pro Forma'!$E$66:CDR$66))</f>
        <v>0</v>
      </c>
      <c r="CDU66" s="956">
        <f>MIN(CDU60*$C$65,Application!$AO$636-SUM('15 Year Pro Forma'!$E$66:CDT$66))</f>
        <v>0</v>
      </c>
      <c r="CDW66" s="956">
        <f>MIN(CDW60*$C$65,Application!$AO$636-SUM('15 Year Pro Forma'!$E$66:CDV$66))</f>
        <v>0</v>
      </c>
      <c r="CDY66" s="956">
        <f>MIN(CDY60*$C$65,Application!$AO$636-SUM('15 Year Pro Forma'!$E$66:CDX$66))</f>
        <v>0</v>
      </c>
      <c r="CEA66" s="956">
        <f>MIN(CEA60*$C$65,Application!$AO$636-SUM('15 Year Pro Forma'!$E$66:CDZ$66))</f>
        <v>0</v>
      </c>
      <c r="CEC66" s="956">
        <f>MIN(CEC60*$C$65,Application!$AO$636-SUM('15 Year Pro Forma'!$E$66:CEB$66))</f>
        <v>0</v>
      </c>
      <c r="CEE66" s="956">
        <f>MIN(CEE60*$C$65,Application!$AO$636-SUM('15 Year Pro Forma'!$E$66:CED$66))</f>
        <v>0</v>
      </c>
      <c r="CEG66" s="956">
        <f>MIN(CEG60*$C$65,Application!$AO$636-SUM('15 Year Pro Forma'!$E$66:CEF$66))</f>
        <v>0</v>
      </c>
      <c r="CEI66" s="956">
        <f>MIN(CEI60*$C$65,Application!$AO$636-SUM('15 Year Pro Forma'!$E$66:CEH$66))</f>
        <v>0</v>
      </c>
      <c r="CEK66" s="956">
        <f>MIN(CEK60*$C$65,Application!$AO$636-SUM('15 Year Pro Forma'!$E$66:CEJ$66))</f>
        <v>0</v>
      </c>
      <c r="CEM66" s="956">
        <f>MIN(CEM60*$C$65,Application!$AO$636-SUM('15 Year Pro Forma'!$E$66:CEL$66))</f>
        <v>0</v>
      </c>
      <c r="CEO66" s="956">
        <f>MIN(CEO60*$C$65,Application!$AO$636-SUM('15 Year Pro Forma'!$E$66:CEN$66))</f>
        <v>0</v>
      </c>
      <c r="CEQ66" s="956">
        <f>MIN(CEQ60*$C$65,Application!$AO$636-SUM('15 Year Pro Forma'!$E$66:CEP$66))</f>
        <v>0</v>
      </c>
      <c r="CES66" s="956">
        <f>MIN(CES60*$C$65,Application!$AO$636-SUM('15 Year Pro Forma'!$E$66:CER$66))</f>
        <v>0</v>
      </c>
      <c r="CEU66" s="956">
        <f>MIN(CEU60*$C$65,Application!$AO$636-SUM('15 Year Pro Forma'!$E$66:CET$66))</f>
        <v>0</v>
      </c>
      <c r="CEW66" s="956">
        <f>MIN(CEW60*$C$65,Application!$AO$636-SUM('15 Year Pro Forma'!$E$66:CEV$66))</f>
        <v>0</v>
      </c>
      <c r="CEY66" s="956">
        <f>MIN(CEY60*$C$65,Application!$AO$636-SUM('15 Year Pro Forma'!$E$66:CEX$66))</f>
        <v>0</v>
      </c>
      <c r="CFA66" s="956">
        <f>MIN(CFA60*$C$65,Application!$AO$636-SUM('15 Year Pro Forma'!$E$66:CEZ$66))</f>
        <v>0</v>
      </c>
      <c r="CFC66" s="956">
        <f>MIN(CFC60*$C$65,Application!$AO$636-SUM('15 Year Pro Forma'!$E$66:CFB$66))</f>
        <v>0</v>
      </c>
      <c r="CFE66" s="956">
        <f>MIN(CFE60*$C$65,Application!$AO$636-SUM('15 Year Pro Forma'!$E$66:CFD$66))</f>
        <v>0</v>
      </c>
      <c r="CFG66" s="956">
        <f>MIN(CFG60*$C$65,Application!$AO$636-SUM('15 Year Pro Forma'!$E$66:CFF$66))</f>
        <v>0</v>
      </c>
      <c r="CFI66" s="956">
        <f>MIN(CFI60*$C$65,Application!$AO$636-SUM('15 Year Pro Forma'!$E$66:CFH$66))</f>
        <v>0</v>
      </c>
      <c r="CFK66" s="956">
        <f>MIN(CFK60*$C$65,Application!$AO$636-SUM('15 Year Pro Forma'!$E$66:CFJ$66))</f>
        <v>0</v>
      </c>
      <c r="CFM66" s="956">
        <f>MIN(CFM60*$C$65,Application!$AO$636-SUM('15 Year Pro Forma'!$E$66:CFL$66))</f>
        <v>0</v>
      </c>
      <c r="CFO66" s="956">
        <f>MIN(CFO60*$C$65,Application!$AO$636-SUM('15 Year Pro Forma'!$E$66:CFN$66))</f>
        <v>0</v>
      </c>
      <c r="CFQ66" s="956">
        <f>MIN(CFQ60*$C$65,Application!$AO$636-SUM('15 Year Pro Forma'!$E$66:CFP$66))</f>
        <v>0</v>
      </c>
      <c r="CFS66" s="956">
        <f>MIN(CFS60*$C$65,Application!$AO$636-SUM('15 Year Pro Forma'!$E$66:CFR$66))</f>
        <v>0</v>
      </c>
      <c r="CFU66" s="956">
        <f>MIN(CFU60*$C$65,Application!$AO$636-SUM('15 Year Pro Forma'!$E$66:CFT$66))</f>
        <v>0</v>
      </c>
      <c r="CFW66" s="956">
        <f>MIN(CFW60*$C$65,Application!$AO$636-SUM('15 Year Pro Forma'!$E$66:CFV$66))</f>
        <v>0</v>
      </c>
      <c r="CFY66" s="956">
        <f>MIN(CFY60*$C$65,Application!$AO$636-SUM('15 Year Pro Forma'!$E$66:CFX$66))</f>
        <v>0</v>
      </c>
      <c r="CGA66" s="956">
        <f>MIN(CGA60*$C$65,Application!$AO$636-SUM('15 Year Pro Forma'!$E$66:CFZ$66))</f>
        <v>0</v>
      </c>
      <c r="CGC66" s="956">
        <f>MIN(CGC60*$C$65,Application!$AO$636-SUM('15 Year Pro Forma'!$E$66:CGB$66))</f>
        <v>0</v>
      </c>
      <c r="CGE66" s="956">
        <f>MIN(CGE60*$C$65,Application!$AO$636-SUM('15 Year Pro Forma'!$E$66:CGD$66))</f>
        <v>0</v>
      </c>
      <c r="CGG66" s="956">
        <f>MIN(CGG60*$C$65,Application!$AO$636-SUM('15 Year Pro Forma'!$E$66:CGF$66))</f>
        <v>0</v>
      </c>
      <c r="CGI66" s="956">
        <f>MIN(CGI60*$C$65,Application!$AO$636-SUM('15 Year Pro Forma'!$E$66:CGH$66))</f>
        <v>0</v>
      </c>
      <c r="CGK66" s="956">
        <f>MIN(CGK60*$C$65,Application!$AO$636-SUM('15 Year Pro Forma'!$E$66:CGJ$66))</f>
        <v>0</v>
      </c>
      <c r="CGM66" s="956">
        <f>MIN(CGM60*$C$65,Application!$AO$636-SUM('15 Year Pro Forma'!$E$66:CGL$66))</f>
        <v>0</v>
      </c>
      <c r="CGO66" s="956">
        <f>MIN(CGO60*$C$65,Application!$AO$636-SUM('15 Year Pro Forma'!$E$66:CGN$66))</f>
        <v>0</v>
      </c>
      <c r="CGQ66" s="956">
        <f>MIN(CGQ60*$C$65,Application!$AO$636-SUM('15 Year Pro Forma'!$E$66:CGP$66))</f>
        <v>0</v>
      </c>
      <c r="CGS66" s="956">
        <f>MIN(CGS60*$C$65,Application!$AO$636-SUM('15 Year Pro Forma'!$E$66:CGR$66))</f>
        <v>0</v>
      </c>
      <c r="CGU66" s="956">
        <f>MIN(CGU60*$C$65,Application!$AO$636-SUM('15 Year Pro Forma'!$E$66:CGT$66))</f>
        <v>0</v>
      </c>
      <c r="CGW66" s="956">
        <f>MIN(CGW60*$C$65,Application!$AO$636-SUM('15 Year Pro Forma'!$E$66:CGV$66))</f>
        <v>0</v>
      </c>
      <c r="CGY66" s="956">
        <f>MIN(CGY60*$C$65,Application!$AO$636-SUM('15 Year Pro Forma'!$E$66:CGX$66))</f>
        <v>0</v>
      </c>
      <c r="CHA66" s="956">
        <f>MIN(CHA60*$C$65,Application!$AO$636-SUM('15 Year Pro Forma'!$E$66:CGZ$66))</f>
        <v>0</v>
      </c>
      <c r="CHC66" s="956">
        <f>MIN(CHC60*$C$65,Application!$AO$636-SUM('15 Year Pro Forma'!$E$66:CHB$66))</f>
        <v>0</v>
      </c>
      <c r="CHE66" s="956">
        <f>MIN(CHE60*$C$65,Application!$AO$636-SUM('15 Year Pro Forma'!$E$66:CHD$66))</f>
        <v>0</v>
      </c>
      <c r="CHG66" s="956">
        <f>MIN(CHG60*$C$65,Application!$AO$636-SUM('15 Year Pro Forma'!$E$66:CHF$66))</f>
        <v>0</v>
      </c>
      <c r="CHI66" s="956">
        <f>MIN(CHI60*$C$65,Application!$AO$636-SUM('15 Year Pro Forma'!$E$66:CHH$66))</f>
        <v>0</v>
      </c>
      <c r="CHK66" s="956">
        <f>MIN(CHK60*$C$65,Application!$AO$636-SUM('15 Year Pro Forma'!$E$66:CHJ$66))</f>
        <v>0</v>
      </c>
      <c r="CHM66" s="956">
        <f>MIN(CHM60*$C$65,Application!$AO$636-SUM('15 Year Pro Forma'!$E$66:CHL$66))</f>
        <v>0</v>
      </c>
      <c r="CHO66" s="956">
        <f>MIN(CHO60*$C$65,Application!$AO$636-SUM('15 Year Pro Forma'!$E$66:CHN$66))</f>
        <v>0</v>
      </c>
      <c r="CHQ66" s="956">
        <f>MIN(CHQ60*$C$65,Application!$AO$636-SUM('15 Year Pro Forma'!$E$66:CHP$66))</f>
        <v>0</v>
      </c>
      <c r="CHS66" s="956">
        <f>MIN(CHS60*$C$65,Application!$AO$636-SUM('15 Year Pro Forma'!$E$66:CHR$66))</f>
        <v>0</v>
      </c>
      <c r="CHU66" s="956">
        <f>MIN(CHU60*$C$65,Application!$AO$636-SUM('15 Year Pro Forma'!$E$66:CHT$66))</f>
        <v>0</v>
      </c>
      <c r="CHW66" s="956">
        <f>MIN(CHW60*$C$65,Application!$AO$636-SUM('15 Year Pro Forma'!$E$66:CHV$66))</f>
        <v>0</v>
      </c>
      <c r="CHY66" s="956">
        <f>MIN(CHY60*$C$65,Application!$AO$636-SUM('15 Year Pro Forma'!$E$66:CHX$66))</f>
        <v>0</v>
      </c>
      <c r="CIA66" s="956">
        <f>MIN(CIA60*$C$65,Application!$AO$636-SUM('15 Year Pro Forma'!$E$66:CHZ$66))</f>
        <v>0</v>
      </c>
      <c r="CIC66" s="956">
        <f>MIN(CIC60*$C$65,Application!$AO$636-SUM('15 Year Pro Forma'!$E$66:CIB$66))</f>
        <v>0</v>
      </c>
      <c r="CIE66" s="956">
        <f>MIN(CIE60*$C$65,Application!$AO$636-SUM('15 Year Pro Forma'!$E$66:CID$66))</f>
        <v>0</v>
      </c>
      <c r="CIG66" s="956">
        <f>MIN(CIG60*$C$65,Application!$AO$636-SUM('15 Year Pro Forma'!$E$66:CIF$66))</f>
        <v>0</v>
      </c>
      <c r="CII66" s="956">
        <f>MIN(CII60*$C$65,Application!$AO$636-SUM('15 Year Pro Forma'!$E$66:CIH$66))</f>
        <v>0</v>
      </c>
      <c r="CIK66" s="956">
        <f>MIN(CIK60*$C$65,Application!$AO$636-SUM('15 Year Pro Forma'!$E$66:CIJ$66))</f>
        <v>0</v>
      </c>
      <c r="CIM66" s="956">
        <f>MIN(CIM60*$C$65,Application!$AO$636-SUM('15 Year Pro Forma'!$E$66:CIL$66))</f>
        <v>0</v>
      </c>
      <c r="CIO66" s="956">
        <f>MIN(CIO60*$C$65,Application!$AO$636-SUM('15 Year Pro Forma'!$E$66:CIN$66))</f>
        <v>0</v>
      </c>
      <c r="CIQ66" s="956">
        <f>MIN(CIQ60*$C$65,Application!$AO$636-SUM('15 Year Pro Forma'!$E$66:CIP$66))</f>
        <v>0</v>
      </c>
      <c r="CIS66" s="956">
        <f>MIN(CIS60*$C$65,Application!$AO$636-SUM('15 Year Pro Forma'!$E$66:CIR$66))</f>
        <v>0</v>
      </c>
      <c r="CIU66" s="956">
        <f>MIN(CIU60*$C$65,Application!$AO$636-SUM('15 Year Pro Forma'!$E$66:CIT$66))</f>
        <v>0</v>
      </c>
      <c r="CIW66" s="956">
        <f>MIN(CIW60*$C$65,Application!$AO$636-SUM('15 Year Pro Forma'!$E$66:CIV$66))</f>
        <v>0</v>
      </c>
      <c r="CIY66" s="956">
        <f>MIN(CIY60*$C$65,Application!$AO$636-SUM('15 Year Pro Forma'!$E$66:CIX$66))</f>
        <v>0</v>
      </c>
      <c r="CJA66" s="956">
        <f>MIN(CJA60*$C$65,Application!$AO$636-SUM('15 Year Pro Forma'!$E$66:CIZ$66))</f>
        <v>0</v>
      </c>
      <c r="CJC66" s="956">
        <f>MIN(CJC60*$C$65,Application!$AO$636-SUM('15 Year Pro Forma'!$E$66:CJB$66))</f>
        <v>0</v>
      </c>
      <c r="CJE66" s="956">
        <f>MIN(CJE60*$C$65,Application!$AO$636-SUM('15 Year Pro Forma'!$E$66:CJD$66))</f>
        <v>0</v>
      </c>
      <c r="CJG66" s="956">
        <f>MIN(CJG60*$C$65,Application!$AO$636-SUM('15 Year Pro Forma'!$E$66:CJF$66))</f>
        <v>0</v>
      </c>
      <c r="CJI66" s="956">
        <f>MIN(CJI60*$C$65,Application!$AO$636-SUM('15 Year Pro Forma'!$E$66:CJH$66))</f>
        <v>0</v>
      </c>
      <c r="CJK66" s="956">
        <f>MIN(CJK60*$C$65,Application!$AO$636-SUM('15 Year Pro Forma'!$E$66:CJJ$66))</f>
        <v>0</v>
      </c>
      <c r="CJM66" s="956">
        <f>MIN(CJM60*$C$65,Application!$AO$636-SUM('15 Year Pro Forma'!$E$66:CJL$66))</f>
        <v>0</v>
      </c>
      <c r="CJO66" s="956">
        <f>MIN(CJO60*$C$65,Application!$AO$636-SUM('15 Year Pro Forma'!$E$66:CJN$66))</f>
        <v>0</v>
      </c>
      <c r="CJQ66" s="956">
        <f>MIN(CJQ60*$C$65,Application!$AO$636-SUM('15 Year Pro Forma'!$E$66:CJP$66))</f>
        <v>0</v>
      </c>
      <c r="CJS66" s="956">
        <f>MIN(CJS60*$C$65,Application!$AO$636-SUM('15 Year Pro Forma'!$E$66:CJR$66))</f>
        <v>0</v>
      </c>
      <c r="CJU66" s="956">
        <f>MIN(CJU60*$C$65,Application!$AO$636-SUM('15 Year Pro Forma'!$E$66:CJT$66))</f>
        <v>0</v>
      </c>
      <c r="CJW66" s="956">
        <f>MIN(CJW60*$C$65,Application!$AO$636-SUM('15 Year Pro Forma'!$E$66:CJV$66))</f>
        <v>0</v>
      </c>
      <c r="CJY66" s="956">
        <f>MIN(CJY60*$C$65,Application!$AO$636-SUM('15 Year Pro Forma'!$E$66:CJX$66))</f>
        <v>0</v>
      </c>
      <c r="CKA66" s="956">
        <f>MIN(CKA60*$C$65,Application!$AO$636-SUM('15 Year Pro Forma'!$E$66:CJZ$66))</f>
        <v>0</v>
      </c>
      <c r="CKC66" s="956">
        <f>MIN(CKC60*$C$65,Application!$AO$636-SUM('15 Year Pro Forma'!$E$66:CKB$66))</f>
        <v>0</v>
      </c>
      <c r="CKE66" s="956">
        <f>MIN(CKE60*$C$65,Application!$AO$636-SUM('15 Year Pro Forma'!$E$66:CKD$66))</f>
        <v>0</v>
      </c>
      <c r="CKG66" s="956">
        <f>MIN(CKG60*$C$65,Application!$AO$636-SUM('15 Year Pro Forma'!$E$66:CKF$66))</f>
        <v>0</v>
      </c>
      <c r="CKI66" s="956">
        <f>MIN(CKI60*$C$65,Application!$AO$636-SUM('15 Year Pro Forma'!$E$66:CKH$66))</f>
        <v>0</v>
      </c>
      <c r="CKK66" s="956">
        <f>MIN(CKK60*$C$65,Application!$AO$636-SUM('15 Year Pro Forma'!$E$66:CKJ$66))</f>
        <v>0</v>
      </c>
      <c r="CKM66" s="956">
        <f>MIN(CKM60*$C$65,Application!$AO$636-SUM('15 Year Pro Forma'!$E$66:CKL$66))</f>
        <v>0</v>
      </c>
      <c r="CKO66" s="956">
        <f>MIN(CKO60*$C$65,Application!$AO$636-SUM('15 Year Pro Forma'!$E$66:CKN$66))</f>
        <v>0</v>
      </c>
      <c r="CKQ66" s="956">
        <f>MIN(CKQ60*$C$65,Application!$AO$636-SUM('15 Year Pro Forma'!$E$66:CKP$66))</f>
        <v>0</v>
      </c>
      <c r="CKS66" s="956">
        <f>MIN(CKS60*$C$65,Application!$AO$636-SUM('15 Year Pro Forma'!$E$66:CKR$66))</f>
        <v>0</v>
      </c>
      <c r="CKU66" s="956">
        <f>MIN(CKU60*$C$65,Application!$AO$636-SUM('15 Year Pro Forma'!$E$66:CKT$66))</f>
        <v>0</v>
      </c>
      <c r="CKW66" s="956">
        <f>MIN(CKW60*$C$65,Application!$AO$636-SUM('15 Year Pro Forma'!$E$66:CKV$66))</f>
        <v>0</v>
      </c>
      <c r="CKY66" s="956">
        <f>MIN(CKY60*$C$65,Application!$AO$636-SUM('15 Year Pro Forma'!$E$66:CKX$66))</f>
        <v>0</v>
      </c>
      <c r="CLA66" s="956">
        <f>MIN(CLA60*$C$65,Application!$AO$636-SUM('15 Year Pro Forma'!$E$66:CKZ$66))</f>
        <v>0</v>
      </c>
      <c r="CLC66" s="956">
        <f>MIN(CLC60*$C$65,Application!$AO$636-SUM('15 Year Pro Forma'!$E$66:CLB$66))</f>
        <v>0</v>
      </c>
      <c r="CLE66" s="956">
        <f>MIN(CLE60*$C$65,Application!$AO$636-SUM('15 Year Pro Forma'!$E$66:CLD$66))</f>
        <v>0</v>
      </c>
      <c r="CLG66" s="956">
        <f>MIN(CLG60*$C$65,Application!$AO$636-SUM('15 Year Pro Forma'!$E$66:CLF$66))</f>
        <v>0</v>
      </c>
      <c r="CLI66" s="956">
        <f>MIN(CLI60*$C$65,Application!$AO$636-SUM('15 Year Pro Forma'!$E$66:CLH$66))</f>
        <v>0</v>
      </c>
      <c r="CLK66" s="956">
        <f>MIN(CLK60*$C$65,Application!$AO$636-SUM('15 Year Pro Forma'!$E$66:CLJ$66))</f>
        <v>0</v>
      </c>
      <c r="CLM66" s="956">
        <f>MIN(CLM60*$C$65,Application!$AO$636-SUM('15 Year Pro Forma'!$E$66:CLL$66))</f>
        <v>0</v>
      </c>
      <c r="CLO66" s="956">
        <f>MIN(CLO60*$C$65,Application!$AO$636-SUM('15 Year Pro Forma'!$E$66:CLN$66))</f>
        <v>0</v>
      </c>
      <c r="CLQ66" s="956">
        <f>MIN(CLQ60*$C$65,Application!$AO$636-SUM('15 Year Pro Forma'!$E$66:CLP$66))</f>
        <v>0</v>
      </c>
      <c r="CLS66" s="956">
        <f>MIN(CLS60*$C$65,Application!$AO$636-SUM('15 Year Pro Forma'!$E$66:CLR$66))</f>
        <v>0</v>
      </c>
      <c r="CLU66" s="956">
        <f>MIN(CLU60*$C$65,Application!$AO$636-SUM('15 Year Pro Forma'!$E$66:CLT$66))</f>
        <v>0</v>
      </c>
      <c r="CLW66" s="956">
        <f>MIN(CLW60*$C$65,Application!$AO$636-SUM('15 Year Pro Forma'!$E$66:CLV$66))</f>
        <v>0</v>
      </c>
      <c r="CLY66" s="956">
        <f>MIN(CLY60*$C$65,Application!$AO$636-SUM('15 Year Pro Forma'!$E$66:CLX$66))</f>
        <v>0</v>
      </c>
      <c r="CMA66" s="956">
        <f>MIN(CMA60*$C$65,Application!$AO$636-SUM('15 Year Pro Forma'!$E$66:CLZ$66))</f>
        <v>0</v>
      </c>
      <c r="CMC66" s="956">
        <f>MIN(CMC60*$C$65,Application!$AO$636-SUM('15 Year Pro Forma'!$E$66:CMB$66))</f>
        <v>0</v>
      </c>
      <c r="CME66" s="956">
        <f>MIN(CME60*$C$65,Application!$AO$636-SUM('15 Year Pro Forma'!$E$66:CMD$66))</f>
        <v>0</v>
      </c>
      <c r="CMG66" s="956">
        <f>MIN(CMG60*$C$65,Application!$AO$636-SUM('15 Year Pro Forma'!$E$66:CMF$66))</f>
        <v>0</v>
      </c>
      <c r="CMI66" s="956">
        <f>MIN(CMI60*$C$65,Application!$AO$636-SUM('15 Year Pro Forma'!$E$66:CMH$66))</f>
        <v>0</v>
      </c>
      <c r="CMK66" s="956">
        <f>MIN(CMK60*$C$65,Application!$AO$636-SUM('15 Year Pro Forma'!$E$66:CMJ$66))</f>
        <v>0</v>
      </c>
      <c r="CMM66" s="956">
        <f>MIN(CMM60*$C$65,Application!$AO$636-SUM('15 Year Pro Forma'!$E$66:CML$66))</f>
        <v>0</v>
      </c>
      <c r="CMO66" s="956">
        <f>MIN(CMO60*$C$65,Application!$AO$636-SUM('15 Year Pro Forma'!$E$66:CMN$66))</f>
        <v>0</v>
      </c>
      <c r="CMQ66" s="956">
        <f>MIN(CMQ60*$C$65,Application!$AO$636-SUM('15 Year Pro Forma'!$E$66:CMP$66))</f>
        <v>0</v>
      </c>
      <c r="CMS66" s="956">
        <f>MIN(CMS60*$C$65,Application!$AO$636-SUM('15 Year Pro Forma'!$E$66:CMR$66))</f>
        <v>0</v>
      </c>
      <c r="CMU66" s="956">
        <f>MIN(CMU60*$C$65,Application!$AO$636-SUM('15 Year Pro Forma'!$E$66:CMT$66))</f>
        <v>0</v>
      </c>
      <c r="CMW66" s="956">
        <f>MIN(CMW60*$C$65,Application!$AO$636-SUM('15 Year Pro Forma'!$E$66:CMV$66))</f>
        <v>0</v>
      </c>
      <c r="CMY66" s="956">
        <f>MIN(CMY60*$C$65,Application!$AO$636-SUM('15 Year Pro Forma'!$E$66:CMX$66))</f>
        <v>0</v>
      </c>
      <c r="CNA66" s="956">
        <f>MIN(CNA60*$C$65,Application!$AO$636-SUM('15 Year Pro Forma'!$E$66:CMZ$66))</f>
        <v>0</v>
      </c>
      <c r="CNC66" s="956">
        <f>MIN(CNC60*$C$65,Application!$AO$636-SUM('15 Year Pro Forma'!$E$66:CNB$66))</f>
        <v>0</v>
      </c>
      <c r="CNE66" s="956">
        <f>MIN(CNE60*$C$65,Application!$AO$636-SUM('15 Year Pro Forma'!$E$66:CND$66))</f>
        <v>0</v>
      </c>
      <c r="CNG66" s="956">
        <f>MIN(CNG60*$C$65,Application!$AO$636-SUM('15 Year Pro Forma'!$E$66:CNF$66))</f>
        <v>0</v>
      </c>
      <c r="CNI66" s="956">
        <f>MIN(CNI60*$C$65,Application!$AO$636-SUM('15 Year Pro Forma'!$E$66:CNH$66))</f>
        <v>0</v>
      </c>
      <c r="CNK66" s="956">
        <f>MIN(CNK60*$C$65,Application!$AO$636-SUM('15 Year Pro Forma'!$E$66:CNJ$66))</f>
        <v>0</v>
      </c>
      <c r="CNM66" s="956">
        <f>MIN(CNM60*$C$65,Application!$AO$636-SUM('15 Year Pro Forma'!$E$66:CNL$66))</f>
        <v>0</v>
      </c>
      <c r="CNO66" s="956">
        <f>MIN(CNO60*$C$65,Application!$AO$636-SUM('15 Year Pro Forma'!$E$66:CNN$66))</f>
        <v>0</v>
      </c>
      <c r="CNQ66" s="956">
        <f>MIN(CNQ60*$C$65,Application!$AO$636-SUM('15 Year Pro Forma'!$E$66:CNP$66))</f>
        <v>0</v>
      </c>
      <c r="CNS66" s="956">
        <f>MIN(CNS60*$C$65,Application!$AO$636-SUM('15 Year Pro Forma'!$E$66:CNR$66))</f>
        <v>0</v>
      </c>
      <c r="CNU66" s="956">
        <f>MIN(CNU60*$C$65,Application!$AO$636-SUM('15 Year Pro Forma'!$E$66:CNT$66))</f>
        <v>0</v>
      </c>
      <c r="CNW66" s="956">
        <f>MIN(CNW60*$C$65,Application!$AO$636-SUM('15 Year Pro Forma'!$E$66:CNV$66))</f>
        <v>0</v>
      </c>
      <c r="CNY66" s="956">
        <f>MIN(CNY60*$C$65,Application!$AO$636-SUM('15 Year Pro Forma'!$E$66:CNX$66))</f>
        <v>0</v>
      </c>
      <c r="COA66" s="956">
        <f>MIN(COA60*$C$65,Application!$AO$636-SUM('15 Year Pro Forma'!$E$66:CNZ$66))</f>
        <v>0</v>
      </c>
      <c r="COC66" s="956">
        <f>MIN(COC60*$C$65,Application!$AO$636-SUM('15 Year Pro Forma'!$E$66:COB$66))</f>
        <v>0</v>
      </c>
      <c r="COE66" s="956">
        <f>MIN(COE60*$C$65,Application!$AO$636-SUM('15 Year Pro Forma'!$E$66:COD$66))</f>
        <v>0</v>
      </c>
      <c r="COG66" s="956">
        <f>MIN(COG60*$C$65,Application!$AO$636-SUM('15 Year Pro Forma'!$E$66:COF$66))</f>
        <v>0</v>
      </c>
      <c r="COI66" s="956">
        <f>MIN(COI60*$C$65,Application!$AO$636-SUM('15 Year Pro Forma'!$E$66:COH$66))</f>
        <v>0</v>
      </c>
      <c r="COK66" s="956">
        <f>MIN(COK60*$C$65,Application!$AO$636-SUM('15 Year Pro Forma'!$E$66:COJ$66))</f>
        <v>0</v>
      </c>
      <c r="COM66" s="956">
        <f>MIN(COM60*$C$65,Application!$AO$636-SUM('15 Year Pro Forma'!$E$66:COL$66))</f>
        <v>0</v>
      </c>
      <c r="COO66" s="956">
        <f>MIN(COO60*$C$65,Application!$AO$636-SUM('15 Year Pro Forma'!$E$66:CON$66))</f>
        <v>0</v>
      </c>
      <c r="COQ66" s="956">
        <f>MIN(COQ60*$C$65,Application!$AO$636-SUM('15 Year Pro Forma'!$E$66:COP$66))</f>
        <v>0</v>
      </c>
      <c r="COS66" s="956">
        <f>MIN(COS60*$C$65,Application!$AO$636-SUM('15 Year Pro Forma'!$E$66:COR$66))</f>
        <v>0</v>
      </c>
      <c r="COU66" s="956">
        <f>MIN(COU60*$C$65,Application!$AO$636-SUM('15 Year Pro Forma'!$E$66:COT$66))</f>
        <v>0</v>
      </c>
      <c r="COW66" s="956">
        <f>MIN(COW60*$C$65,Application!$AO$636-SUM('15 Year Pro Forma'!$E$66:COV$66))</f>
        <v>0</v>
      </c>
      <c r="COY66" s="956">
        <f>MIN(COY60*$C$65,Application!$AO$636-SUM('15 Year Pro Forma'!$E$66:COX$66))</f>
        <v>0</v>
      </c>
      <c r="CPA66" s="956">
        <f>MIN(CPA60*$C$65,Application!$AO$636-SUM('15 Year Pro Forma'!$E$66:COZ$66))</f>
        <v>0</v>
      </c>
      <c r="CPC66" s="956">
        <f>MIN(CPC60*$C$65,Application!$AO$636-SUM('15 Year Pro Forma'!$E$66:CPB$66))</f>
        <v>0</v>
      </c>
      <c r="CPE66" s="956">
        <f>MIN(CPE60*$C$65,Application!$AO$636-SUM('15 Year Pro Forma'!$E$66:CPD$66))</f>
        <v>0</v>
      </c>
      <c r="CPG66" s="956">
        <f>MIN(CPG60*$C$65,Application!$AO$636-SUM('15 Year Pro Forma'!$E$66:CPF$66))</f>
        <v>0</v>
      </c>
      <c r="CPI66" s="956">
        <f>MIN(CPI60*$C$65,Application!$AO$636-SUM('15 Year Pro Forma'!$E$66:CPH$66))</f>
        <v>0</v>
      </c>
      <c r="CPK66" s="956">
        <f>MIN(CPK60*$C$65,Application!$AO$636-SUM('15 Year Pro Forma'!$E$66:CPJ$66))</f>
        <v>0</v>
      </c>
      <c r="CPM66" s="956">
        <f>MIN(CPM60*$C$65,Application!$AO$636-SUM('15 Year Pro Forma'!$E$66:CPL$66))</f>
        <v>0</v>
      </c>
      <c r="CPO66" s="956">
        <f>MIN(CPO60*$C$65,Application!$AO$636-SUM('15 Year Pro Forma'!$E$66:CPN$66))</f>
        <v>0</v>
      </c>
      <c r="CPQ66" s="956">
        <f>MIN(CPQ60*$C$65,Application!$AO$636-SUM('15 Year Pro Forma'!$E$66:CPP$66))</f>
        <v>0</v>
      </c>
      <c r="CPS66" s="956">
        <f>MIN(CPS60*$C$65,Application!$AO$636-SUM('15 Year Pro Forma'!$E$66:CPR$66))</f>
        <v>0</v>
      </c>
      <c r="CPU66" s="956">
        <f>MIN(CPU60*$C$65,Application!$AO$636-SUM('15 Year Pro Forma'!$E$66:CPT$66))</f>
        <v>0</v>
      </c>
      <c r="CPW66" s="956">
        <f>MIN(CPW60*$C$65,Application!$AO$636-SUM('15 Year Pro Forma'!$E$66:CPV$66))</f>
        <v>0</v>
      </c>
      <c r="CPY66" s="956">
        <f>MIN(CPY60*$C$65,Application!$AO$636-SUM('15 Year Pro Forma'!$E$66:CPX$66))</f>
        <v>0</v>
      </c>
      <c r="CQA66" s="956">
        <f>MIN(CQA60*$C$65,Application!$AO$636-SUM('15 Year Pro Forma'!$E$66:CPZ$66))</f>
        <v>0</v>
      </c>
      <c r="CQC66" s="956">
        <f>MIN(CQC60*$C$65,Application!$AO$636-SUM('15 Year Pro Forma'!$E$66:CQB$66))</f>
        <v>0</v>
      </c>
      <c r="CQE66" s="956">
        <f>MIN(CQE60*$C$65,Application!$AO$636-SUM('15 Year Pro Forma'!$E$66:CQD$66))</f>
        <v>0</v>
      </c>
      <c r="CQG66" s="956">
        <f>MIN(CQG60*$C$65,Application!$AO$636-SUM('15 Year Pro Forma'!$E$66:CQF$66))</f>
        <v>0</v>
      </c>
      <c r="CQI66" s="956">
        <f>MIN(CQI60*$C$65,Application!$AO$636-SUM('15 Year Pro Forma'!$E$66:CQH$66))</f>
        <v>0</v>
      </c>
      <c r="CQK66" s="956">
        <f>MIN(CQK60*$C$65,Application!$AO$636-SUM('15 Year Pro Forma'!$E$66:CQJ$66))</f>
        <v>0</v>
      </c>
      <c r="CQM66" s="956">
        <f>MIN(CQM60*$C$65,Application!$AO$636-SUM('15 Year Pro Forma'!$E$66:CQL$66))</f>
        <v>0</v>
      </c>
      <c r="CQO66" s="956">
        <f>MIN(CQO60*$C$65,Application!$AO$636-SUM('15 Year Pro Forma'!$E$66:CQN$66))</f>
        <v>0</v>
      </c>
      <c r="CQQ66" s="956">
        <f>MIN(CQQ60*$C$65,Application!$AO$636-SUM('15 Year Pro Forma'!$E$66:CQP$66))</f>
        <v>0</v>
      </c>
      <c r="CQS66" s="956">
        <f>MIN(CQS60*$C$65,Application!$AO$636-SUM('15 Year Pro Forma'!$E$66:CQR$66))</f>
        <v>0</v>
      </c>
      <c r="CQU66" s="956">
        <f>MIN(CQU60*$C$65,Application!$AO$636-SUM('15 Year Pro Forma'!$E$66:CQT$66))</f>
        <v>0</v>
      </c>
      <c r="CQW66" s="956">
        <f>MIN(CQW60*$C$65,Application!$AO$636-SUM('15 Year Pro Forma'!$E$66:CQV$66))</f>
        <v>0</v>
      </c>
      <c r="CQY66" s="956">
        <f>MIN(CQY60*$C$65,Application!$AO$636-SUM('15 Year Pro Forma'!$E$66:CQX$66))</f>
        <v>0</v>
      </c>
      <c r="CRA66" s="956">
        <f>MIN(CRA60*$C$65,Application!$AO$636-SUM('15 Year Pro Forma'!$E$66:CQZ$66))</f>
        <v>0</v>
      </c>
      <c r="CRC66" s="956">
        <f>MIN(CRC60*$C$65,Application!$AO$636-SUM('15 Year Pro Forma'!$E$66:CRB$66))</f>
        <v>0</v>
      </c>
      <c r="CRE66" s="956">
        <f>MIN(CRE60*$C$65,Application!$AO$636-SUM('15 Year Pro Forma'!$E$66:CRD$66))</f>
        <v>0</v>
      </c>
      <c r="CRG66" s="956">
        <f>MIN(CRG60*$C$65,Application!$AO$636-SUM('15 Year Pro Forma'!$E$66:CRF$66))</f>
        <v>0</v>
      </c>
      <c r="CRI66" s="956">
        <f>MIN(CRI60*$C$65,Application!$AO$636-SUM('15 Year Pro Forma'!$E$66:CRH$66))</f>
        <v>0</v>
      </c>
      <c r="CRK66" s="956">
        <f>MIN(CRK60*$C$65,Application!$AO$636-SUM('15 Year Pro Forma'!$E$66:CRJ$66))</f>
        <v>0</v>
      </c>
      <c r="CRM66" s="956">
        <f>MIN(CRM60*$C$65,Application!$AO$636-SUM('15 Year Pro Forma'!$E$66:CRL$66))</f>
        <v>0</v>
      </c>
      <c r="CRO66" s="956">
        <f>MIN(CRO60*$C$65,Application!$AO$636-SUM('15 Year Pro Forma'!$E$66:CRN$66))</f>
        <v>0</v>
      </c>
      <c r="CRQ66" s="956">
        <f>MIN(CRQ60*$C$65,Application!$AO$636-SUM('15 Year Pro Forma'!$E$66:CRP$66))</f>
        <v>0</v>
      </c>
      <c r="CRS66" s="956">
        <f>MIN(CRS60*$C$65,Application!$AO$636-SUM('15 Year Pro Forma'!$E$66:CRR$66))</f>
        <v>0</v>
      </c>
      <c r="CRU66" s="956">
        <f>MIN(CRU60*$C$65,Application!$AO$636-SUM('15 Year Pro Forma'!$E$66:CRT$66))</f>
        <v>0</v>
      </c>
      <c r="CRW66" s="956">
        <f>MIN(CRW60*$C$65,Application!$AO$636-SUM('15 Year Pro Forma'!$E$66:CRV$66))</f>
        <v>0</v>
      </c>
      <c r="CRY66" s="956">
        <f>MIN(CRY60*$C$65,Application!$AO$636-SUM('15 Year Pro Forma'!$E$66:CRX$66))</f>
        <v>0</v>
      </c>
      <c r="CSA66" s="956">
        <f>MIN(CSA60*$C$65,Application!$AO$636-SUM('15 Year Pro Forma'!$E$66:CRZ$66))</f>
        <v>0</v>
      </c>
      <c r="CSC66" s="956">
        <f>MIN(CSC60*$C$65,Application!$AO$636-SUM('15 Year Pro Forma'!$E$66:CSB$66))</f>
        <v>0</v>
      </c>
      <c r="CSE66" s="956">
        <f>MIN(CSE60*$C$65,Application!$AO$636-SUM('15 Year Pro Forma'!$E$66:CSD$66))</f>
        <v>0</v>
      </c>
      <c r="CSG66" s="956">
        <f>MIN(CSG60*$C$65,Application!$AO$636-SUM('15 Year Pro Forma'!$E$66:CSF$66))</f>
        <v>0</v>
      </c>
      <c r="CSI66" s="956">
        <f>MIN(CSI60*$C$65,Application!$AO$636-SUM('15 Year Pro Forma'!$E$66:CSH$66))</f>
        <v>0</v>
      </c>
      <c r="CSK66" s="956">
        <f>MIN(CSK60*$C$65,Application!$AO$636-SUM('15 Year Pro Forma'!$E$66:CSJ$66))</f>
        <v>0</v>
      </c>
      <c r="CSM66" s="956">
        <f>MIN(CSM60*$C$65,Application!$AO$636-SUM('15 Year Pro Forma'!$E$66:CSL$66))</f>
        <v>0</v>
      </c>
      <c r="CSO66" s="956">
        <f>MIN(CSO60*$C$65,Application!$AO$636-SUM('15 Year Pro Forma'!$E$66:CSN$66))</f>
        <v>0</v>
      </c>
      <c r="CSQ66" s="956">
        <f>MIN(CSQ60*$C$65,Application!$AO$636-SUM('15 Year Pro Forma'!$E$66:CSP$66))</f>
        <v>0</v>
      </c>
      <c r="CSS66" s="956">
        <f>MIN(CSS60*$C$65,Application!$AO$636-SUM('15 Year Pro Forma'!$E$66:CSR$66))</f>
        <v>0</v>
      </c>
      <c r="CSU66" s="956">
        <f>MIN(CSU60*$C$65,Application!$AO$636-SUM('15 Year Pro Forma'!$E$66:CST$66))</f>
        <v>0</v>
      </c>
      <c r="CSW66" s="956">
        <f>MIN(CSW60*$C$65,Application!$AO$636-SUM('15 Year Pro Forma'!$E$66:CSV$66))</f>
        <v>0</v>
      </c>
      <c r="CSY66" s="956">
        <f>MIN(CSY60*$C$65,Application!$AO$636-SUM('15 Year Pro Forma'!$E$66:CSX$66))</f>
        <v>0</v>
      </c>
      <c r="CTA66" s="956">
        <f>MIN(CTA60*$C$65,Application!$AO$636-SUM('15 Year Pro Forma'!$E$66:CSZ$66))</f>
        <v>0</v>
      </c>
      <c r="CTC66" s="956">
        <f>MIN(CTC60*$C$65,Application!$AO$636-SUM('15 Year Pro Forma'!$E$66:CTB$66))</f>
        <v>0</v>
      </c>
      <c r="CTE66" s="956">
        <f>MIN(CTE60*$C$65,Application!$AO$636-SUM('15 Year Pro Forma'!$E$66:CTD$66))</f>
        <v>0</v>
      </c>
      <c r="CTG66" s="956">
        <f>MIN(CTG60*$C$65,Application!$AO$636-SUM('15 Year Pro Forma'!$E$66:CTF$66))</f>
        <v>0</v>
      </c>
      <c r="CTI66" s="956">
        <f>MIN(CTI60*$C$65,Application!$AO$636-SUM('15 Year Pro Forma'!$E$66:CTH$66))</f>
        <v>0</v>
      </c>
      <c r="CTK66" s="956">
        <f>MIN(CTK60*$C$65,Application!$AO$636-SUM('15 Year Pro Forma'!$E$66:CTJ$66))</f>
        <v>0</v>
      </c>
      <c r="CTM66" s="956">
        <f>MIN(CTM60*$C$65,Application!$AO$636-SUM('15 Year Pro Forma'!$E$66:CTL$66))</f>
        <v>0</v>
      </c>
      <c r="CTO66" s="956">
        <f>MIN(CTO60*$C$65,Application!$AO$636-SUM('15 Year Pro Forma'!$E$66:CTN$66))</f>
        <v>0</v>
      </c>
      <c r="CTQ66" s="956">
        <f>MIN(CTQ60*$C$65,Application!$AO$636-SUM('15 Year Pro Forma'!$E$66:CTP$66))</f>
        <v>0</v>
      </c>
      <c r="CTS66" s="956">
        <f>MIN(CTS60*$C$65,Application!$AO$636-SUM('15 Year Pro Forma'!$E$66:CTR$66))</f>
        <v>0</v>
      </c>
      <c r="CTU66" s="956">
        <f>MIN(CTU60*$C$65,Application!$AO$636-SUM('15 Year Pro Forma'!$E$66:CTT$66))</f>
        <v>0</v>
      </c>
      <c r="CTW66" s="956">
        <f>MIN(CTW60*$C$65,Application!$AO$636-SUM('15 Year Pro Forma'!$E$66:CTV$66))</f>
        <v>0</v>
      </c>
      <c r="CTY66" s="956">
        <f>MIN(CTY60*$C$65,Application!$AO$636-SUM('15 Year Pro Forma'!$E$66:CTX$66))</f>
        <v>0</v>
      </c>
      <c r="CUA66" s="956">
        <f>MIN(CUA60*$C$65,Application!$AO$636-SUM('15 Year Pro Forma'!$E$66:CTZ$66))</f>
        <v>0</v>
      </c>
      <c r="CUC66" s="956">
        <f>MIN(CUC60*$C$65,Application!$AO$636-SUM('15 Year Pro Forma'!$E$66:CUB$66))</f>
        <v>0</v>
      </c>
      <c r="CUE66" s="956">
        <f>MIN(CUE60*$C$65,Application!$AO$636-SUM('15 Year Pro Forma'!$E$66:CUD$66))</f>
        <v>0</v>
      </c>
      <c r="CUG66" s="956">
        <f>MIN(CUG60*$C$65,Application!$AO$636-SUM('15 Year Pro Forma'!$E$66:CUF$66))</f>
        <v>0</v>
      </c>
      <c r="CUI66" s="956">
        <f>MIN(CUI60*$C$65,Application!$AO$636-SUM('15 Year Pro Forma'!$E$66:CUH$66))</f>
        <v>0</v>
      </c>
      <c r="CUK66" s="956">
        <f>MIN(CUK60*$C$65,Application!$AO$636-SUM('15 Year Pro Forma'!$E$66:CUJ$66))</f>
        <v>0</v>
      </c>
      <c r="CUM66" s="956">
        <f>MIN(CUM60*$C$65,Application!$AO$636-SUM('15 Year Pro Forma'!$E$66:CUL$66))</f>
        <v>0</v>
      </c>
      <c r="CUO66" s="956">
        <f>MIN(CUO60*$C$65,Application!$AO$636-SUM('15 Year Pro Forma'!$E$66:CUN$66))</f>
        <v>0</v>
      </c>
      <c r="CUQ66" s="956">
        <f>MIN(CUQ60*$C$65,Application!$AO$636-SUM('15 Year Pro Forma'!$E$66:CUP$66))</f>
        <v>0</v>
      </c>
      <c r="CUS66" s="956">
        <f>MIN(CUS60*$C$65,Application!$AO$636-SUM('15 Year Pro Forma'!$E$66:CUR$66))</f>
        <v>0</v>
      </c>
      <c r="CUU66" s="956">
        <f>MIN(CUU60*$C$65,Application!$AO$636-SUM('15 Year Pro Forma'!$E$66:CUT$66))</f>
        <v>0</v>
      </c>
      <c r="CUW66" s="956">
        <f>MIN(CUW60*$C$65,Application!$AO$636-SUM('15 Year Pro Forma'!$E$66:CUV$66))</f>
        <v>0</v>
      </c>
      <c r="CUY66" s="956">
        <f>MIN(CUY60*$C$65,Application!$AO$636-SUM('15 Year Pro Forma'!$E$66:CUX$66))</f>
        <v>0</v>
      </c>
      <c r="CVA66" s="956">
        <f>MIN(CVA60*$C$65,Application!$AO$636-SUM('15 Year Pro Forma'!$E$66:CUZ$66))</f>
        <v>0</v>
      </c>
      <c r="CVC66" s="956">
        <f>MIN(CVC60*$C$65,Application!$AO$636-SUM('15 Year Pro Forma'!$E$66:CVB$66))</f>
        <v>0</v>
      </c>
      <c r="CVE66" s="956">
        <f>MIN(CVE60*$C$65,Application!$AO$636-SUM('15 Year Pro Forma'!$E$66:CVD$66))</f>
        <v>0</v>
      </c>
      <c r="CVG66" s="956">
        <f>MIN(CVG60*$C$65,Application!$AO$636-SUM('15 Year Pro Forma'!$E$66:CVF$66))</f>
        <v>0</v>
      </c>
      <c r="CVI66" s="956">
        <f>MIN(CVI60*$C$65,Application!$AO$636-SUM('15 Year Pro Forma'!$E$66:CVH$66))</f>
        <v>0</v>
      </c>
      <c r="CVK66" s="956">
        <f>MIN(CVK60*$C$65,Application!$AO$636-SUM('15 Year Pro Forma'!$E$66:CVJ$66))</f>
        <v>0</v>
      </c>
      <c r="CVM66" s="956">
        <f>MIN(CVM60*$C$65,Application!$AO$636-SUM('15 Year Pro Forma'!$E$66:CVL$66))</f>
        <v>0</v>
      </c>
      <c r="CVO66" s="956">
        <f>MIN(CVO60*$C$65,Application!$AO$636-SUM('15 Year Pro Forma'!$E$66:CVN$66))</f>
        <v>0</v>
      </c>
      <c r="CVQ66" s="956">
        <f>MIN(CVQ60*$C$65,Application!$AO$636-SUM('15 Year Pro Forma'!$E$66:CVP$66))</f>
        <v>0</v>
      </c>
      <c r="CVS66" s="956">
        <f>MIN(CVS60*$C$65,Application!$AO$636-SUM('15 Year Pro Forma'!$E$66:CVR$66))</f>
        <v>0</v>
      </c>
      <c r="CVU66" s="956">
        <f>MIN(CVU60*$C$65,Application!$AO$636-SUM('15 Year Pro Forma'!$E$66:CVT$66))</f>
        <v>0</v>
      </c>
      <c r="CVW66" s="956">
        <f>MIN(CVW60*$C$65,Application!$AO$636-SUM('15 Year Pro Forma'!$E$66:CVV$66))</f>
        <v>0</v>
      </c>
      <c r="CVY66" s="956">
        <f>MIN(CVY60*$C$65,Application!$AO$636-SUM('15 Year Pro Forma'!$E$66:CVX$66))</f>
        <v>0</v>
      </c>
      <c r="CWA66" s="956">
        <f>MIN(CWA60*$C$65,Application!$AO$636-SUM('15 Year Pro Forma'!$E$66:CVZ$66))</f>
        <v>0</v>
      </c>
      <c r="CWC66" s="956">
        <f>MIN(CWC60*$C$65,Application!$AO$636-SUM('15 Year Pro Forma'!$E$66:CWB$66))</f>
        <v>0</v>
      </c>
      <c r="CWE66" s="956">
        <f>MIN(CWE60*$C$65,Application!$AO$636-SUM('15 Year Pro Forma'!$E$66:CWD$66))</f>
        <v>0</v>
      </c>
      <c r="CWG66" s="956">
        <f>MIN(CWG60*$C$65,Application!$AO$636-SUM('15 Year Pro Forma'!$E$66:CWF$66))</f>
        <v>0</v>
      </c>
      <c r="CWI66" s="956">
        <f>MIN(CWI60*$C$65,Application!$AO$636-SUM('15 Year Pro Forma'!$E$66:CWH$66))</f>
        <v>0</v>
      </c>
      <c r="CWK66" s="956">
        <f>MIN(CWK60*$C$65,Application!$AO$636-SUM('15 Year Pro Forma'!$E$66:CWJ$66))</f>
        <v>0</v>
      </c>
      <c r="CWM66" s="956">
        <f>MIN(CWM60*$C$65,Application!$AO$636-SUM('15 Year Pro Forma'!$E$66:CWL$66))</f>
        <v>0</v>
      </c>
      <c r="CWO66" s="956">
        <f>MIN(CWO60*$C$65,Application!$AO$636-SUM('15 Year Pro Forma'!$E$66:CWN$66))</f>
        <v>0</v>
      </c>
      <c r="CWQ66" s="956">
        <f>MIN(CWQ60*$C$65,Application!$AO$636-SUM('15 Year Pro Forma'!$E$66:CWP$66))</f>
        <v>0</v>
      </c>
      <c r="CWS66" s="956">
        <f>MIN(CWS60*$C$65,Application!$AO$636-SUM('15 Year Pro Forma'!$E$66:CWR$66))</f>
        <v>0</v>
      </c>
      <c r="CWU66" s="956">
        <f>MIN(CWU60*$C$65,Application!$AO$636-SUM('15 Year Pro Forma'!$E$66:CWT$66))</f>
        <v>0</v>
      </c>
      <c r="CWW66" s="956">
        <f>MIN(CWW60*$C$65,Application!$AO$636-SUM('15 Year Pro Forma'!$E$66:CWV$66))</f>
        <v>0</v>
      </c>
      <c r="CWY66" s="956">
        <f>MIN(CWY60*$C$65,Application!$AO$636-SUM('15 Year Pro Forma'!$E$66:CWX$66))</f>
        <v>0</v>
      </c>
      <c r="CXA66" s="956">
        <f>MIN(CXA60*$C$65,Application!$AO$636-SUM('15 Year Pro Forma'!$E$66:CWZ$66))</f>
        <v>0</v>
      </c>
      <c r="CXC66" s="956">
        <f>MIN(CXC60*$C$65,Application!$AO$636-SUM('15 Year Pro Forma'!$E$66:CXB$66))</f>
        <v>0</v>
      </c>
      <c r="CXE66" s="956">
        <f>MIN(CXE60*$C$65,Application!$AO$636-SUM('15 Year Pro Forma'!$E$66:CXD$66))</f>
        <v>0</v>
      </c>
      <c r="CXG66" s="956">
        <f>MIN(CXG60*$C$65,Application!$AO$636-SUM('15 Year Pro Forma'!$E$66:CXF$66))</f>
        <v>0</v>
      </c>
      <c r="CXI66" s="956">
        <f>MIN(CXI60*$C$65,Application!$AO$636-SUM('15 Year Pro Forma'!$E$66:CXH$66))</f>
        <v>0</v>
      </c>
      <c r="CXK66" s="956">
        <f>MIN(CXK60*$C$65,Application!$AO$636-SUM('15 Year Pro Forma'!$E$66:CXJ$66))</f>
        <v>0</v>
      </c>
      <c r="CXM66" s="956">
        <f>MIN(CXM60*$C$65,Application!$AO$636-SUM('15 Year Pro Forma'!$E$66:CXL$66))</f>
        <v>0</v>
      </c>
      <c r="CXO66" s="956">
        <f>MIN(CXO60*$C$65,Application!$AO$636-SUM('15 Year Pro Forma'!$E$66:CXN$66))</f>
        <v>0</v>
      </c>
      <c r="CXQ66" s="956">
        <f>MIN(CXQ60*$C$65,Application!$AO$636-SUM('15 Year Pro Forma'!$E$66:CXP$66))</f>
        <v>0</v>
      </c>
      <c r="CXS66" s="956">
        <f>MIN(CXS60*$C$65,Application!$AO$636-SUM('15 Year Pro Forma'!$E$66:CXR$66))</f>
        <v>0</v>
      </c>
      <c r="CXU66" s="956">
        <f>MIN(CXU60*$C$65,Application!$AO$636-SUM('15 Year Pro Forma'!$E$66:CXT$66))</f>
        <v>0</v>
      </c>
      <c r="CXW66" s="956">
        <f>MIN(CXW60*$C$65,Application!$AO$636-SUM('15 Year Pro Forma'!$E$66:CXV$66))</f>
        <v>0</v>
      </c>
      <c r="CXY66" s="956">
        <f>MIN(CXY60*$C$65,Application!$AO$636-SUM('15 Year Pro Forma'!$E$66:CXX$66))</f>
        <v>0</v>
      </c>
      <c r="CYA66" s="956">
        <f>MIN(CYA60*$C$65,Application!$AO$636-SUM('15 Year Pro Forma'!$E$66:CXZ$66))</f>
        <v>0</v>
      </c>
      <c r="CYC66" s="956">
        <f>MIN(CYC60*$C$65,Application!$AO$636-SUM('15 Year Pro Forma'!$E$66:CYB$66))</f>
        <v>0</v>
      </c>
      <c r="CYE66" s="956">
        <f>MIN(CYE60*$C$65,Application!$AO$636-SUM('15 Year Pro Forma'!$E$66:CYD$66))</f>
        <v>0</v>
      </c>
      <c r="CYG66" s="956">
        <f>MIN(CYG60*$C$65,Application!$AO$636-SUM('15 Year Pro Forma'!$E$66:CYF$66))</f>
        <v>0</v>
      </c>
      <c r="CYI66" s="956">
        <f>MIN(CYI60*$C$65,Application!$AO$636-SUM('15 Year Pro Forma'!$E$66:CYH$66))</f>
        <v>0</v>
      </c>
      <c r="CYK66" s="956">
        <f>MIN(CYK60*$C$65,Application!$AO$636-SUM('15 Year Pro Forma'!$E$66:CYJ$66))</f>
        <v>0</v>
      </c>
      <c r="CYM66" s="956">
        <f>MIN(CYM60*$C$65,Application!$AO$636-SUM('15 Year Pro Forma'!$E$66:CYL$66))</f>
        <v>0</v>
      </c>
      <c r="CYO66" s="956">
        <f>MIN(CYO60*$C$65,Application!$AO$636-SUM('15 Year Pro Forma'!$E$66:CYN$66))</f>
        <v>0</v>
      </c>
      <c r="CYQ66" s="956">
        <f>MIN(CYQ60*$C$65,Application!$AO$636-SUM('15 Year Pro Forma'!$E$66:CYP$66))</f>
        <v>0</v>
      </c>
      <c r="CYS66" s="956">
        <f>MIN(CYS60*$C$65,Application!$AO$636-SUM('15 Year Pro Forma'!$E$66:CYR$66))</f>
        <v>0</v>
      </c>
      <c r="CYU66" s="956">
        <f>MIN(CYU60*$C$65,Application!$AO$636-SUM('15 Year Pro Forma'!$E$66:CYT$66))</f>
        <v>0</v>
      </c>
      <c r="CYW66" s="956">
        <f>MIN(CYW60*$C$65,Application!$AO$636-SUM('15 Year Pro Forma'!$E$66:CYV$66))</f>
        <v>0</v>
      </c>
      <c r="CYY66" s="956">
        <f>MIN(CYY60*$C$65,Application!$AO$636-SUM('15 Year Pro Forma'!$E$66:CYX$66))</f>
        <v>0</v>
      </c>
      <c r="CZA66" s="956">
        <f>MIN(CZA60*$C$65,Application!$AO$636-SUM('15 Year Pro Forma'!$E$66:CYZ$66))</f>
        <v>0</v>
      </c>
      <c r="CZC66" s="956">
        <f>MIN(CZC60*$C$65,Application!$AO$636-SUM('15 Year Pro Forma'!$E$66:CZB$66))</f>
        <v>0</v>
      </c>
      <c r="CZE66" s="956">
        <f>MIN(CZE60*$C$65,Application!$AO$636-SUM('15 Year Pro Forma'!$E$66:CZD$66))</f>
        <v>0</v>
      </c>
      <c r="CZG66" s="956">
        <f>MIN(CZG60*$C$65,Application!$AO$636-SUM('15 Year Pro Forma'!$E$66:CZF$66))</f>
        <v>0</v>
      </c>
      <c r="CZI66" s="956">
        <f>MIN(CZI60*$C$65,Application!$AO$636-SUM('15 Year Pro Forma'!$E$66:CZH$66))</f>
        <v>0</v>
      </c>
      <c r="CZK66" s="956">
        <f>MIN(CZK60*$C$65,Application!$AO$636-SUM('15 Year Pro Forma'!$E$66:CZJ$66))</f>
        <v>0</v>
      </c>
      <c r="CZM66" s="956">
        <f>MIN(CZM60*$C$65,Application!$AO$636-SUM('15 Year Pro Forma'!$E$66:CZL$66))</f>
        <v>0</v>
      </c>
      <c r="CZO66" s="956">
        <f>MIN(CZO60*$C$65,Application!$AO$636-SUM('15 Year Pro Forma'!$E$66:CZN$66))</f>
        <v>0</v>
      </c>
      <c r="CZQ66" s="956">
        <f>MIN(CZQ60*$C$65,Application!$AO$636-SUM('15 Year Pro Forma'!$E$66:CZP$66))</f>
        <v>0</v>
      </c>
      <c r="CZS66" s="956">
        <f>MIN(CZS60*$C$65,Application!$AO$636-SUM('15 Year Pro Forma'!$E$66:CZR$66))</f>
        <v>0</v>
      </c>
      <c r="CZU66" s="956">
        <f>MIN(CZU60*$C$65,Application!$AO$636-SUM('15 Year Pro Forma'!$E$66:CZT$66))</f>
        <v>0</v>
      </c>
      <c r="CZW66" s="956">
        <f>MIN(CZW60*$C$65,Application!$AO$636-SUM('15 Year Pro Forma'!$E$66:CZV$66))</f>
        <v>0</v>
      </c>
      <c r="CZY66" s="956">
        <f>MIN(CZY60*$C$65,Application!$AO$636-SUM('15 Year Pro Forma'!$E$66:CZX$66))</f>
        <v>0</v>
      </c>
      <c r="DAA66" s="956">
        <f>MIN(DAA60*$C$65,Application!$AO$636-SUM('15 Year Pro Forma'!$E$66:CZZ$66))</f>
        <v>0</v>
      </c>
      <c r="DAC66" s="956">
        <f>MIN(DAC60*$C$65,Application!$AO$636-SUM('15 Year Pro Forma'!$E$66:DAB$66))</f>
        <v>0</v>
      </c>
      <c r="DAE66" s="956">
        <f>MIN(DAE60*$C$65,Application!$AO$636-SUM('15 Year Pro Forma'!$E$66:DAD$66))</f>
        <v>0</v>
      </c>
      <c r="DAG66" s="956">
        <f>MIN(DAG60*$C$65,Application!$AO$636-SUM('15 Year Pro Forma'!$E$66:DAF$66))</f>
        <v>0</v>
      </c>
      <c r="DAI66" s="956">
        <f>MIN(DAI60*$C$65,Application!$AO$636-SUM('15 Year Pro Forma'!$E$66:DAH$66))</f>
        <v>0</v>
      </c>
      <c r="DAK66" s="956">
        <f>MIN(DAK60*$C$65,Application!$AO$636-SUM('15 Year Pro Forma'!$E$66:DAJ$66))</f>
        <v>0</v>
      </c>
      <c r="DAM66" s="956">
        <f>MIN(DAM60*$C$65,Application!$AO$636-SUM('15 Year Pro Forma'!$E$66:DAL$66))</f>
        <v>0</v>
      </c>
      <c r="DAO66" s="956">
        <f>MIN(DAO60*$C$65,Application!$AO$636-SUM('15 Year Pro Forma'!$E$66:DAN$66))</f>
        <v>0</v>
      </c>
      <c r="DAQ66" s="956">
        <f>MIN(DAQ60*$C$65,Application!$AO$636-SUM('15 Year Pro Forma'!$E$66:DAP$66))</f>
        <v>0</v>
      </c>
      <c r="DAS66" s="956">
        <f>MIN(DAS60*$C$65,Application!$AO$636-SUM('15 Year Pro Forma'!$E$66:DAR$66))</f>
        <v>0</v>
      </c>
      <c r="DAU66" s="956">
        <f>MIN(DAU60*$C$65,Application!$AO$636-SUM('15 Year Pro Forma'!$E$66:DAT$66))</f>
        <v>0</v>
      </c>
      <c r="DAW66" s="956">
        <f>MIN(DAW60*$C$65,Application!$AO$636-SUM('15 Year Pro Forma'!$E$66:DAV$66))</f>
        <v>0</v>
      </c>
      <c r="DAY66" s="956">
        <f>MIN(DAY60*$C$65,Application!$AO$636-SUM('15 Year Pro Forma'!$E$66:DAX$66))</f>
        <v>0</v>
      </c>
      <c r="DBA66" s="956">
        <f>MIN(DBA60*$C$65,Application!$AO$636-SUM('15 Year Pro Forma'!$E$66:DAZ$66))</f>
        <v>0</v>
      </c>
      <c r="DBC66" s="956">
        <f>MIN(DBC60*$C$65,Application!$AO$636-SUM('15 Year Pro Forma'!$E$66:DBB$66))</f>
        <v>0</v>
      </c>
      <c r="DBE66" s="956">
        <f>MIN(DBE60*$C$65,Application!$AO$636-SUM('15 Year Pro Forma'!$E$66:DBD$66))</f>
        <v>0</v>
      </c>
      <c r="DBG66" s="956">
        <f>MIN(DBG60*$C$65,Application!$AO$636-SUM('15 Year Pro Forma'!$E$66:DBF$66))</f>
        <v>0</v>
      </c>
      <c r="DBI66" s="956">
        <f>MIN(DBI60*$C$65,Application!$AO$636-SUM('15 Year Pro Forma'!$E$66:DBH$66))</f>
        <v>0</v>
      </c>
      <c r="DBK66" s="956">
        <f>MIN(DBK60*$C$65,Application!$AO$636-SUM('15 Year Pro Forma'!$E$66:DBJ$66))</f>
        <v>0</v>
      </c>
      <c r="DBM66" s="956">
        <f>MIN(DBM60*$C$65,Application!$AO$636-SUM('15 Year Pro Forma'!$E$66:DBL$66))</f>
        <v>0</v>
      </c>
      <c r="DBO66" s="956">
        <f>MIN(DBO60*$C$65,Application!$AO$636-SUM('15 Year Pro Forma'!$E$66:DBN$66))</f>
        <v>0</v>
      </c>
      <c r="DBQ66" s="956">
        <f>MIN(DBQ60*$C$65,Application!$AO$636-SUM('15 Year Pro Forma'!$E$66:DBP$66))</f>
        <v>0</v>
      </c>
      <c r="DBS66" s="956">
        <f>MIN(DBS60*$C$65,Application!$AO$636-SUM('15 Year Pro Forma'!$E$66:DBR$66))</f>
        <v>0</v>
      </c>
      <c r="DBU66" s="956">
        <f>MIN(DBU60*$C$65,Application!$AO$636-SUM('15 Year Pro Forma'!$E$66:DBT$66))</f>
        <v>0</v>
      </c>
      <c r="DBW66" s="956">
        <f>MIN(DBW60*$C$65,Application!$AO$636-SUM('15 Year Pro Forma'!$E$66:DBV$66))</f>
        <v>0</v>
      </c>
      <c r="DBY66" s="956">
        <f>MIN(DBY60*$C$65,Application!$AO$636-SUM('15 Year Pro Forma'!$E$66:DBX$66))</f>
        <v>0</v>
      </c>
      <c r="DCA66" s="956">
        <f>MIN(DCA60*$C$65,Application!$AO$636-SUM('15 Year Pro Forma'!$E$66:DBZ$66))</f>
        <v>0</v>
      </c>
      <c r="DCC66" s="956">
        <f>MIN(DCC60*$C$65,Application!$AO$636-SUM('15 Year Pro Forma'!$E$66:DCB$66))</f>
        <v>0</v>
      </c>
      <c r="DCE66" s="956">
        <f>MIN(DCE60*$C$65,Application!$AO$636-SUM('15 Year Pro Forma'!$E$66:DCD$66))</f>
        <v>0</v>
      </c>
      <c r="DCG66" s="956">
        <f>MIN(DCG60*$C$65,Application!$AO$636-SUM('15 Year Pro Forma'!$E$66:DCF$66))</f>
        <v>0</v>
      </c>
      <c r="DCI66" s="956">
        <f>MIN(DCI60*$C$65,Application!$AO$636-SUM('15 Year Pro Forma'!$E$66:DCH$66))</f>
        <v>0</v>
      </c>
      <c r="DCK66" s="956">
        <f>MIN(DCK60*$C$65,Application!$AO$636-SUM('15 Year Pro Forma'!$E$66:DCJ$66))</f>
        <v>0</v>
      </c>
      <c r="DCM66" s="956">
        <f>MIN(DCM60*$C$65,Application!$AO$636-SUM('15 Year Pro Forma'!$E$66:DCL$66))</f>
        <v>0</v>
      </c>
      <c r="DCO66" s="956">
        <f>MIN(DCO60*$C$65,Application!$AO$636-SUM('15 Year Pro Forma'!$E$66:DCN$66))</f>
        <v>0</v>
      </c>
      <c r="DCQ66" s="956">
        <f>MIN(DCQ60*$C$65,Application!$AO$636-SUM('15 Year Pro Forma'!$E$66:DCP$66))</f>
        <v>0</v>
      </c>
      <c r="DCS66" s="956">
        <f>MIN(DCS60*$C$65,Application!$AO$636-SUM('15 Year Pro Forma'!$E$66:DCR$66))</f>
        <v>0</v>
      </c>
      <c r="DCU66" s="956">
        <f>MIN(DCU60*$C$65,Application!$AO$636-SUM('15 Year Pro Forma'!$E$66:DCT$66))</f>
        <v>0</v>
      </c>
      <c r="DCW66" s="956">
        <f>MIN(DCW60*$C$65,Application!$AO$636-SUM('15 Year Pro Forma'!$E$66:DCV$66))</f>
        <v>0</v>
      </c>
      <c r="DCY66" s="956">
        <f>MIN(DCY60*$C$65,Application!$AO$636-SUM('15 Year Pro Forma'!$E$66:DCX$66))</f>
        <v>0</v>
      </c>
      <c r="DDA66" s="956">
        <f>MIN(DDA60*$C$65,Application!$AO$636-SUM('15 Year Pro Forma'!$E$66:DCZ$66))</f>
        <v>0</v>
      </c>
      <c r="DDC66" s="956">
        <f>MIN(DDC60*$C$65,Application!$AO$636-SUM('15 Year Pro Forma'!$E$66:DDB$66))</f>
        <v>0</v>
      </c>
      <c r="DDE66" s="956">
        <f>MIN(DDE60*$C$65,Application!$AO$636-SUM('15 Year Pro Forma'!$E$66:DDD$66))</f>
        <v>0</v>
      </c>
      <c r="DDG66" s="956">
        <f>MIN(DDG60*$C$65,Application!$AO$636-SUM('15 Year Pro Forma'!$E$66:DDF$66))</f>
        <v>0</v>
      </c>
      <c r="DDI66" s="956">
        <f>MIN(DDI60*$C$65,Application!$AO$636-SUM('15 Year Pro Forma'!$E$66:DDH$66))</f>
        <v>0</v>
      </c>
      <c r="DDK66" s="956">
        <f>MIN(DDK60*$C$65,Application!$AO$636-SUM('15 Year Pro Forma'!$E$66:DDJ$66))</f>
        <v>0</v>
      </c>
      <c r="DDM66" s="956">
        <f>MIN(DDM60*$C$65,Application!$AO$636-SUM('15 Year Pro Forma'!$E$66:DDL$66))</f>
        <v>0</v>
      </c>
      <c r="DDO66" s="956">
        <f>MIN(DDO60*$C$65,Application!$AO$636-SUM('15 Year Pro Forma'!$E$66:DDN$66))</f>
        <v>0</v>
      </c>
      <c r="DDQ66" s="956">
        <f>MIN(DDQ60*$C$65,Application!$AO$636-SUM('15 Year Pro Forma'!$E$66:DDP$66))</f>
        <v>0</v>
      </c>
      <c r="DDS66" s="956">
        <f>MIN(DDS60*$C$65,Application!$AO$636-SUM('15 Year Pro Forma'!$E$66:DDR$66))</f>
        <v>0</v>
      </c>
      <c r="DDU66" s="956">
        <f>MIN(DDU60*$C$65,Application!$AO$636-SUM('15 Year Pro Forma'!$E$66:DDT$66))</f>
        <v>0</v>
      </c>
      <c r="DDW66" s="956">
        <f>MIN(DDW60*$C$65,Application!$AO$636-SUM('15 Year Pro Forma'!$E$66:DDV$66))</f>
        <v>0</v>
      </c>
      <c r="DDY66" s="956">
        <f>MIN(DDY60*$C$65,Application!$AO$636-SUM('15 Year Pro Forma'!$E$66:DDX$66))</f>
        <v>0</v>
      </c>
      <c r="DEA66" s="956">
        <f>MIN(DEA60*$C$65,Application!$AO$636-SUM('15 Year Pro Forma'!$E$66:DDZ$66))</f>
        <v>0</v>
      </c>
      <c r="DEC66" s="956">
        <f>MIN(DEC60*$C$65,Application!$AO$636-SUM('15 Year Pro Forma'!$E$66:DEB$66))</f>
        <v>0</v>
      </c>
      <c r="DEE66" s="956">
        <f>MIN(DEE60*$C$65,Application!$AO$636-SUM('15 Year Pro Forma'!$E$66:DED$66))</f>
        <v>0</v>
      </c>
      <c r="DEG66" s="956">
        <f>MIN(DEG60*$C$65,Application!$AO$636-SUM('15 Year Pro Forma'!$E$66:DEF$66))</f>
        <v>0</v>
      </c>
      <c r="DEI66" s="956">
        <f>MIN(DEI60*$C$65,Application!$AO$636-SUM('15 Year Pro Forma'!$E$66:DEH$66))</f>
        <v>0</v>
      </c>
      <c r="DEK66" s="956">
        <f>MIN(DEK60*$C$65,Application!$AO$636-SUM('15 Year Pro Forma'!$E$66:DEJ$66))</f>
        <v>0</v>
      </c>
      <c r="DEM66" s="956">
        <f>MIN(DEM60*$C$65,Application!$AO$636-SUM('15 Year Pro Forma'!$E$66:DEL$66))</f>
        <v>0</v>
      </c>
      <c r="DEO66" s="956">
        <f>MIN(DEO60*$C$65,Application!$AO$636-SUM('15 Year Pro Forma'!$E$66:DEN$66))</f>
        <v>0</v>
      </c>
      <c r="DEQ66" s="956">
        <f>MIN(DEQ60*$C$65,Application!$AO$636-SUM('15 Year Pro Forma'!$E$66:DEP$66))</f>
        <v>0</v>
      </c>
      <c r="DES66" s="956">
        <f>MIN(DES60*$C$65,Application!$AO$636-SUM('15 Year Pro Forma'!$E$66:DER$66))</f>
        <v>0</v>
      </c>
      <c r="DEU66" s="956">
        <f>MIN(DEU60*$C$65,Application!$AO$636-SUM('15 Year Pro Forma'!$E$66:DET$66))</f>
        <v>0</v>
      </c>
      <c r="DEW66" s="956">
        <f>MIN(DEW60*$C$65,Application!$AO$636-SUM('15 Year Pro Forma'!$E$66:DEV$66))</f>
        <v>0</v>
      </c>
      <c r="DEY66" s="956">
        <f>MIN(DEY60*$C$65,Application!$AO$636-SUM('15 Year Pro Forma'!$E$66:DEX$66))</f>
        <v>0</v>
      </c>
      <c r="DFA66" s="956">
        <f>MIN(DFA60*$C$65,Application!$AO$636-SUM('15 Year Pro Forma'!$E$66:DEZ$66))</f>
        <v>0</v>
      </c>
      <c r="DFC66" s="956">
        <f>MIN(DFC60*$C$65,Application!$AO$636-SUM('15 Year Pro Forma'!$E$66:DFB$66))</f>
        <v>0</v>
      </c>
      <c r="DFE66" s="956">
        <f>MIN(DFE60*$C$65,Application!$AO$636-SUM('15 Year Pro Forma'!$E$66:DFD$66))</f>
        <v>0</v>
      </c>
      <c r="DFG66" s="956">
        <f>MIN(DFG60*$C$65,Application!$AO$636-SUM('15 Year Pro Forma'!$E$66:DFF$66))</f>
        <v>0</v>
      </c>
      <c r="DFI66" s="956">
        <f>MIN(DFI60*$C$65,Application!$AO$636-SUM('15 Year Pro Forma'!$E$66:DFH$66))</f>
        <v>0</v>
      </c>
      <c r="DFK66" s="956">
        <f>MIN(DFK60*$C$65,Application!$AO$636-SUM('15 Year Pro Forma'!$E$66:DFJ$66))</f>
        <v>0</v>
      </c>
      <c r="DFM66" s="956">
        <f>MIN(DFM60*$C$65,Application!$AO$636-SUM('15 Year Pro Forma'!$E$66:DFL$66))</f>
        <v>0</v>
      </c>
      <c r="DFO66" s="956">
        <f>MIN(DFO60*$C$65,Application!$AO$636-SUM('15 Year Pro Forma'!$E$66:DFN$66))</f>
        <v>0</v>
      </c>
      <c r="DFQ66" s="956">
        <f>MIN(DFQ60*$C$65,Application!$AO$636-SUM('15 Year Pro Forma'!$E$66:DFP$66))</f>
        <v>0</v>
      </c>
      <c r="DFS66" s="956">
        <f>MIN(DFS60*$C$65,Application!$AO$636-SUM('15 Year Pro Forma'!$E$66:DFR$66))</f>
        <v>0</v>
      </c>
      <c r="DFU66" s="956">
        <f>MIN(DFU60*$C$65,Application!$AO$636-SUM('15 Year Pro Forma'!$E$66:DFT$66))</f>
        <v>0</v>
      </c>
      <c r="DFW66" s="956">
        <f>MIN(DFW60*$C$65,Application!$AO$636-SUM('15 Year Pro Forma'!$E$66:DFV$66))</f>
        <v>0</v>
      </c>
      <c r="DFY66" s="956">
        <f>MIN(DFY60*$C$65,Application!$AO$636-SUM('15 Year Pro Forma'!$E$66:DFX$66))</f>
        <v>0</v>
      </c>
      <c r="DGA66" s="956">
        <f>MIN(DGA60*$C$65,Application!$AO$636-SUM('15 Year Pro Forma'!$E$66:DFZ$66))</f>
        <v>0</v>
      </c>
      <c r="DGC66" s="956">
        <f>MIN(DGC60*$C$65,Application!$AO$636-SUM('15 Year Pro Forma'!$E$66:DGB$66))</f>
        <v>0</v>
      </c>
      <c r="DGE66" s="956">
        <f>MIN(DGE60*$C$65,Application!$AO$636-SUM('15 Year Pro Forma'!$E$66:DGD$66))</f>
        <v>0</v>
      </c>
      <c r="DGG66" s="956">
        <f>MIN(DGG60*$C$65,Application!$AO$636-SUM('15 Year Pro Forma'!$E$66:DGF$66))</f>
        <v>0</v>
      </c>
      <c r="DGI66" s="956">
        <f>MIN(DGI60*$C$65,Application!$AO$636-SUM('15 Year Pro Forma'!$E$66:DGH$66))</f>
        <v>0</v>
      </c>
      <c r="DGK66" s="956">
        <f>MIN(DGK60*$C$65,Application!$AO$636-SUM('15 Year Pro Forma'!$E$66:DGJ$66))</f>
        <v>0</v>
      </c>
      <c r="DGM66" s="956">
        <f>MIN(DGM60*$C$65,Application!$AO$636-SUM('15 Year Pro Forma'!$E$66:DGL$66))</f>
        <v>0</v>
      </c>
      <c r="DGO66" s="956">
        <f>MIN(DGO60*$C$65,Application!$AO$636-SUM('15 Year Pro Forma'!$E$66:DGN$66))</f>
        <v>0</v>
      </c>
      <c r="DGQ66" s="956">
        <f>MIN(DGQ60*$C$65,Application!$AO$636-SUM('15 Year Pro Forma'!$E$66:DGP$66))</f>
        <v>0</v>
      </c>
      <c r="DGS66" s="956">
        <f>MIN(DGS60*$C$65,Application!$AO$636-SUM('15 Year Pro Forma'!$E$66:DGR$66))</f>
        <v>0</v>
      </c>
      <c r="DGU66" s="956">
        <f>MIN(DGU60*$C$65,Application!$AO$636-SUM('15 Year Pro Forma'!$E$66:DGT$66))</f>
        <v>0</v>
      </c>
      <c r="DGW66" s="956">
        <f>MIN(DGW60*$C$65,Application!$AO$636-SUM('15 Year Pro Forma'!$E$66:DGV$66))</f>
        <v>0</v>
      </c>
      <c r="DGY66" s="956">
        <f>MIN(DGY60*$C$65,Application!$AO$636-SUM('15 Year Pro Forma'!$E$66:DGX$66))</f>
        <v>0</v>
      </c>
      <c r="DHA66" s="956">
        <f>MIN(DHA60*$C$65,Application!$AO$636-SUM('15 Year Pro Forma'!$E$66:DGZ$66))</f>
        <v>0</v>
      </c>
      <c r="DHC66" s="956">
        <f>MIN(DHC60*$C$65,Application!$AO$636-SUM('15 Year Pro Forma'!$E$66:DHB$66))</f>
        <v>0</v>
      </c>
      <c r="DHE66" s="956">
        <f>MIN(DHE60*$C$65,Application!$AO$636-SUM('15 Year Pro Forma'!$E$66:DHD$66))</f>
        <v>0</v>
      </c>
      <c r="DHG66" s="956">
        <f>MIN(DHG60*$C$65,Application!$AO$636-SUM('15 Year Pro Forma'!$E$66:DHF$66))</f>
        <v>0</v>
      </c>
      <c r="DHI66" s="956">
        <f>MIN(DHI60*$C$65,Application!$AO$636-SUM('15 Year Pro Forma'!$E$66:DHH$66))</f>
        <v>0</v>
      </c>
      <c r="DHK66" s="956">
        <f>MIN(DHK60*$C$65,Application!$AO$636-SUM('15 Year Pro Forma'!$E$66:DHJ$66))</f>
        <v>0</v>
      </c>
      <c r="DHM66" s="956">
        <f>MIN(DHM60*$C$65,Application!$AO$636-SUM('15 Year Pro Forma'!$E$66:DHL$66))</f>
        <v>0</v>
      </c>
      <c r="DHO66" s="956">
        <f>MIN(DHO60*$C$65,Application!$AO$636-SUM('15 Year Pro Forma'!$E$66:DHN$66))</f>
        <v>0</v>
      </c>
      <c r="DHQ66" s="956">
        <f>MIN(DHQ60*$C$65,Application!$AO$636-SUM('15 Year Pro Forma'!$E$66:DHP$66))</f>
        <v>0</v>
      </c>
      <c r="DHS66" s="956">
        <f>MIN(DHS60*$C$65,Application!$AO$636-SUM('15 Year Pro Forma'!$E$66:DHR$66))</f>
        <v>0</v>
      </c>
      <c r="DHU66" s="956">
        <f>MIN(DHU60*$C$65,Application!$AO$636-SUM('15 Year Pro Forma'!$E$66:DHT$66))</f>
        <v>0</v>
      </c>
      <c r="DHW66" s="956">
        <f>MIN(DHW60*$C$65,Application!$AO$636-SUM('15 Year Pro Forma'!$E$66:DHV$66))</f>
        <v>0</v>
      </c>
      <c r="DHY66" s="956">
        <f>MIN(DHY60*$C$65,Application!$AO$636-SUM('15 Year Pro Forma'!$E$66:DHX$66))</f>
        <v>0</v>
      </c>
      <c r="DIA66" s="956">
        <f>MIN(DIA60*$C$65,Application!$AO$636-SUM('15 Year Pro Forma'!$E$66:DHZ$66))</f>
        <v>0</v>
      </c>
      <c r="DIC66" s="956">
        <f>MIN(DIC60*$C$65,Application!$AO$636-SUM('15 Year Pro Forma'!$E$66:DIB$66))</f>
        <v>0</v>
      </c>
      <c r="DIE66" s="956">
        <f>MIN(DIE60*$C$65,Application!$AO$636-SUM('15 Year Pro Forma'!$E$66:DID$66))</f>
        <v>0</v>
      </c>
      <c r="DIG66" s="956">
        <f>MIN(DIG60*$C$65,Application!$AO$636-SUM('15 Year Pro Forma'!$E$66:DIF$66))</f>
        <v>0</v>
      </c>
      <c r="DII66" s="956">
        <f>MIN(DII60*$C$65,Application!$AO$636-SUM('15 Year Pro Forma'!$E$66:DIH$66))</f>
        <v>0</v>
      </c>
      <c r="DIK66" s="956">
        <f>MIN(DIK60*$C$65,Application!$AO$636-SUM('15 Year Pro Forma'!$E$66:DIJ$66))</f>
        <v>0</v>
      </c>
      <c r="DIM66" s="956">
        <f>MIN(DIM60*$C$65,Application!$AO$636-SUM('15 Year Pro Forma'!$E$66:DIL$66))</f>
        <v>0</v>
      </c>
      <c r="DIO66" s="956">
        <f>MIN(DIO60*$C$65,Application!$AO$636-SUM('15 Year Pro Forma'!$E$66:DIN$66))</f>
        <v>0</v>
      </c>
      <c r="DIQ66" s="956">
        <f>MIN(DIQ60*$C$65,Application!$AO$636-SUM('15 Year Pro Forma'!$E$66:DIP$66))</f>
        <v>0</v>
      </c>
      <c r="DIS66" s="956">
        <f>MIN(DIS60*$C$65,Application!$AO$636-SUM('15 Year Pro Forma'!$E$66:DIR$66))</f>
        <v>0</v>
      </c>
      <c r="DIU66" s="956">
        <f>MIN(DIU60*$C$65,Application!$AO$636-SUM('15 Year Pro Forma'!$E$66:DIT$66))</f>
        <v>0</v>
      </c>
      <c r="DIW66" s="956">
        <f>MIN(DIW60*$C$65,Application!$AO$636-SUM('15 Year Pro Forma'!$E$66:DIV$66))</f>
        <v>0</v>
      </c>
      <c r="DIY66" s="956">
        <f>MIN(DIY60*$C$65,Application!$AO$636-SUM('15 Year Pro Forma'!$E$66:DIX$66))</f>
        <v>0</v>
      </c>
      <c r="DJA66" s="956">
        <f>MIN(DJA60*$C$65,Application!$AO$636-SUM('15 Year Pro Forma'!$E$66:DIZ$66))</f>
        <v>0</v>
      </c>
      <c r="DJC66" s="956">
        <f>MIN(DJC60*$C$65,Application!$AO$636-SUM('15 Year Pro Forma'!$E$66:DJB$66))</f>
        <v>0</v>
      </c>
      <c r="DJE66" s="956">
        <f>MIN(DJE60*$C$65,Application!$AO$636-SUM('15 Year Pro Forma'!$E$66:DJD$66))</f>
        <v>0</v>
      </c>
      <c r="DJG66" s="956">
        <f>MIN(DJG60*$C$65,Application!$AO$636-SUM('15 Year Pro Forma'!$E$66:DJF$66))</f>
        <v>0</v>
      </c>
      <c r="DJI66" s="956">
        <f>MIN(DJI60*$C$65,Application!$AO$636-SUM('15 Year Pro Forma'!$E$66:DJH$66))</f>
        <v>0</v>
      </c>
      <c r="DJK66" s="956">
        <f>MIN(DJK60*$C$65,Application!$AO$636-SUM('15 Year Pro Forma'!$E$66:DJJ$66))</f>
        <v>0</v>
      </c>
      <c r="DJM66" s="956">
        <f>MIN(DJM60*$C$65,Application!$AO$636-SUM('15 Year Pro Forma'!$E$66:DJL$66))</f>
        <v>0</v>
      </c>
      <c r="DJO66" s="956">
        <f>MIN(DJO60*$C$65,Application!$AO$636-SUM('15 Year Pro Forma'!$E$66:DJN$66))</f>
        <v>0</v>
      </c>
      <c r="DJQ66" s="956">
        <f>MIN(DJQ60*$C$65,Application!$AO$636-SUM('15 Year Pro Forma'!$E$66:DJP$66))</f>
        <v>0</v>
      </c>
      <c r="DJS66" s="956">
        <f>MIN(DJS60*$C$65,Application!$AO$636-SUM('15 Year Pro Forma'!$E$66:DJR$66))</f>
        <v>0</v>
      </c>
      <c r="DJU66" s="956">
        <f>MIN(DJU60*$C$65,Application!$AO$636-SUM('15 Year Pro Forma'!$E$66:DJT$66))</f>
        <v>0</v>
      </c>
      <c r="DJW66" s="956">
        <f>MIN(DJW60*$C$65,Application!$AO$636-SUM('15 Year Pro Forma'!$E$66:DJV$66))</f>
        <v>0</v>
      </c>
      <c r="DJY66" s="956">
        <f>MIN(DJY60*$C$65,Application!$AO$636-SUM('15 Year Pro Forma'!$E$66:DJX$66))</f>
        <v>0</v>
      </c>
      <c r="DKA66" s="956">
        <f>MIN(DKA60*$C$65,Application!$AO$636-SUM('15 Year Pro Forma'!$E$66:DJZ$66))</f>
        <v>0</v>
      </c>
      <c r="DKC66" s="956">
        <f>MIN(DKC60*$C$65,Application!$AO$636-SUM('15 Year Pro Forma'!$E$66:DKB$66))</f>
        <v>0</v>
      </c>
      <c r="DKE66" s="956">
        <f>MIN(DKE60*$C$65,Application!$AO$636-SUM('15 Year Pro Forma'!$E$66:DKD$66))</f>
        <v>0</v>
      </c>
      <c r="DKG66" s="956">
        <f>MIN(DKG60*$C$65,Application!$AO$636-SUM('15 Year Pro Forma'!$E$66:DKF$66))</f>
        <v>0</v>
      </c>
      <c r="DKI66" s="956">
        <f>MIN(DKI60*$C$65,Application!$AO$636-SUM('15 Year Pro Forma'!$E$66:DKH$66))</f>
        <v>0</v>
      </c>
      <c r="DKK66" s="956">
        <f>MIN(DKK60*$C$65,Application!$AO$636-SUM('15 Year Pro Forma'!$E$66:DKJ$66))</f>
        <v>0</v>
      </c>
      <c r="DKM66" s="956">
        <f>MIN(DKM60*$C$65,Application!$AO$636-SUM('15 Year Pro Forma'!$E$66:DKL$66))</f>
        <v>0</v>
      </c>
      <c r="DKO66" s="956">
        <f>MIN(DKO60*$C$65,Application!$AO$636-SUM('15 Year Pro Forma'!$E$66:DKN$66))</f>
        <v>0</v>
      </c>
      <c r="DKQ66" s="956">
        <f>MIN(DKQ60*$C$65,Application!$AO$636-SUM('15 Year Pro Forma'!$E$66:DKP$66))</f>
        <v>0</v>
      </c>
      <c r="DKS66" s="956">
        <f>MIN(DKS60*$C$65,Application!$AO$636-SUM('15 Year Pro Forma'!$E$66:DKR$66))</f>
        <v>0</v>
      </c>
      <c r="DKU66" s="956">
        <f>MIN(DKU60*$C$65,Application!$AO$636-SUM('15 Year Pro Forma'!$E$66:DKT$66))</f>
        <v>0</v>
      </c>
      <c r="DKW66" s="956">
        <f>MIN(DKW60*$C$65,Application!$AO$636-SUM('15 Year Pro Forma'!$E$66:DKV$66))</f>
        <v>0</v>
      </c>
      <c r="DKY66" s="956">
        <f>MIN(DKY60*$C$65,Application!$AO$636-SUM('15 Year Pro Forma'!$E$66:DKX$66))</f>
        <v>0</v>
      </c>
      <c r="DLA66" s="956">
        <f>MIN(DLA60*$C$65,Application!$AO$636-SUM('15 Year Pro Forma'!$E$66:DKZ$66))</f>
        <v>0</v>
      </c>
      <c r="DLC66" s="956">
        <f>MIN(DLC60*$C$65,Application!$AO$636-SUM('15 Year Pro Forma'!$E$66:DLB$66))</f>
        <v>0</v>
      </c>
      <c r="DLE66" s="956">
        <f>MIN(DLE60*$C$65,Application!$AO$636-SUM('15 Year Pro Forma'!$E$66:DLD$66))</f>
        <v>0</v>
      </c>
      <c r="DLG66" s="956">
        <f>MIN(DLG60*$C$65,Application!$AO$636-SUM('15 Year Pro Forma'!$E$66:DLF$66))</f>
        <v>0</v>
      </c>
      <c r="DLI66" s="956">
        <f>MIN(DLI60*$C$65,Application!$AO$636-SUM('15 Year Pro Forma'!$E$66:DLH$66))</f>
        <v>0</v>
      </c>
      <c r="DLK66" s="956">
        <f>MIN(DLK60*$C$65,Application!$AO$636-SUM('15 Year Pro Forma'!$E$66:DLJ$66))</f>
        <v>0</v>
      </c>
      <c r="DLM66" s="956">
        <f>MIN(DLM60*$C$65,Application!$AO$636-SUM('15 Year Pro Forma'!$E$66:DLL$66))</f>
        <v>0</v>
      </c>
      <c r="DLO66" s="956">
        <f>MIN(DLO60*$C$65,Application!$AO$636-SUM('15 Year Pro Forma'!$E$66:DLN$66))</f>
        <v>0</v>
      </c>
      <c r="DLQ66" s="956">
        <f>MIN(DLQ60*$C$65,Application!$AO$636-SUM('15 Year Pro Forma'!$E$66:DLP$66))</f>
        <v>0</v>
      </c>
      <c r="DLS66" s="956">
        <f>MIN(DLS60*$C$65,Application!$AO$636-SUM('15 Year Pro Forma'!$E$66:DLR$66))</f>
        <v>0</v>
      </c>
      <c r="DLU66" s="956">
        <f>MIN(DLU60*$C$65,Application!$AO$636-SUM('15 Year Pro Forma'!$E$66:DLT$66))</f>
        <v>0</v>
      </c>
      <c r="DLW66" s="956">
        <f>MIN(DLW60*$C$65,Application!$AO$636-SUM('15 Year Pro Forma'!$E$66:DLV$66))</f>
        <v>0</v>
      </c>
      <c r="DLY66" s="956">
        <f>MIN(DLY60*$C$65,Application!$AO$636-SUM('15 Year Pro Forma'!$E$66:DLX$66))</f>
        <v>0</v>
      </c>
      <c r="DMA66" s="956">
        <f>MIN(DMA60*$C$65,Application!$AO$636-SUM('15 Year Pro Forma'!$E$66:DLZ$66))</f>
        <v>0</v>
      </c>
      <c r="DMC66" s="956">
        <f>MIN(DMC60*$C$65,Application!$AO$636-SUM('15 Year Pro Forma'!$E$66:DMB$66))</f>
        <v>0</v>
      </c>
      <c r="DME66" s="956">
        <f>MIN(DME60*$C$65,Application!$AO$636-SUM('15 Year Pro Forma'!$E$66:DMD$66))</f>
        <v>0</v>
      </c>
      <c r="DMG66" s="956">
        <f>MIN(DMG60*$C$65,Application!$AO$636-SUM('15 Year Pro Forma'!$E$66:DMF$66))</f>
        <v>0</v>
      </c>
      <c r="DMI66" s="956">
        <f>MIN(DMI60*$C$65,Application!$AO$636-SUM('15 Year Pro Forma'!$E$66:DMH$66))</f>
        <v>0</v>
      </c>
      <c r="DMK66" s="956">
        <f>MIN(DMK60*$C$65,Application!$AO$636-SUM('15 Year Pro Forma'!$E$66:DMJ$66))</f>
        <v>0</v>
      </c>
      <c r="DMM66" s="956">
        <f>MIN(DMM60*$C$65,Application!$AO$636-SUM('15 Year Pro Forma'!$E$66:DML$66))</f>
        <v>0</v>
      </c>
      <c r="DMO66" s="956">
        <f>MIN(DMO60*$C$65,Application!$AO$636-SUM('15 Year Pro Forma'!$E$66:DMN$66))</f>
        <v>0</v>
      </c>
      <c r="DMQ66" s="956">
        <f>MIN(DMQ60*$C$65,Application!$AO$636-SUM('15 Year Pro Forma'!$E$66:DMP$66))</f>
        <v>0</v>
      </c>
      <c r="DMS66" s="956">
        <f>MIN(DMS60*$C$65,Application!$AO$636-SUM('15 Year Pro Forma'!$E$66:DMR$66))</f>
        <v>0</v>
      </c>
      <c r="DMU66" s="956">
        <f>MIN(DMU60*$C$65,Application!$AO$636-SUM('15 Year Pro Forma'!$E$66:DMT$66))</f>
        <v>0</v>
      </c>
      <c r="DMW66" s="956">
        <f>MIN(DMW60*$C$65,Application!$AO$636-SUM('15 Year Pro Forma'!$E$66:DMV$66))</f>
        <v>0</v>
      </c>
      <c r="DMY66" s="956">
        <f>MIN(DMY60*$C$65,Application!$AO$636-SUM('15 Year Pro Forma'!$E$66:DMX$66))</f>
        <v>0</v>
      </c>
      <c r="DNA66" s="956">
        <f>MIN(DNA60*$C$65,Application!$AO$636-SUM('15 Year Pro Forma'!$E$66:DMZ$66))</f>
        <v>0</v>
      </c>
      <c r="DNC66" s="956">
        <f>MIN(DNC60*$C$65,Application!$AO$636-SUM('15 Year Pro Forma'!$E$66:DNB$66))</f>
        <v>0</v>
      </c>
      <c r="DNE66" s="956">
        <f>MIN(DNE60*$C$65,Application!$AO$636-SUM('15 Year Pro Forma'!$E$66:DND$66))</f>
        <v>0</v>
      </c>
      <c r="DNG66" s="956">
        <f>MIN(DNG60*$C$65,Application!$AO$636-SUM('15 Year Pro Forma'!$E$66:DNF$66))</f>
        <v>0</v>
      </c>
      <c r="DNI66" s="956">
        <f>MIN(DNI60*$C$65,Application!$AO$636-SUM('15 Year Pro Forma'!$E$66:DNH$66))</f>
        <v>0</v>
      </c>
      <c r="DNK66" s="956">
        <f>MIN(DNK60*$C$65,Application!$AO$636-SUM('15 Year Pro Forma'!$E$66:DNJ$66))</f>
        <v>0</v>
      </c>
      <c r="DNM66" s="956">
        <f>MIN(DNM60*$C$65,Application!$AO$636-SUM('15 Year Pro Forma'!$E$66:DNL$66))</f>
        <v>0</v>
      </c>
      <c r="DNO66" s="956">
        <f>MIN(DNO60*$C$65,Application!$AO$636-SUM('15 Year Pro Forma'!$E$66:DNN$66))</f>
        <v>0</v>
      </c>
      <c r="DNQ66" s="956">
        <f>MIN(DNQ60*$C$65,Application!$AO$636-SUM('15 Year Pro Forma'!$E$66:DNP$66))</f>
        <v>0</v>
      </c>
      <c r="DNS66" s="956">
        <f>MIN(DNS60*$C$65,Application!$AO$636-SUM('15 Year Pro Forma'!$E$66:DNR$66))</f>
        <v>0</v>
      </c>
      <c r="DNU66" s="956">
        <f>MIN(DNU60*$C$65,Application!$AO$636-SUM('15 Year Pro Forma'!$E$66:DNT$66))</f>
        <v>0</v>
      </c>
      <c r="DNW66" s="956">
        <f>MIN(DNW60*$C$65,Application!$AO$636-SUM('15 Year Pro Forma'!$E$66:DNV$66))</f>
        <v>0</v>
      </c>
      <c r="DNY66" s="956">
        <f>MIN(DNY60*$C$65,Application!$AO$636-SUM('15 Year Pro Forma'!$E$66:DNX$66))</f>
        <v>0</v>
      </c>
      <c r="DOA66" s="956">
        <f>MIN(DOA60*$C$65,Application!$AO$636-SUM('15 Year Pro Forma'!$E$66:DNZ$66))</f>
        <v>0</v>
      </c>
      <c r="DOC66" s="956">
        <f>MIN(DOC60*$C$65,Application!$AO$636-SUM('15 Year Pro Forma'!$E$66:DOB$66))</f>
        <v>0</v>
      </c>
      <c r="DOE66" s="956">
        <f>MIN(DOE60*$C$65,Application!$AO$636-SUM('15 Year Pro Forma'!$E$66:DOD$66))</f>
        <v>0</v>
      </c>
      <c r="DOG66" s="956">
        <f>MIN(DOG60*$C$65,Application!$AO$636-SUM('15 Year Pro Forma'!$E$66:DOF$66))</f>
        <v>0</v>
      </c>
      <c r="DOI66" s="956">
        <f>MIN(DOI60*$C$65,Application!$AO$636-SUM('15 Year Pro Forma'!$E$66:DOH$66))</f>
        <v>0</v>
      </c>
      <c r="DOK66" s="956">
        <f>MIN(DOK60*$C$65,Application!$AO$636-SUM('15 Year Pro Forma'!$E$66:DOJ$66))</f>
        <v>0</v>
      </c>
      <c r="DOM66" s="956">
        <f>MIN(DOM60*$C$65,Application!$AO$636-SUM('15 Year Pro Forma'!$E$66:DOL$66))</f>
        <v>0</v>
      </c>
      <c r="DOO66" s="956">
        <f>MIN(DOO60*$C$65,Application!$AO$636-SUM('15 Year Pro Forma'!$E$66:DON$66))</f>
        <v>0</v>
      </c>
      <c r="DOQ66" s="956">
        <f>MIN(DOQ60*$C$65,Application!$AO$636-SUM('15 Year Pro Forma'!$E$66:DOP$66))</f>
        <v>0</v>
      </c>
      <c r="DOS66" s="956">
        <f>MIN(DOS60*$C$65,Application!$AO$636-SUM('15 Year Pro Forma'!$E$66:DOR$66))</f>
        <v>0</v>
      </c>
      <c r="DOU66" s="956">
        <f>MIN(DOU60*$C$65,Application!$AO$636-SUM('15 Year Pro Forma'!$E$66:DOT$66))</f>
        <v>0</v>
      </c>
      <c r="DOW66" s="956">
        <f>MIN(DOW60*$C$65,Application!$AO$636-SUM('15 Year Pro Forma'!$E$66:DOV$66))</f>
        <v>0</v>
      </c>
      <c r="DOY66" s="956">
        <f>MIN(DOY60*$C$65,Application!$AO$636-SUM('15 Year Pro Forma'!$E$66:DOX$66))</f>
        <v>0</v>
      </c>
      <c r="DPA66" s="956">
        <f>MIN(DPA60*$C$65,Application!$AO$636-SUM('15 Year Pro Forma'!$E$66:DOZ$66))</f>
        <v>0</v>
      </c>
      <c r="DPC66" s="956">
        <f>MIN(DPC60*$C$65,Application!$AO$636-SUM('15 Year Pro Forma'!$E$66:DPB$66))</f>
        <v>0</v>
      </c>
      <c r="DPE66" s="956">
        <f>MIN(DPE60*$C$65,Application!$AO$636-SUM('15 Year Pro Forma'!$E$66:DPD$66))</f>
        <v>0</v>
      </c>
      <c r="DPG66" s="956">
        <f>MIN(DPG60*$C$65,Application!$AO$636-SUM('15 Year Pro Forma'!$E$66:DPF$66))</f>
        <v>0</v>
      </c>
      <c r="DPI66" s="956">
        <f>MIN(DPI60*$C$65,Application!$AO$636-SUM('15 Year Pro Forma'!$E$66:DPH$66))</f>
        <v>0</v>
      </c>
      <c r="DPK66" s="956">
        <f>MIN(DPK60*$C$65,Application!$AO$636-SUM('15 Year Pro Forma'!$E$66:DPJ$66))</f>
        <v>0</v>
      </c>
      <c r="DPM66" s="956">
        <f>MIN(DPM60*$C$65,Application!$AO$636-SUM('15 Year Pro Forma'!$E$66:DPL$66))</f>
        <v>0</v>
      </c>
      <c r="DPO66" s="956">
        <f>MIN(DPO60*$C$65,Application!$AO$636-SUM('15 Year Pro Forma'!$E$66:DPN$66))</f>
        <v>0</v>
      </c>
      <c r="DPQ66" s="956">
        <f>MIN(DPQ60*$C$65,Application!$AO$636-SUM('15 Year Pro Forma'!$E$66:DPP$66))</f>
        <v>0</v>
      </c>
      <c r="DPS66" s="956">
        <f>MIN(DPS60*$C$65,Application!$AO$636-SUM('15 Year Pro Forma'!$E$66:DPR$66))</f>
        <v>0</v>
      </c>
      <c r="DPU66" s="956">
        <f>MIN(DPU60*$C$65,Application!$AO$636-SUM('15 Year Pro Forma'!$E$66:DPT$66))</f>
        <v>0</v>
      </c>
      <c r="DPW66" s="956">
        <f>MIN(DPW60*$C$65,Application!$AO$636-SUM('15 Year Pro Forma'!$E$66:DPV$66))</f>
        <v>0</v>
      </c>
      <c r="DPY66" s="956">
        <f>MIN(DPY60*$C$65,Application!$AO$636-SUM('15 Year Pro Forma'!$E$66:DPX$66))</f>
        <v>0</v>
      </c>
      <c r="DQA66" s="956">
        <f>MIN(DQA60*$C$65,Application!$AO$636-SUM('15 Year Pro Forma'!$E$66:DPZ$66))</f>
        <v>0</v>
      </c>
      <c r="DQC66" s="956">
        <f>MIN(DQC60*$C$65,Application!$AO$636-SUM('15 Year Pro Forma'!$E$66:DQB$66))</f>
        <v>0</v>
      </c>
      <c r="DQE66" s="956">
        <f>MIN(DQE60*$C$65,Application!$AO$636-SUM('15 Year Pro Forma'!$E$66:DQD$66))</f>
        <v>0</v>
      </c>
      <c r="DQG66" s="956">
        <f>MIN(DQG60*$C$65,Application!$AO$636-SUM('15 Year Pro Forma'!$E$66:DQF$66))</f>
        <v>0</v>
      </c>
      <c r="DQI66" s="956">
        <f>MIN(DQI60*$C$65,Application!$AO$636-SUM('15 Year Pro Forma'!$E$66:DQH$66))</f>
        <v>0</v>
      </c>
      <c r="DQK66" s="956">
        <f>MIN(DQK60*$C$65,Application!$AO$636-SUM('15 Year Pro Forma'!$E$66:DQJ$66))</f>
        <v>0</v>
      </c>
      <c r="DQM66" s="956">
        <f>MIN(DQM60*$C$65,Application!$AO$636-SUM('15 Year Pro Forma'!$E$66:DQL$66))</f>
        <v>0</v>
      </c>
      <c r="DQO66" s="956">
        <f>MIN(DQO60*$C$65,Application!$AO$636-SUM('15 Year Pro Forma'!$E$66:DQN$66))</f>
        <v>0</v>
      </c>
      <c r="DQQ66" s="956">
        <f>MIN(DQQ60*$C$65,Application!$AO$636-SUM('15 Year Pro Forma'!$E$66:DQP$66))</f>
        <v>0</v>
      </c>
      <c r="DQS66" s="956">
        <f>MIN(DQS60*$C$65,Application!$AO$636-SUM('15 Year Pro Forma'!$E$66:DQR$66))</f>
        <v>0</v>
      </c>
      <c r="DQU66" s="956">
        <f>MIN(DQU60*$C$65,Application!$AO$636-SUM('15 Year Pro Forma'!$E$66:DQT$66))</f>
        <v>0</v>
      </c>
      <c r="DQW66" s="956">
        <f>MIN(DQW60*$C$65,Application!$AO$636-SUM('15 Year Pro Forma'!$E$66:DQV$66))</f>
        <v>0</v>
      </c>
      <c r="DQY66" s="956">
        <f>MIN(DQY60*$C$65,Application!$AO$636-SUM('15 Year Pro Forma'!$E$66:DQX$66))</f>
        <v>0</v>
      </c>
      <c r="DRA66" s="956">
        <f>MIN(DRA60*$C$65,Application!$AO$636-SUM('15 Year Pro Forma'!$E$66:DQZ$66))</f>
        <v>0</v>
      </c>
      <c r="DRC66" s="956">
        <f>MIN(DRC60*$C$65,Application!$AO$636-SUM('15 Year Pro Forma'!$E$66:DRB$66))</f>
        <v>0</v>
      </c>
      <c r="DRE66" s="956">
        <f>MIN(DRE60*$C$65,Application!$AO$636-SUM('15 Year Pro Forma'!$E$66:DRD$66))</f>
        <v>0</v>
      </c>
      <c r="DRG66" s="956">
        <f>MIN(DRG60*$C$65,Application!$AO$636-SUM('15 Year Pro Forma'!$E$66:DRF$66))</f>
        <v>0</v>
      </c>
      <c r="DRI66" s="956">
        <f>MIN(DRI60*$C$65,Application!$AO$636-SUM('15 Year Pro Forma'!$E$66:DRH$66))</f>
        <v>0</v>
      </c>
      <c r="DRK66" s="956">
        <f>MIN(DRK60*$C$65,Application!$AO$636-SUM('15 Year Pro Forma'!$E$66:DRJ$66))</f>
        <v>0</v>
      </c>
      <c r="DRM66" s="956">
        <f>MIN(DRM60*$C$65,Application!$AO$636-SUM('15 Year Pro Forma'!$E$66:DRL$66))</f>
        <v>0</v>
      </c>
      <c r="DRO66" s="956">
        <f>MIN(DRO60*$C$65,Application!$AO$636-SUM('15 Year Pro Forma'!$E$66:DRN$66))</f>
        <v>0</v>
      </c>
      <c r="DRQ66" s="956">
        <f>MIN(DRQ60*$C$65,Application!$AO$636-SUM('15 Year Pro Forma'!$E$66:DRP$66))</f>
        <v>0</v>
      </c>
      <c r="DRS66" s="956">
        <f>MIN(DRS60*$C$65,Application!$AO$636-SUM('15 Year Pro Forma'!$E$66:DRR$66))</f>
        <v>0</v>
      </c>
      <c r="DRU66" s="956">
        <f>MIN(DRU60*$C$65,Application!$AO$636-SUM('15 Year Pro Forma'!$E$66:DRT$66))</f>
        <v>0</v>
      </c>
      <c r="DRW66" s="956">
        <f>MIN(DRW60*$C$65,Application!$AO$636-SUM('15 Year Pro Forma'!$E$66:DRV$66))</f>
        <v>0</v>
      </c>
      <c r="DRY66" s="956">
        <f>MIN(DRY60*$C$65,Application!$AO$636-SUM('15 Year Pro Forma'!$E$66:DRX$66))</f>
        <v>0</v>
      </c>
      <c r="DSA66" s="956">
        <f>MIN(DSA60*$C$65,Application!$AO$636-SUM('15 Year Pro Forma'!$E$66:DRZ$66))</f>
        <v>0</v>
      </c>
      <c r="DSC66" s="956">
        <f>MIN(DSC60*$C$65,Application!$AO$636-SUM('15 Year Pro Forma'!$E$66:DSB$66))</f>
        <v>0</v>
      </c>
      <c r="DSE66" s="956">
        <f>MIN(DSE60*$C$65,Application!$AO$636-SUM('15 Year Pro Forma'!$E$66:DSD$66))</f>
        <v>0</v>
      </c>
      <c r="DSG66" s="956">
        <f>MIN(DSG60*$C$65,Application!$AO$636-SUM('15 Year Pro Forma'!$E$66:DSF$66))</f>
        <v>0</v>
      </c>
      <c r="DSI66" s="956">
        <f>MIN(DSI60*$C$65,Application!$AO$636-SUM('15 Year Pro Forma'!$E$66:DSH$66))</f>
        <v>0</v>
      </c>
      <c r="DSK66" s="956">
        <f>MIN(DSK60*$C$65,Application!$AO$636-SUM('15 Year Pro Forma'!$E$66:DSJ$66))</f>
        <v>0</v>
      </c>
      <c r="DSM66" s="956">
        <f>MIN(DSM60*$C$65,Application!$AO$636-SUM('15 Year Pro Forma'!$E$66:DSL$66))</f>
        <v>0</v>
      </c>
      <c r="DSO66" s="956">
        <f>MIN(DSO60*$C$65,Application!$AO$636-SUM('15 Year Pro Forma'!$E$66:DSN$66))</f>
        <v>0</v>
      </c>
      <c r="DSQ66" s="956">
        <f>MIN(DSQ60*$C$65,Application!$AO$636-SUM('15 Year Pro Forma'!$E$66:DSP$66))</f>
        <v>0</v>
      </c>
      <c r="DSS66" s="956">
        <f>MIN(DSS60*$C$65,Application!$AO$636-SUM('15 Year Pro Forma'!$E$66:DSR$66))</f>
        <v>0</v>
      </c>
      <c r="DSU66" s="956">
        <f>MIN(DSU60*$C$65,Application!$AO$636-SUM('15 Year Pro Forma'!$E$66:DST$66))</f>
        <v>0</v>
      </c>
      <c r="DSW66" s="956">
        <f>MIN(DSW60*$C$65,Application!$AO$636-SUM('15 Year Pro Forma'!$E$66:DSV$66))</f>
        <v>0</v>
      </c>
      <c r="DSY66" s="956">
        <f>MIN(DSY60*$C$65,Application!$AO$636-SUM('15 Year Pro Forma'!$E$66:DSX$66))</f>
        <v>0</v>
      </c>
      <c r="DTA66" s="956">
        <f>MIN(DTA60*$C$65,Application!$AO$636-SUM('15 Year Pro Forma'!$E$66:DSZ$66))</f>
        <v>0</v>
      </c>
      <c r="DTC66" s="956">
        <f>MIN(DTC60*$C$65,Application!$AO$636-SUM('15 Year Pro Forma'!$E$66:DTB$66))</f>
        <v>0</v>
      </c>
      <c r="DTE66" s="956">
        <f>MIN(DTE60*$C$65,Application!$AO$636-SUM('15 Year Pro Forma'!$E$66:DTD$66))</f>
        <v>0</v>
      </c>
      <c r="DTG66" s="956">
        <f>MIN(DTG60*$C$65,Application!$AO$636-SUM('15 Year Pro Forma'!$E$66:DTF$66))</f>
        <v>0</v>
      </c>
      <c r="DTI66" s="956">
        <f>MIN(DTI60*$C$65,Application!$AO$636-SUM('15 Year Pro Forma'!$E$66:DTH$66))</f>
        <v>0</v>
      </c>
      <c r="DTK66" s="956">
        <f>MIN(DTK60*$C$65,Application!$AO$636-SUM('15 Year Pro Forma'!$E$66:DTJ$66))</f>
        <v>0</v>
      </c>
      <c r="DTM66" s="956">
        <f>MIN(DTM60*$C$65,Application!$AO$636-SUM('15 Year Pro Forma'!$E$66:DTL$66))</f>
        <v>0</v>
      </c>
      <c r="DTO66" s="956">
        <f>MIN(DTO60*$C$65,Application!$AO$636-SUM('15 Year Pro Forma'!$E$66:DTN$66))</f>
        <v>0</v>
      </c>
      <c r="DTQ66" s="956">
        <f>MIN(DTQ60*$C$65,Application!$AO$636-SUM('15 Year Pro Forma'!$E$66:DTP$66))</f>
        <v>0</v>
      </c>
      <c r="DTS66" s="956">
        <f>MIN(DTS60*$C$65,Application!$AO$636-SUM('15 Year Pro Forma'!$E$66:DTR$66))</f>
        <v>0</v>
      </c>
      <c r="DTU66" s="956">
        <f>MIN(DTU60*$C$65,Application!$AO$636-SUM('15 Year Pro Forma'!$E$66:DTT$66))</f>
        <v>0</v>
      </c>
      <c r="DTW66" s="956">
        <f>MIN(DTW60*$C$65,Application!$AO$636-SUM('15 Year Pro Forma'!$E$66:DTV$66))</f>
        <v>0</v>
      </c>
      <c r="DTY66" s="956">
        <f>MIN(DTY60*$C$65,Application!$AO$636-SUM('15 Year Pro Forma'!$E$66:DTX$66))</f>
        <v>0</v>
      </c>
      <c r="DUA66" s="956">
        <f>MIN(DUA60*$C$65,Application!$AO$636-SUM('15 Year Pro Forma'!$E$66:DTZ$66))</f>
        <v>0</v>
      </c>
      <c r="DUC66" s="956">
        <f>MIN(DUC60*$C$65,Application!$AO$636-SUM('15 Year Pro Forma'!$E$66:DUB$66))</f>
        <v>0</v>
      </c>
      <c r="DUE66" s="956">
        <f>MIN(DUE60*$C$65,Application!$AO$636-SUM('15 Year Pro Forma'!$E$66:DUD$66))</f>
        <v>0</v>
      </c>
      <c r="DUG66" s="956">
        <f>MIN(DUG60*$C$65,Application!$AO$636-SUM('15 Year Pro Forma'!$E$66:DUF$66))</f>
        <v>0</v>
      </c>
      <c r="DUI66" s="956">
        <f>MIN(DUI60*$C$65,Application!$AO$636-SUM('15 Year Pro Forma'!$E$66:DUH$66))</f>
        <v>0</v>
      </c>
      <c r="DUK66" s="956">
        <f>MIN(DUK60*$C$65,Application!$AO$636-SUM('15 Year Pro Forma'!$E$66:DUJ$66))</f>
        <v>0</v>
      </c>
      <c r="DUM66" s="956">
        <f>MIN(DUM60*$C$65,Application!$AO$636-SUM('15 Year Pro Forma'!$E$66:DUL$66))</f>
        <v>0</v>
      </c>
      <c r="DUO66" s="956">
        <f>MIN(DUO60*$C$65,Application!$AO$636-SUM('15 Year Pro Forma'!$E$66:DUN$66))</f>
        <v>0</v>
      </c>
      <c r="DUQ66" s="956">
        <f>MIN(DUQ60*$C$65,Application!$AO$636-SUM('15 Year Pro Forma'!$E$66:DUP$66))</f>
        <v>0</v>
      </c>
      <c r="DUS66" s="956">
        <f>MIN(DUS60*$C$65,Application!$AO$636-SUM('15 Year Pro Forma'!$E$66:DUR$66))</f>
        <v>0</v>
      </c>
      <c r="DUU66" s="956">
        <f>MIN(DUU60*$C$65,Application!$AO$636-SUM('15 Year Pro Forma'!$E$66:DUT$66))</f>
        <v>0</v>
      </c>
      <c r="DUW66" s="956">
        <f>MIN(DUW60*$C$65,Application!$AO$636-SUM('15 Year Pro Forma'!$E$66:DUV$66))</f>
        <v>0</v>
      </c>
      <c r="DUY66" s="956">
        <f>MIN(DUY60*$C$65,Application!$AO$636-SUM('15 Year Pro Forma'!$E$66:DUX$66))</f>
        <v>0</v>
      </c>
      <c r="DVA66" s="956">
        <f>MIN(DVA60*$C$65,Application!$AO$636-SUM('15 Year Pro Forma'!$E$66:DUZ$66))</f>
        <v>0</v>
      </c>
      <c r="DVC66" s="956">
        <f>MIN(DVC60*$C$65,Application!$AO$636-SUM('15 Year Pro Forma'!$E$66:DVB$66))</f>
        <v>0</v>
      </c>
      <c r="DVE66" s="956">
        <f>MIN(DVE60*$C$65,Application!$AO$636-SUM('15 Year Pro Forma'!$E$66:DVD$66))</f>
        <v>0</v>
      </c>
      <c r="DVG66" s="956">
        <f>MIN(DVG60*$C$65,Application!$AO$636-SUM('15 Year Pro Forma'!$E$66:DVF$66))</f>
        <v>0</v>
      </c>
      <c r="DVI66" s="956">
        <f>MIN(DVI60*$C$65,Application!$AO$636-SUM('15 Year Pro Forma'!$E$66:DVH$66))</f>
        <v>0</v>
      </c>
      <c r="DVK66" s="956">
        <f>MIN(DVK60*$C$65,Application!$AO$636-SUM('15 Year Pro Forma'!$E$66:DVJ$66))</f>
        <v>0</v>
      </c>
      <c r="DVM66" s="956">
        <f>MIN(DVM60*$C$65,Application!$AO$636-SUM('15 Year Pro Forma'!$E$66:DVL$66))</f>
        <v>0</v>
      </c>
      <c r="DVO66" s="956">
        <f>MIN(DVO60*$C$65,Application!$AO$636-SUM('15 Year Pro Forma'!$E$66:DVN$66))</f>
        <v>0</v>
      </c>
      <c r="DVQ66" s="956">
        <f>MIN(DVQ60*$C$65,Application!$AO$636-SUM('15 Year Pro Forma'!$E$66:DVP$66))</f>
        <v>0</v>
      </c>
      <c r="DVS66" s="956">
        <f>MIN(DVS60*$C$65,Application!$AO$636-SUM('15 Year Pro Forma'!$E$66:DVR$66))</f>
        <v>0</v>
      </c>
      <c r="DVU66" s="956">
        <f>MIN(DVU60*$C$65,Application!$AO$636-SUM('15 Year Pro Forma'!$E$66:DVT$66))</f>
        <v>0</v>
      </c>
      <c r="DVW66" s="956">
        <f>MIN(DVW60*$C$65,Application!$AO$636-SUM('15 Year Pro Forma'!$E$66:DVV$66))</f>
        <v>0</v>
      </c>
      <c r="DVY66" s="956">
        <f>MIN(DVY60*$C$65,Application!$AO$636-SUM('15 Year Pro Forma'!$E$66:DVX$66))</f>
        <v>0</v>
      </c>
      <c r="DWA66" s="956">
        <f>MIN(DWA60*$C$65,Application!$AO$636-SUM('15 Year Pro Forma'!$E$66:DVZ$66))</f>
        <v>0</v>
      </c>
      <c r="DWC66" s="956">
        <f>MIN(DWC60*$C$65,Application!$AO$636-SUM('15 Year Pro Forma'!$E$66:DWB$66))</f>
        <v>0</v>
      </c>
      <c r="DWE66" s="956">
        <f>MIN(DWE60*$C$65,Application!$AO$636-SUM('15 Year Pro Forma'!$E$66:DWD$66))</f>
        <v>0</v>
      </c>
      <c r="DWG66" s="956">
        <f>MIN(DWG60*$C$65,Application!$AO$636-SUM('15 Year Pro Forma'!$E$66:DWF$66))</f>
        <v>0</v>
      </c>
      <c r="DWI66" s="956">
        <f>MIN(DWI60*$C$65,Application!$AO$636-SUM('15 Year Pro Forma'!$E$66:DWH$66))</f>
        <v>0</v>
      </c>
      <c r="DWK66" s="956">
        <f>MIN(DWK60*$C$65,Application!$AO$636-SUM('15 Year Pro Forma'!$E$66:DWJ$66))</f>
        <v>0</v>
      </c>
      <c r="DWM66" s="956">
        <f>MIN(DWM60*$C$65,Application!$AO$636-SUM('15 Year Pro Forma'!$E$66:DWL$66))</f>
        <v>0</v>
      </c>
      <c r="DWO66" s="956">
        <f>MIN(DWO60*$C$65,Application!$AO$636-SUM('15 Year Pro Forma'!$E$66:DWN$66))</f>
        <v>0</v>
      </c>
      <c r="DWQ66" s="956">
        <f>MIN(DWQ60*$C$65,Application!$AO$636-SUM('15 Year Pro Forma'!$E$66:DWP$66))</f>
        <v>0</v>
      </c>
      <c r="DWS66" s="956">
        <f>MIN(DWS60*$C$65,Application!$AO$636-SUM('15 Year Pro Forma'!$E$66:DWR$66))</f>
        <v>0</v>
      </c>
      <c r="DWU66" s="956">
        <f>MIN(DWU60*$C$65,Application!$AO$636-SUM('15 Year Pro Forma'!$E$66:DWT$66))</f>
        <v>0</v>
      </c>
      <c r="DWW66" s="956">
        <f>MIN(DWW60*$C$65,Application!$AO$636-SUM('15 Year Pro Forma'!$E$66:DWV$66))</f>
        <v>0</v>
      </c>
      <c r="DWY66" s="956">
        <f>MIN(DWY60*$C$65,Application!$AO$636-SUM('15 Year Pro Forma'!$E$66:DWX$66))</f>
        <v>0</v>
      </c>
      <c r="DXA66" s="956">
        <f>MIN(DXA60*$C$65,Application!$AO$636-SUM('15 Year Pro Forma'!$E$66:DWZ$66))</f>
        <v>0</v>
      </c>
      <c r="DXC66" s="956">
        <f>MIN(DXC60*$C$65,Application!$AO$636-SUM('15 Year Pro Forma'!$E$66:DXB$66))</f>
        <v>0</v>
      </c>
      <c r="DXE66" s="956">
        <f>MIN(DXE60*$C$65,Application!$AO$636-SUM('15 Year Pro Forma'!$E$66:DXD$66))</f>
        <v>0</v>
      </c>
      <c r="DXG66" s="956">
        <f>MIN(DXG60*$C$65,Application!$AO$636-SUM('15 Year Pro Forma'!$E$66:DXF$66))</f>
        <v>0</v>
      </c>
      <c r="DXI66" s="956">
        <f>MIN(DXI60*$C$65,Application!$AO$636-SUM('15 Year Pro Forma'!$E$66:DXH$66))</f>
        <v>0</v>
      </c>
      <c r="DXK66" s="956">
        <f>MIN(DXK60*$C$65,Application!$AO$636-SUM('15 Year Pro Forma'!$E$66:DXJ$66))</f>
        <v>0</v>
      </c>
      <c r="DXM66" s="956">
        <f>MIN(DXM60*$C$65,Application!$AO$636-SUM('15 Year Pro Forma'!$E$66:DXL$66))</f>
        <v>0</v>
      </c>
      <c r="DXO66" s="956">
        <f>MIN(DXO60*$C$65,Application!$AO$636-SUM('15 Year Pro Forma'!$E$66:DXN$66))</f>
        <v>0</v>
      </c>
      <c r="DXQ66" s="956">
        <f>MIN(DXQ60*$C$65,Application!$AO$636-SUM('15 Year Pro Forma'!$E$66:DXP$66))</f>
        <v>0</v>
      </c>
      <c r="DXS66" s="956">
        <f>MIN(DXS60*$C$65,Application!$AO$636-SUM('15 Year Pro Forma'!$E$66:DXR$66))</f>
        <v>0</v>
      </c>
      <c r="DXU66" s="956">
        <f>MIN(DXU60*$C$65,Application!$AO$636-SUM('15 Year Pro Forma'!$E$66:DXT$66))</f>
        <v>0</v>
      </c>
      <c r="DXW66" s="956">
        <f>MIN(DXW60*$C$65,Application!$AO$636-SUM('15 Year Pro Forma'!$E$66:DXV$66))</f>
        <v>0</v>
      </c>
      <c r="DXY66" s="956">
        <f>MIN(DXY60*$C$65,Application!$AO$636-SUM('15 Year Pro Forma'!$E$66:DXX$66))</f>
        <v>0</v>
      </c>
      <c r="DYA66" s="956">
        <f>MIN(DYA60*$C$65,Application!$AO$636-SUM('15 Year Pro Forma'!$E$66:DXZ$66))</f>
        <v>0</v>
      </c>
      <c r="DYC66" s="956">
        <f>MIN(DYC60*$C$65,Application!$AO$636-SUM('15 Year Pro Forma'!$E$66:DYB$66))</f>
        <v>0</v>
      </c>
      <c r="DYE66" s="956">
        <f>MIN(DYE60*$C$65,Application!$AO$636-SUM('15 Year Pro Forma'!$E$66:DYD$66))</f>
        <v>0</v>
      </c>
      <c r="DYG66" s="956">
        <f>MIN(DYG60*$C$65,Application!$AO$636-SUM('15 Year Pro Forma'!$E$66:DYF$66))</f>
        <v>0</v>
      </c>
      <c r="DYI66" s="956">
        <f>MIN(DYI60*$C$65,Application!$AO$636-SUM('15 Year Pro Forma'!$E$66:DYH$66))</f>
        <v>0</v>
      </c>
      <c r="DYK66" s="956">
        <f>MIN(DYK60*$C$65,Application!$AO$636-SUM('15 Year Pro Forma'!$E$66:DYJ$66))</f>
        <v>0</v>
      </c>
      <c r="DYM66" s="956">
        <f>MIN(DYM60*$C$65,Application!$AO$636-SUM('15 Year Pro Forma'!$E$66:DYL$66))</f>
        <v>0</v>
      </c>
      <c r="DYO66" s="956">
        <f>MIN(DYO60*$C$65,Application!$AO$636-SUM('15 Year Pro Forma'!$E$66:DYN$66))</f>
        <v>0</v>
      </c>
      <c r="DYQ66" s="956">
        <f>MIN(DYQ60*$C$65,Application!$AO$636-SUM('15 Year Pro Forma'!$E$66:DYP$66))</f>
        <v>0</v>
      </c>
      <c r="DYS66" s="956">
        <f>MIN(DYS60*$C$65,Application!$AO$636-SUM('15 Year Pro Forma'!$E$66:DYR$66))</f>
        <v>0</v>
      </c>
      <c r="DYU66" s="956">
        <f>MIN(DYU60*$C$65,Application!$AO$636-SUM('15 Year Pro Forma'!$E$66:DYT$66))</f>
        <v>0</v>
      </c>
      <c r="DYW66" s="956">
        <f>MIN(DYW60*$C$65,Application!$AO$636-SUM('15 Year Pro Forma'!$E$66:DYV$66))</f>
        <v>0</v>
      </c>
      <c r="DYY66" s="956">
        <f>MIN(DYY60*$C$65,Application!$AO$636-SUM('15 Year Pro Forma'!$E$66:DYX$66))</f>
        <v>0</v>
      </c>
      <c r="DZA66" s="956">
        <f>MIN(DZA60*$C$65,Application!$AO$636-SUM('15 Year Pro Forma'!$E$66:DYZ$66))</f>
        <v>0</v>
      </c>
      <c r="DZC66" s="956">
        <f>MIN(DZC60*$C$65,Application!$AO$636-SUM('15 Year Pro Forma'!$E$66:DZB$66))</f>
        <v>0</v>
      </c>
      <c r="DZE66" s="956">
        <f>MIN(DZE60*$C$65,Application!$AO$636-SUM('15 Year Pro Forma'!$E$66:DZD$66))</f>
        <v>0</v>
      </c>
      <c r="DZG66" s="956">
        <f>MIN(DZG60*$C$65,Application!$AO$636-SUM('15 Year Pro Forma'!$E$66:DZF$66))</f>
        <v>0</v>
      </c>
      <c r="DZI66" s="956">
        <f>MIN(DZI60*$C$65,Application!$AO$636-SUM('15 Year Pro Forma'!$E$66:DZH$66))</f>
        <v>0</v>
      </c>
      <c r="DZK66" s="956">
        <f>MIN(DZK60*$C$65,Application!$AO$636-SUM('15 Year Pro Forma'!$E$66:DZJ$66))</f>
        <v>0</v>
      </c>
      <c r="DZM66" s="956">
        <f>MIN(DZM60*$C$65,Application!$AO$636-SUM('15 Year Pro Forma'!$E$66:DZL$66))</f>
        <v>0</v>
      </c>
      <c r="DZO66" s="956">
        <f>MIN(DZO60*$C$65,Application!$AO$636-SUM('15 Year Pro Forma'!$E$66:DZN$66))</f>
        <v>0</v>
      </c>
      <c r="DZQ66" s="956">
        <f>MIN(DZQ60*$C$65,Application!$AO$636-SUM('15 Year Pro Forma'!$E$66:DZP$66))</f>
        <v>0</v>
      </c>
      <c r="DZS66" s="956">
        <f>MIN(DZS60*$C$65,Application!$AO$636-SUM('15 Year Pro Forma'!$E$66:DZR$66))</f>
        <v>0</v>
      </c>
      <c r="DZU66" s="956">
        <f>MIN(DZU60*$C$65,Application!$AO$636-SUM('15 Year Pro Forma'!$E$66:DZT$66))</f>
        <v>0</v>
      </c>
      <c r="DZW66" s="956">
        <f>MIN(DZW60*$C$65,Application!$AO$636-SUM('15 Year Pro Forma'!$E$66:DZV$66))</f>
        <v>0</v>
      </c>
      <c r="DZY66" s="956">
        <f>MIN(DZY60*$C$65,Application!$AO$636-SUM('15 Year Pro Forma'!$E$66:DZX$66))</f>
        <v>0</v>
      </c>
      <c r="EAA66" s="956">
        <f>MIN(EAA60*$C$65,Application!$AO$636-SUM('15 Year Pro Forma'!$E$66:DZZ$66))</f>
        <v>0</v>
      </c>
      <c r="EAC66" s="956">
        <f>MIN(EAC60*$C$65,Application!$AO$636-SUM('15 Year Pro Forma'!$E$66:EAB$66))</f>
        <v>0</v>
      </c>
      <c r="EAE66" s="956">
        <f>MIN(EAE60*$C$65,Application!$AO$636-SUM('15 Year Pro Forma'!$E$66:EAD$66))</f>
        <v>0</v>
      </c>
      <c r="EAG66" s="956">
        <f>MIN(EAG60*$C$65,Application!$AO$636-SUM('15 Year Pro Forma'!$E$66:EAF$66))</f>
        <v>0</v>
      </c>
      <c r="EAI66" s="956">
        <f>MIN(EAI60*$C$65,Application!$AO$636-SUM('15 Year Pro Forma'!$E$66:EAH$66))</f>
        <v>0</v>
      </c>
      <c r="EAK66" s="956">
        <f>MIN(EAK60*$C$65,Application!$AO$636-SUM('15 Year Pro Forma'!$E$66:EAJ$66))</f>
        <v>0</v>
      </c>
      <c r="EAM66" s="956">
        <f>MIN(EAM60*$C$65,Application!$AO$636-SUM('15 Year Pro Forma'!$E$66:EAL$66))</f>
        <v>0</v>
      </c>
      <c r="EAO66" s="956">
        <f>MIN(EAO60*$C$65,Application!$AO$636-SUM('15 Year Pro Forma'!$E$66:EAN$66))</f>
        <v>0</v>
      </c>
      <c r="EAQ66" s="956">
        <f>MIN(EAQ60*$C$65,Application!$AO$636-SUM('15 Year Pro Forma'!$E$66:EAP$66))</f>
        <v>0</v>
      </c>
      <c r="EAS66" s="956">
        <f>MIN(EAS60*$C$65,Application!$AO$636-SUM('15 Year Pro Forma'!$E$66:EAR$66))</f>
        <v>0</v>
      </c>
      <c r="EAU66" s="956">
        <f>MIN(EAU60*$C$65,Application!$AO$636-SUM('15 Year Pro Forma'!$E$66:EAT$66))</f>
        <v>0</v>
      </c>
      <c r="EAW66" s="956">
        <f>MIN(EAW60*$C$65,Application!$AO$636-SUM('15 Year Pro Forma'!$E$66:EAV$66))</f>
        <v>0</v>
      </c>
      <c r="EAY66" s="956">
        <f>MIN(EAY60*$C$65,Application!$AO$636-SUM('15 Year Pro Forma'!$E$66:EAX$66))</f>
        <v>0</v>
      </c>
      <c r="EBA66" s="956">
        <f>MIN(EBA60*$C$65,Application!$AO$636-SUM('15 Year Pro Forma'!$E$66:EAZ$66))</f>
        <v>0</v>
      </c>
      <c r="EBC66" s="956">
        <f>MIN(EBC60*$C$65,Application!$AO$636-SUM('15 Year Pro Forma'!$E$66:EBB$66))</f>
        <v>0</v>
      </c>
      <c r="EBE66" s="956">
        <f>MIN(EBE60*$C$65,Application!$AO$636-SUM('15 Year Pro Forma'!$E$66:EBD$66))</f>
        <v>0</v>
      </c>
      <c r="EBG66" s="956">
        <f>MIN(EBG60*$C$65,Application!$AO$636-SUM('15 Year Pro Forma'!$E$66:EBF$66))</f>
        <v>0</v>
      </c>
      <c r="EBI66" s="956">
        <f>MIN(EBI60*$C$65,Application!$AO$636-SUM('15 Year Pro Forma'!$E$66:EBH$66))</f>
        <v>0</v>
      </c>
      <c r="EBK66" s="956">
        <f>MIN(EBK60*$C$65,Application!$AO$636-SUM('15 Year Pro Forma'!$E$66:EBJ$66))</f>
        <v>0</v>
      </c>
      <c r="EBM66" s="956">
        <f>MIN(EBM60*$C$65,Application!$AO$636-SUM('15 Year Pro Forma'!$E$66:EBL$66))</f>
        <v>0</v>
      </c>
      <c r="EBO66" s="956">
        <f>MIN(EBO60*$C$65,Application!$AO$636-SUM('15 Year Pro Forma'!$E$66:EBN$66))</f>
        <v>0</v>
      </c>
      <c r="EBQ66" s="956">
        <f>MIN(EBQ60*$C$65,Application!$AO$636-SUM('15 Year Pro Forma'!$E$66:EBP$66))</f>
        <v>0</v>
      </c>
      <c r="EBS66" s="956">
        <f>MIN(EBS60*$C$65,Application!$AO$636-SUM('15 Year Pro Forma'!$E$66:EBR$66))</f>
        <v>0</v>
      </c>
      <c r="EBU66" s="956">
        <f>MIN(EBU60*$C$65,Application!$AO$636-SUM('15 Year Pro Forma'!$E$66:EBT$66))</f>
        <v>0</v>
      </c>
      <c r="EBW66" s="956">
        <f>MIN(EBW60*$C$65,Application!$AO$636-SUM('15 Year Pro Forma'!$E$66:EBV$66))</f>
        <v>0</v>
      </c>
      <c r="EBY66" s="956">
        <f>MIN(EBY60*$C$65,Application!$AO$636-SUM('15 Year Pro Forma'!$E$66:EBX$66))</f>
        <v>0</v>
      </c>
      <c r="ECA66" s="956">
        <f>MIN(ECA60*$C$65,Application!$AO$636-SUM('15 Year Pro Forma'!$E$66:EBZ$66))</f>
        <v>0</v>
      </c>
      <c r="ECC66" s="956">
        <f>MIN(ECC60*$C$65,Application!$AO$636-SUM('15 Year Pro Forma'!$E$66:ECB$66))</f>
        <v>0</v>
      </c>
      <c r="ECE66" s="956">
        <f>MIN(ECE60*$C$65,Application!$AO$636-SUM('15 Year Pro Forma'!$E$66:ECD$66))</f>
        <v>0</v>
      </c>
      <c r="ECG66" s="956">
        <f>MIN(ECG60*$C$65,Application!$AO$636-SUM('15 Year Pro Forma'!$E$66:ECF$66))</f>
        <v>0</v>
      </c>
      <c r="ECI66" s="956">
        <f>MIN(ECI60*$C$65,Application!$AO$636-SUM('15 Year Pro Forma'!$E$66:ECH$66))</f>
        <v>0</v>
      </c>
      <c r="ECK66" s="956">
        <f>MIN(ECK60*$C$65,Application!$AO$636-SUM('15 Year Pro Forma'!$E$66:ECJ$66))</f>
        <v>0</v>
      </c>
      <c r="ECM66" s="956">
        <f>MIN(ECM60*$C$65,Application!$AO$636-SUM('15 Year Pro Forma'!$E$66:ECL$66))</f>
        <v>0</v>
      </c>
      <c r="ECO66" s="956">
        <f>MIN(ECO60*$C$65,Application!$AO$636-SUM('15 Year Pro Forma'!$E$66:ECN$66))</f>
        <v>0</v>
      </c>
      <c r="ECQ66" s="956">
        <f>MIN(ECQ60*$C$65,Application!$AO$636-SUM('15 Year Pro Forma'!$E$66:ECP$66))</f>
        <v>0</v>
      </c>
      <c r="ECS66" s="956">
        <f>MIN(ECS60*$C$65,Application!$AO$636-SUM('15 Year Pro Forma'!$E$66:ECR$66))</f>
        <v>0</v>
      </c>
      <c r="ECU66" s="956">
        <f>MIN(ECU60*$C$65,Application!$AO$636-SUM('15 Year Pro Forma'!$E$66:ECT$66))</f>
        <v>0</v>
      </c>
      <c r="ECW66" s="956">
        <f>MIN(ECW60*$C$65,Application!$AO$636-SUM('15 Year Pro Forma'!$E$66:ECV$66))</f>
        <v>0</v>
      </c>
      <c r="ECY66" s="956">
        <f>MIN(ECY60*$C$65,Application!$AO$636-SUM('15 Year Pro Forma'!$E$66:ECX$66))</f>
        <v>0</v>
      </c>
      <c r="EDA66" s="956">
        <f>MIN(EDA60*$C$65,Application!$AO$636-SUM('15 Year Pro Forma'!$E$66:ECZ$66))</f>
        <v>0</v>
      </c>
      <c r="EDC66" s="956">
        <f>MIN(EDC60*$C$65,Application!$AO$636-SUM('15 Year Pro Forma'!$E$66:EDB$66))</f>
        <v>0</v>
      </c>
      <c r="EDE66" s="956">
        <f>MIN(EDE60*$C$65,Application!$AO$636-SUM('15 Year Pro Forma'!$E$66:EDD$66))</f>
        <v>0</v>
      </c>
      <c r="EDG66" s="956">
        <f>MIN(EDG60*$C$65,Application!$AO$636-SUM('15 Year Pro Forma'!$E$66:EDF$66))</f>
        <v>0</v>
      </c>
      <c r="EDI66" s="956">
        <f>MIN(EDI60*$C$65,Application!$AO$636-SUM('15 Year Pro Forma'!$E$66:EDH$66))</f>
        <v>0</v>
      </c>
      <c r="EDK66" s="956">
        <f>MIN(EDK60*$C$65,Application!$AO$636-SUM('15 Year Pro Forma'!$E$66:EDJ$66))</f>
        <v>0</v>
      </c>
      <c r="EDM66" s="956">
        <f>MIN(EDM60*$C$65,Application!$AO$636-SUM('15 Year Pro Forma'!$E$66:EDL$66))</f>
        <v>0</v>
      </c>
      <c r="EDO66" s="956">
        <f>MIN(EDO60*$C$65,Application!$AO$636-SUM('15 Year Pro Forma'!$E$66:EDN$66))</f>
        <v>0</v>
      </c>
      <c r="EDQ66" s="956">
        <f>MIN(EDQ60*$C$65,Application!$AO$636-SUM('15 Year Pro Forma'!$E$66:EDP$66))</f>
        <v>0</v>
      </c>
      <c r="EDS66" s="956">
        <f>MIN(EDS60*$C$65,Application!$AO$636-SUM('15 Year Pro Forma'!$E$66:EDR$66))</f>
        <v>0</v>
      </c>
      <c r="EDU66" s="956">
        <f>MIN(EDU60*$C$65,Application!$AO$636-SUM('15 Year Pro Forma'!$E$66:EDT$66))</f>
        <v>0</v>
      </c>
      <c r="EDW66" s="956">
        <f>MIN(EDW60*$C$65,Application!$AO$636-SUM('15 Year Pro Forma'!$E$66:EDV$66))</f>
        <v>0</v>
      </c>
      <c r="EDY66" s="956">
        <f>MIN(EDY60*$C$65,Application!$AO$636-SUM('15 Year Pro Forma'!$E$66:EDX$66))</f>
        <v>0</v>
      </c>
      <c r="EEA66" s="956">
        <f>MIN(EEA60*$C$65,Application!$AO$636-SUM('15 Year Pro Forma'!$E$66:EDZ$66))</f>
        <v>0</v>
      </c>
      <c r="EEC66" s="956">
        <f>MIN(EEC60*$C$65,Application!$AO$636-SUM('15 Year Pro Forma'!$E$66:EEB$66))</f>
        <v>0</v>
      </c>
      <c r="EEE66" s="956">
        <f>MIN(EEE60*$C$65,Application!$AO$636-SUM('15 Year Pro Forma'!$E$66:EED$66))</f>
        <v>0</v>
      </c>
      <c r="EEG66" s="956">
        <f>MIN(EEG60*$C$65,Application!$AO$636-SUM('15 Year Pro Forma'!$E$66:EEF$66))</f>
        <v>0</v>
      </c>
      <c r="EEI66" s="956">
        <f>MIN(EEI60*$C$65,Application!$AO$636-SUM('15 Year Pro Forma'!$E$66:EEH$66))</f>
        <v>0</v>
      </c>
      <c r="EEK66" s="956">
        <f>MIN(EEK60*$C$65,Application!$AO$636-SUM('15 Year Pro Forma'!$E$66:EEJ$66))</f>
        <v>0</v>
      </c>
      <c r="EEM66" s="956">
        <f>MIN(EEM60*$C$65,Application!$AO$636-SUM('15 Year Pro Forma'!$E$66:EEL$66))</f>
        <v>0</v>
      </c>
      <c r="EEO66" s="956">
        <f>MIN(EEO60*$C$65,Application!$AO$636-SUM('15 Year Pro Forma'!$E$66:EEN$66))</f>
        <v>0</v>
      </c>
      <c r="EEQ66" s="956">
        <f>MIN(EEQ60*$C$65,Application!$AO$636-SUM('15 Year Pro Forma'!$E$66:EEP$66))</f>
        <v>0</v>
      </c>
      <c r="EES66" s="956">
        <f>MIN(EES60*$C$65,Application!$AO$636-SUM('15 Year Pro Forma'!$E$66:EER$66))</f>
        <v>0</v>
      </c>
      <c r="EEU66" s="956">
        <f>MIN(EEU60*$C$65,Application!$AO$636-SUM('15 Year Pro Forma'!$E$66:EET$66))</f>
        <v>0</v>
      </c>
      <c r="EEW66" s="956">
        <f>MIN(EEW60*$C$65,Application!$AO$636-SUM('15 Year Pro Forma'!$E$66:EEV$66))</f>
        <v>0</v>
      </c>
      <c r="EEY66" s="956">
        <f>MIN(EEY60*$C$65,Application!$AO$636-SUM('15 Year Pro Forma'!$E$66:EEX$66))</f>
        <v>0</v>
      </c>
      <c r="EFA66" s="956">
        <f>MIN(EFA60*$C$65,Application!$AO$636-SUM('15 Year Pro Forma'!$E$66:EEZ$66))</f>
        <v>0</v>
      </c>
      <c r="EFC66" s="956">
        <f>MIN(EFC60*$C$65,Application!$AO$636-SUM('15 Year Pro Forma'!$E$66:EFB$66))</f>
        <v>0</v>
      </c>
      <c r="EFE66" s="956">
        <f>MIN(EFE60*$C$65,Application!$AO$636-SUM('15 Year Pro Forma'!$E$66:EFD$66))</f>
        <v>0</v>
      </c>
      <c r="EFG66" s="956">
        <f>MIN(EFG60*$C$65,Application!$AO$636-SUM('15 Year Pro Forma'!$E$66:EFF$66))</f>
        <v>0</v>
      </c>
      <c r="EFI66" s="956">
        <f>MIN(EFI60*$C$65,Application!$AO$636-SUM('15 Year Pro Forma'!$E$66:EFH$66))</f>
        <v>0</v>
      </c>
      <c r="EFK66" s="956">
        <f>MIN(EFK60*$C$65,Application!$AO$636-SUM('15 Year Pro Forma'!$E$66:EFJ$66))</f>
        <v>0</v>
      </c>
      <c r="EFM66" s="956">
        <f>MIN(EFM60*$C$65,Application!$AO$636-SUM('15 Year Pro Forma'!$E$66:EFL$66))</f>
        <v>0</v>
      </c>
      <c r="EFO66" s="956">
        <f>MIN(EFO60*$C$65,Application!$AO$636-SUM('15 Year Pro Forma'!$E$66:EFN$66))</f>
        <v>0</v>
      </c>
      <c r="EFQ66" s="956">
        <f>MIN(EFQ60*$C$65,Application!$AO$636-SUM('15 Year Pro Forma'!$E$66:EFP$66))</f>
        <v>0</v>
      </c>
      <c r="EFS66" s="956">
        <f>MIN(EFS60*$C$65,Application!$AO$636-SUM('15 Year Pro Forma'!$E$66:EFR$66))</f>
        <v>0</v>
      </c>
      <c r="EFU66" s="956">
        <f>MIN(EFU60*$C$65,Application!$AO$636-SUM('15 Year Pro Forma'!$E$66:EFT$66))</f>
        <v>0</v>
      </c>
      <c r="EFW66" s="956">
        <f>MIN(EFW60*$C$65,Application!$AO$636-SUM('15 Year Pro Forma'!$E$66:EFV$66))</f>
        <v>0</v>
      </c>
      <c r="EFY66" s="956">
        <f>MIN(EFY60*$C$65,Application!$AO$636-SUM('15 Year Pro Forma'!$E$66:EFX$66))</f>
        <v>0</v>
      </c>
      <c r="EGA66" s="956">
        <f>MIN(EGA60*$C$65,Application!$AO$636-SUM('15 Year Pro Forma'!$E$66:EFZ$66))</f>
        <v>0</v>
      </c>
      <c r="EGC66" s="956">
        <f>MIN(EGC60*$C$65,Application!$AO$636-SUM('15 Year Pro Forma'!$E$66:EGB$66))</f>
        <v>0</v>
      </c>
      <c r="EGE66" s="956">
        <f>MIN(EGE60*$C$65,Application!$AO$636-SUM('15 Year Pro Forma'!$E$66:EGD$66))</f>
        <v>0</v>
      </c>
      <c r="EGG66" s="956">
        <f>MIN(EGG60*$C$65,Application!$AO$636-SUM('15 Year Pro Forma'!$E$66:EGF$66))</f>
        <v>0</v>
      </c>
      <c r="EGI66" s="956">
        <f>MIN(EGI60*$C$65,Application!$AO$636-SUM('15 Year Pro Forma'!$E$66:EGH$66))</f>
        <v>0</v>
      </c>
      <c r="EGK66" s="956">
        <f>MIN(EGK60*$C$65,Application!$AO$636-SUM('15 Year Pro Forma'!$E$66:EGJ$66))</f>
        <v>0</v>
      </c>
      <c r="EGM66" s="956">
        <f>MIN(EGM60*$C$65,Application!$AO$636-SUM('15 Year Pro Forma'!$E$66:EGL$66))</f>
        <v>0</v>
      </c>
      <c r="EGO66" s="956">
        <f>MIN(EGO60*$C$65,Application!$AO$636-SUM('15 Year Pro Forma'!$E$66:EGN$66))</f>
        <v>0</v>
      </c>
      <c r="EGQ66" s="956">
        <f>MIN(EGQ60*$C$65,Application!$AO$636-SUM('15 Year Pro Forma'!$E$66:EGP$66))</f>
        <v>0</v>
      </c>
      <c r="EGS66" s="956">
        <f>MIN(EGS60*$C$65,Application!$AO$636-SUM('15 Year Pro Forma'!$E$66:EGR$66))</f>
        <v>0</v>
      </c>
      <c r="EGU66" s="956">
        <f>MIN(EGU60*$C$65,Application!$AO$636-SUM('15 Year Pro Forma'!$E$66:EGT$66))</f>
        <v>0</v>
      </c>
      <c r="EGW66" s="956">
        <f>MIN(EGW60*$C$65,Application!$AO$636-SUM('15 Year Pro Forma'!$E$66:EGV$66))</f>
        <v>0</v>
      </c>
      <c r="EGY66" s="956">
        <f>MIN(EGY60*$C$65,Application!$AO$636-SUM('15 Year Pro Forma'!$E$66:EGX$66))</f>
        <v>0</v>
      </c>
      <c r="EHA66" s="956">
        <f>MIN(EHA60*$C$65,Application!$AO$636-SUM('15 Year Pro Forma'!$E$66:EGZ$66))</f>
        <v>0</v>
      </c>
      <c r="EHC66" s="956">
        <f>MIN(EHC60*$C$65,Application!$AO$636-SUM('15 Year Pro Forma'!$E$66:EHB$66))</f>
        <v>0</v>
      </c>
      <c r="EHE66" s="956">
        <f>MIN(EHE60*$C$65,Application!$AO$636-SUM('15 Year Pro Forma'!$E$66:EHD$66))</f>
        <v>0</v>
      </c>
      <c r="EHG66" s="956">
        <f>MIN(EHG60*$C$65,Application!$AO$636-SUM('15 Year Pro Forma'!$E$66:EHF$66))</f>
        <v>0</v>
      </c>
      <c r="EHI66" s="956">
        <f>MIN(EHI60*$C$65,Application!$AO$636-SUM('15 Year Pro Forma'!$E$66:EHH$66))</f>
        <v>0</v>
      </c>
      <c r="EHK66" s="956">
        <f>MIN(EHK60*$C$65,Application!$AO$636-SUM('15 Year Pro Forma'!$E$66:EHJ$66))</f>
        <v>0</v>
      </c>
      <c r="EHM66" s="956">
        <f>MIN(EHM60*$C$65,Application!$AO$636-SUM('15 Year Pro Forma'!$E$66:EHL$66))</f>
        <v>0</v>
      </c>
      <c r="EHO66" s="956">
        <f>MIN(EHO60*$C$65,Application!$AO$636-SUM('15 Year Pro Forma'!$E$66:EHN$66))</f>
        <v>0</v>
      </c>
      <c r="EHQ66" s="956">
        <f>MIN(EHQ60*$C$65,Application!$AO$636-SUM('15 Year Pro Forma'!$E$66:EHP$66))</f>
        <v>0</v>
      </c>
      <c r="EHS66" s="956">
        <f>MIN(EHS60*$C$65,Application!$AO$636-SUM('15 Year Pro Forma'!$E$66:EHR$66))</f>
        <v>0</v>
      </c>
      <c r="EHU66" s="956">
        <f>MIN(EHU60*$C$65,Application!$AO$636-SUM('15 Year Pro Forma'!$E$66:EHT$66))</f>
        <v>0</v>
      </c>
      <c r="EHW66" s="956">
        <f>MIN(EHW60*$C$65,Application!$AO$636-SUM('15 Year Pro Forma'!$E$66:EHV$66))</f>
        <v>0</v>
      </c>
      <c r="EHY66" s="956">
        <f>MIN(EHY60*$C$65,Application!$AO$636-SUM('15 Year Pro Forma'!$E$66:EHX$66))</f>
        <v>0</v>
      </c>
      <c r="EIA66" s="956">
        <f>MIN(EIA60*$C$65,Application!$AO$636-SUM('15 Year Pro Forma'!$E$66:EHZ$66))</f>
        <v>0</v>
      </c>
      <c r="EIC66" s="956">
        <f>MIN(EIC60*$C$65,Application!$AO$636-SUM('15 Year Pro Forma'!$E$66:EIB$66))</f>
        <v>0</v>
      </c>
      <c r="EIE66" s="956">
        <f>MIN(EIE60*$C$65,Application!$AO$636-SUM('15 Year Pro Forma'!$E$66:EID$66))</f>
        <v>0</v>
      </c>
      <c r="EIG66" s="956">
        <f>MIN(EIG60*$C$65,Application!$AO$636-SUM('15 Year Pro Forma'!$E$66:EIF$66))</f>
        <v>0</v>
      </c>
      <c r="EII66" s="956">
        <f>MIN(EII60*$C$65,Application!$AO$636-SUM('15 Year Pro Forma'!$E$66:EIH$66))</f>
        <v>0</v>
      </c>
      <c r="EIK66" s="956">
        <f>MIN(EIK60*$C$65,Application!$AO$636-SUM('15 Year Pro Forma'!$E$66:EIJ$66))</f>
        <v>0</v>
      </c>
      <c r="EIM66" s="956">
        <f>MIN(EIM60*$C$65,Application!$AO$636-SUM('15 Year Pro Forma'!$E$66:EIL$66))</f>
        <v>0</v>
      </c>
      <c r="EIO66" s="956">
        <f>MIN(EIO60*$C$65,Application!$AO$636-SUM('15 Year Pro Forma'!$E$66:EIN$66))</f>
        <v>0</v>
      </c>
      <c r="EIQ66" s="956">
        <f>MIN(EIQ60*$C$65,Application!$AO$636-SUM('15 Year Pro Forma'!$E$66:EIP$66))</f>
        <v>0</v>
      </c>
      <c r="EIS66" s="956">
        <f>MIN(EIS60*$C$65,Application!$AO$636-SUM('15 Year Pro Forma'!$E$66:EIR$66))</f>
        <v>0</v>
      </c>
      <c r="EIU66" s="956">
        <f>MIN(EIU60*$C$65,Application!$AO$636-SUM('15 Year Pro Forma'!$E$66:EIT$66))</f>
        <v>0</v>
      </c>
      <c r="EIW66" s="956">
        <f>MIN(EIW60*$C$65,Application!$AO$636-SUM('15 Year Pro Forma'!$E$66:EIV$66))</f>
        <v>0</v>
      </c>
      <c r="EIY66" s="956">
        <f>MIN(EIY60*$C$65,Application!$AO$636-SUM('15 Year Pro Forma'!$E$66:EIX$66))</f>
        <v>0</v>
      </c>
      <c r="EJA66" s="956">
        <f>MIN(EJA60*$C$65,Application!$AO$636-SUM('15 Year Pro Forma'!$E$66:EIZ$66))</f>
        <v>0</v>
      </c>
      <c r="EJC66" s="956">
        <f>MIN(EJC60*$C$65,Application!$AO$636-SUM('15 Year Pro Forma'!$E$66:EJB$66))</f>
        <v>0</v>
      </c>
      <c r="EJE66" s="956">
        <f>MIN(EJE60*$C$65,Application!$AO$636-SUM('15 Year Pro Forma'!$E$66:EJD$66))</f>
        <v>0</v>
      </c>
      <c r="EJG66" s="956">
        <f>MIN(EJG60*$C$65,Application!$AO$636-SUM('15 Year Pro Forma'!$E$66:EJF$66))</f>
        <v>0</v>
      </c>
      <c r="EJI66" s="956">
        <f>MIN(EJI60*$C$65,Application!$AO$636-SUM('15 Year Pro Forma'!$E$66:EJH$66))</f>
        <v>0</v>
      </c>
      <c r="EJK66" s="956">
        <f>MIN(EJK60*$C$65,Application!$AO$636-SUM('15 Year Pro Forma'!$E$66:EJJ$66))</f>
        <v>0</v>
      </c>
      <c r="EJM66" s="956">
        <f>MIN(EJM60*$C$65,Application!$AO$636-SUM('15 Year Pro Forma'!$E$66:EJL$66))</f>
        <v>0</v>
      </c>
      <c r="EJO66" s="956">
        <f>MIN(EJO60*$C$65,Application!$AO$636-SUM('15 Year Pro Forma'!$E$66:EJN$66))</f>
        <v>0</v>
      </c>
      <c r="EJQ66" s="956">
        <f>MIN(EJQ60*$C$65,Application!$AO$636-SUM('15 Year Pro Forma'!$E$66:EJP$66))</f>
        <v>0</v>
      </c>
      <c r="EJS66" s="956">
        <f>MIN(EJS60*$C$65,Application!$AO$636-SUM('15 Year Pro Forma'!$E$66:EJR$66))</f>
        <v>0</v>
      </c>
      <c r="EJU66" s="956">
        <f>MIN(EJU60*$C$65,Application!$AO$636-SUM('15 Year Pro Forma'!$E$66:EJT$66))</f>
        <v>0</v>
      </c>
      <c r="EJW66" s="956">
        <f>MIN(EJW60*$C$65,Application!$AO$636-SUM('15 Year Pro Forma'!$E$66:EJV$66))</f>
        <v>0</v>
      </c>
      <c r="EJY66" s="956">
        <f>MIN(EJY60*$C$65,Application!$AO$636-SUM('15 Year Pro Forma'!$E$66:EJX$66))</f>
        <v>0</v>
      </c>
      <c r="EKA66" s="956">
        <f>MIN(EKA60*$C$65,Application!$AO$636-SUM('15 Year Pro Forma'!$E$66:EJZ$66))</f>
        <v>0</v>
      </c>
      <c r="EKC66" s="956">
        <f>MIN(EKC60*$C$65,Application!$AO$636-SUM('15 Year Pro Forma'!$E$66:EKB$66))</f>
        <v>0</v>
      </c>
      <c r="EKE66" s="956">
        <f>MIN(EKE60*$C$65,Application!$AO$636-SUM('15 Year Pro Forma'!$E$66:EKD$66))</f>
        <v>0</v>
      </c>
      <c r="EKG66" s="956">
        <f>MIN(EKG60*$C$65,Application!$AO$636-SUM('15 Year Pro Forma'!$E$66:EKF$66))</f>
        <v>0</v>
      </c>
      <c r="EKI66" s="956">
        <f>MIN(EKI60*$C$65,Application!$AO$636-SUM('15 Year Pro Forma'!$E$66:EKH$66))</f>
        <v>0</v>
      </c>
      <c r="EKK66" s="956">
        <f>MIN(EKK60*$C$65,Application!$AO$636-SUM('15 Year Pro Forma'!$E$66:EKJ$66))</f>
        <v>0</v>
      </c>
      <c r="EKM66" s="956">
        <f>MIN(EKM60*$C$65,Application!$AO$636-SUM('15 Year Pro Forma'!$E$66:EKL$66))</f>
        <v>0</v>
      </c>
      <c r="EKO66" s="956">
        <f>MIN(EKO60*$C$65,Application!$AO$636-SUM('15 Year Pro Forma'!$E$66:EKN$66))</f>
        <v>0</v>
      </c>
      <c r="EKQ66" s="956">
        <f>MIN(EKQ60*$C$65,Application!$AO$636-SUM('15 Year Pro Forma'!$E$66:EKP$66))</f>
        <v>0</v>
      </c>
      <c r="EKS66" s="956">
        <f>MIN(EKS60*$C$65,Application!$AO$636-SUM('15 Year Pro Forma'!$E$66:EKR$66))</f>
        <v>0</v>
      </c>
      <c r="EKU66" s="956">
        <f>MIN(EKU60*$C$65,Application!$AO$636-SUM('15 Year Pro Forma'!$E$66:EKT$66))</f>
        <v>0</v>
      </c>
      <c r="EKW66" s="956">
        <f>MIN(EKW60*$C$65,Application!$AO$636-SUM('15 Year Pro Forma'!$E$66:EKV$66))</f>
        <v>0</v>
      </c>
      <c r="EKY66" s="956">
        <f>MIN(EKY60*$C$65,Application!$AO$636-SUM('15 Year Pro Forma'!$E$66:EKX$66))</f>
        <v>0</v>
      </c>
      <c r="ELA66" s="956">
        <f>MIN(ELA60*$C$65,Application!$AO$636-SUM('15 Year Pro Forma'!$E$66:EKZ$66))</f>
        <v>0</v>
      </c>
      <c r="ELC66" s="956">
        <f>MIN(ELC60*$C$65,Application!$AO$636-SUM('15 Year Pro Forma'!$E$66:ELB$66))</f>
        <v>0</v>
      </c>
      <c r="ELE66" s="956">
        <f>MIN(ELE60*$C$65,Application!$AO$636-SUM('15 Year Pro Forma'!$E$66:ELD$66))</f>
        <v>0</v>
      </c>
      <c r="ELG66" s="956">
        <f>MIN(ELG60*$C$65,Application!$AO$636-SUM('15 Year Pro Forma'!$E$66:ELF$66))</f>
        <v>0</v>
      </c>
      <c r="ELI66" s="956">
        <f>MIN(ELI60*$C$65,Application!$AO$636-SUM('15 Year Pro Forma'!$E$66:ELH$66))</f>
        <v>0</v>
      </c>
      <c r="ELK66" s="956">
        <f>MIN(ELK60*$C$65,Application!$AO$636-SUM('15 Year Pro Forma'!$E$66:ELJ$66))</f>
        <v>0</v>
      </c>
      <c r="ELM66" s="956">
        <f>MIN(ELM60*$C$65,Application!$AO$636-SUM('15 Year Pro Forma'!$E$66:ELL$66))</f>
        <v>0</v>
      </c>
      <c r="ELO66" s="956">
        <f>MIN(ELO60*$C$65,Application!$AO$636-SUM('15 Year Pro Forma'!$E$66:ELN$66))</f>
        <v>0</v>
      </c>
      <c r="ELQ66" s="956">
        <f>MIN(ELQ60*$C$65,Application!$AO$636-SUM('15 Year Pro Forma'!$E$66:ELP$66))</f>
        <v>0</v>
      </c>
      <c r="ELS66" s="956">
        <f>MIN(ELS60*$C$65,Application!$AO$636-SUM('15 Year Pro Forma'!$E$66:ELR$66))</f>
        <v>0</v>
      </c>
      <c r="ELU66" s="956">
        <f>MIN(ELU60*$C$65,Application!$AO$636-SUM('15 Year Pro Forma'!$E$66:ELT$66))</f>
        <v>0</v>
      </c>
      <c r="ELW66" s="956">
        <f>MIN(ELW60*$C$65,Application!$AO$636-SUM('15 Year Pro Forma'!$E$66:ELV$66))</f>
        <v>0</v>
      </c>
      <c r="ELY66" s="956">
        <f>MIN(ELY60*$C$65,Application!$AO$636-SUM('15 Year Pro Forma'!$E$66:ELX$66))</f>
        <v>0</v>
      </c>
      <c r="EMA66" s="956">
        <f>MIN(EMA60*$C$65,Application!$AO$636-SUM('15 Year Pro Forma'!$E$66:ELZ$66))</f>
        <v>0</v>
      </c>
      <c r="EMC66" s="956">
        <f>MIN(EMC60*$C$65,Application!$AO$636-SUM('15 Year Pro Forma'!$E$66:EMB$66))</f>
        <v>0</v>
      </c>
      <c r="EME66" s="956">
        <f>MIN(EME60*$C$65,Application!$AO$636-SUM('15 Year Pro Forma'!$E$66:EMD$66))</f>
        <v>0</v>
      </c>
      <c r="EMG66" s="956">
        <f>MIN(EMG60*$C$65,Application!$AO$636-SUM('15 Year Pro Forma'!$E$66:EMF$66))</f>
        <v>0</v>
      </c>
      <c r="EMI66" s="956">
        <f>MIN(EMI60*$C$65,Application!$AO$636-SUM('15 Year Pro Forma'!$E$66:EMH$66))</f>
        <v>0</v>
      </c>
      <c r="EMK66" s="956">
        <f>MIN(EMK60*$C$65,Application!$AO$636-SUM('15 Year Pro Forma'!$E$66:EMJ$66))</f>
        <v>0</v>
      </c>
      <c r="EMM66" s="956">
        <f>MIN(EMM60*$C$65,Application!$AO$636-SUM('15 Year Pro Forma'!$E$66:EML$66))</f>
        <v>0</v>
      </c>
      <c r="EMO66" s="956">
        <f>MIN(EMO60*$C$65,Application!$AO$636-SUM('15 Year Pro Forma'!$E$66:EMN$66))</f>
        <v>0</v>
      </c>
      <c r="EMQ66" s="956">
        <f>MIN(EMQ60*$C$65,Application!$AO$636-SUM('15 Year Pro Forma'!$E$66:EMP$66))</f>
        <v>0</v>
      </c>
      <c r="EMS66" s="956">
        <f>MIN(EMS60*$C$65,Application!$AO$636-SUM('15 Year Pro Forma'!$E$66:EMR$66))</f>
        <v>0</v>
      </c>
      <c r="EMU66" s="956">
        <f>MIN(EMU60*$C$65,Application!$AO$636-SUM('15 Year Pro Forma'!$E$66:EMT$66))</f>
        <v>0</v>
      </c>
      <c r="EMW66" s="956">
        <f>MIN(EMW60*$C$65,Application!$AO$636-SUM('15 Year Pro Forma'!$E$66:EMV$66))</f>
        <v>0</v>
      </c>
      <c r="EMY66" s="956">
        <f>MIN(EMY60*$C$65,Application!$AO$636-SUM('15 Year Pro Forma'!$E$66:EMX$66))</f>
        <v>0</v>
      </c>
      <c r="ENA66" s="956">
        <f>MIN(ENA60*$C$65,Application!$AO$636-SUM('15 Year Pro Forma'!$E$66:EMZ$66))</f>
        <v>0</v>
      </c>
      <c r="ENC66" s="956">
        <f>MIN(ENC60*$C$65,Application!$AO$636-SUM('15 Year Pro Forma'!$E$66:ENB$66))</f>
        <v>0</v>
      </c>
      <c r="ENE66" s="956">
        <f>MIN(ENE60*$C$65,Application!$AO$636-SUM('15 Year Pro Forma'!$E$66:END$66))</f>
        <v>0</v>
      </c>
      <c r="ENG66" s="956">
        <f>MIN(ENG60*$C$65,Application!$AO$636-SUM('15 Year Pro Forma'!$E$66:ENF$66))</f>
        <v>0</v>
      </c>
      <c r="ENI66" s="956">
        <f>MIN(ENI60*$C$65,Application!$AO$636-SUM('15 Year Pro Forma'!$E$66:ENH$66))</f>
        <v>0</v>
      </c>
      <c r="ENK66" s="956">
        <f>MIN(ENK60*$C$65,Application!$AO$636-SUM('15 Year Pro Forma'!$E$66:ENJ$66))</f>
        <v>0</v>
      </c>
      <c r="ENM66" s="956">
        <f>MIN(ENM60*$C$65,Application!$AO$636-SUM('15 Year Pro Forma'!$E$66:ENL$66))</f>
        <v>0</v>
      </c>
      <c r="ENO66" s="956">
        <f>MIN(ENO60*$C$65,Application!$AO$636-SUM('15 Year Pro Forma'!$E$66:ENN$66))</f>
        <v>0</v>
      </c>
      <c r="ENQ66" s="956">
        <f>MIN(ENQ60*$C$65,Application!$AO$636-SUM('15 Year Pro Forma'!$E$66:ENP$66))</f>
        <v>0</v>
      </c>
      <c r="ENS66" s="956">
        <f>MIN(ENS60*$C$65,Application!$AO$636-SUM('15 Year Pro Forma'!$E$66:ENR$66))</f>
        <v>0</v>
      </c>
      <c r="ENU66" s="956">
        <f>MIN(ENU60*$C$65,Application!$AO$636-SUM('15 Year Pro Forma'!$E$66:ENT$66))</f>
        <v>0</v>
      </c>
      <c r="ENW66" s="956">
        <f>MIN(ENW60*$C$65,Application!$AO$636-SUM('15 Year Pro Forma'!$E$66:ENV$66))</f>
        <v>0</v>
      </c>
      <c r="ENY66" s="956">
        <f>MIN(ENY60*$C$65,Application!$AO$636-SUM('15 Year Pro Forma'!$E$66:ENX$66))</f>
        <v>0</v>
      </c>
      <c r="EOA66" s="956">
        <f>MIN(EOA60*$C$65,Application!$AO$636-SUM('15 Year Pro Forma'!$E$66:ENZ$66))</f>
        <v>0</v>
      </c>
      <c r="EOC66" s="956">
        <f>MIN(EOC60*$C$65,Application!$AO$636-SUM('15 Year Pro Forma'!$E$66:EOB$66))</f>
        <v>0</v>
      </c>
      <c r="EOE66" s="956">
        <f>MIN(EOE60*$C$65,Application!$AO$636-SUM('15 Year Pro Forma'!$E$66:EOD$66))</f>
        <v>0</v>
      </c>
      <c r="EOG66" s="956">
        <f>MIN(EOG60*$C$65,Application!$AO$636-SUM('15 Year Pro Forma'!$E$66:EOF$66))</f>
        <v>0</v>
      </c>
      <c r="EOI66" s="956">
        <f>MIN(EOI60*$C$65,Application!$AO$636-SUM('15 Year Pro Forma'!$E$66:EOH$66))</f>
        <v>0</v>
      </c>
      <c r="EOK66" s="956">
        <f>MIN(EOK60*$C$65,Application!$AO$636-SUM('15 Year Pro Forma'!$E$66:EOJ$66))</f>
        <v>0</v>
      </c>
      <c r="EOM66" s="956">
        <f>MIN(EOM60*$C$65,Application!$AO$636-SUM('15 Year Pro Forma'!$E$66:EOL$66))</f>
        <v>0</v>
      </c>
      <c r="EOO66" s="956">
        <f>MIN(EOO60*$C$65,Application!$AO$636-SUM('15 Year Pro Forma'!$E$66:EON$66))</f>
        <v>0</v>
      </c>
      <c r="EOQ66" s="956">
        <f>MIN(EOQ60*$C$65,Application!$AO$636-SUM('15 Year Pro Forma'!$E$66:EOP$66))</f>
        <v>0</v>
      </c>
      <c r="EOS66" s="956">
        <f>MIN(EOS60*$C$65,Application!$AO$636-SUM('15 Year Pro Forma'!$E$66:EOR$66))</f>
        <v>0</v>
      </c>
      <c r="EOU66" s="956">
        <f>MIN(EOU60*$C$65,Application!$AO$636-SUM('15 Year Pro Forma'!$E$66:EOT$66))</f>
        <v>0</v>
      </c>
      <c r="EOW66" s="956">
        <f>MIN(EOW60*$C$65,Application!$AO$636-SUM('15 Year Pro Forma'!$E$66:EOV$66))</f>
        <v>0</v>
      </c>
      <c r="EOY66" s="956">
        <f>MIN(EOY60*$C$65,Application!$AO$636-SUM('15 Year Pro Forma'!$E$66:EOX$66))</f>
        <v>0</v>
      </c>
      <c r="EPA66" s="956">
        <f>MIN(EPA60*$C$65,Application!$AO$636-SUM('15 Year Pro Forma'!$E$66:EOZ$66))</f>
        <v>0</v>
      </c>
      <c r="EPC66" s="956">
        <f>MIN(EPC60*$C$65,Application!$AO$636-SUM('15 Year Pro Forma'!$E$66:EPB$66))</f>
        <v>0</v>
      </c>
      <c r="EPE66" s="956">
        <f>MIN(EPE60*$C$65,Application!$AO$636-SUM('15 Year Pro Forma'!$E$66:EPD$66))</f>
        <v>0</v>
      </c>
      <c r="EPG66" s="956">
        <f>MIN(EPG60*$C$65,Application!$AO$636-SUM('15 Year Pro Forma'!$E$66:EPF$66))</f>
        <v>0</v>
      </c>
      <c r="EPI66" s="956">
        <f>MIN(EPI60*$C$65,Application!$AO$636-SUM('15 Year Pro Forma'!$E$66:EPH$66))</f>
        <v>0</v>
      </c>
      <c r="EPK66" s="956">
        <f>MIN(EPK60*$C$65,Application!$AO$636-SUM('15 Year Pro Forma'!$E$66:EPJ$66))</f>
        <v>0</v>
      </c>
      <c r="EPM66" s="956">
        <f>MIN(EPM60*$C$65,Application!$AO$636-SUM('15 Year Pro Forma'!$E$66:EPL$66))</f>
        <v>0</v>
      </c>
      <c r="EPO66" s="956">
        <f>MIN(EPO60*$C$65,Application!$AO$636-SUM('15 Year Pro Forma'!$E$66:EPN$66))</f>
        <v>0</v>
      </c>
      <c r="EPQ66" s="956">
        <f>MIN(EPQ60*$C$65,Application!$AO$636-SUM('15 Year Pro Forma'!$E$66:EPP$66))</f>
        <v>0</v>
      </c>
      <c r="EPS66" s="956">
        <f>MIN(EPS60*$C$65,Application!$AO$636-SUM('15 Year Pro Forma'!$E$66:EPR$66))</f>
        <v>0</v>
      </c>
      <c r="EPU66" s="956">
        <f>MIN(EPU60*$C$65,Application!$AO$636-SUM('15 Year Pro Forma'!$E$66:EPT$66))</f>
        <v>0</v>
      </c>
      <c r="EPW66" s="956">
        <f>MIN(EPW60*$C$65,Application!$AO$636-SUM('15 Year Pro Forma'!$E$66:EPV$66))</f>
        <v>0</v>
      </c>
      <c r="EPY66" s="956">
        <f>MIN(EPY60*$C$65,Application!$AO$636-SUM('15 Year Pro Forma'!$E$66:EPX$66))</f>
        <v>0</v>
      </c>
      <c r="EQA66" s="956">
        <f>MIN(EQA60*$C$65,Application!$AO$636-SUM('15 Year Pro Forma'!$E$66:EPZ$66))</f>
        <v>0</v>
      </c>
      <c r="EQC66" s="956">
        <f>MIN(EQC60*$C$65,Application!$AO$636-SUM('15 Year Pro Forma'!$E$66:EQB$66))</f>
        <v>0</v>
      </c>
      <c r="EQE66" s="956">
        <f>MIN(EQE60*$C$65,Application!$AO$636-SUM('15 Year Pro Forma'!$E$66:EQD$66))</f>
        <v>0</v>
      </c>
      <c r="EQG66" s="956">
        <f>MIN(EQG60*$C$65,Application!$AO$636-SUM('15 Year Pro Forma'!$E$66:EQF$66))</f>
        <v>0</v>
      </c>
      <c r="EQI66" s="956">
        <f>MIN(EQI60*$C$65,Application!$AO$636-SUM('15 Year Pro Forma'!$E$66:EQH$66))</f>
        <v>0</v>
      </c>
      <c r="EQK66" s="956">
        <f>MIN(EQK60*$C$65,Application!$AO$636-SUM('15 Year Pro Forma'!$E$66:EQJ$66))</f>
        <v>0</v>
      </c>
      <c r="EQM66" s="956">
        <f>MIN(EQM60*$C$65,Application!$AO$636-SUM('15 Year Pro Forma'!$E$66:EQL$66))</f>
        <v>0</v>
      </c>
      <c r="EQO66" s="956">
        <f>MIN(EQO60*$C$65,Application!$AO$636-SUM('15 Year Pro Forma'!$E$66:EQN$66))</f>
        <v>0</v>
      </c>
      <c r="EQQ66" s="956">
        <f>MIN(EQQ60*$C$65,Application!$AO$636-SUM('15 Year Pro Forma'!$E$66:EQP$66))</f>
        <v>0</v>
      </c>
      <c r="EQS66" s="956">
        <f>MIN(EQS60*$C$65,Application!$AO$636-SUM('15 Year Pro Forma'!$E$66:EQR$66))</f>
        <v>0</v>
      </c>
      <c r="EQU66" s="956">
        <f>MIN(EQU60*$C$65,Application!$AO$636-SUM('15 Year Pro Forma'!$E$66:EQT$66))</f>
        <v>0</v>
      </c>
      <c r="EQW66" s="956">
        <f>MIN(EQW60*$C$65,Application!$AO$636-SUM('15 Year Pro Forma'!$E$66:EQV$66))</f>
        <v>0</v>
      </c>
      <c r="EQY66" s="956">
        <f>MIN(EQY60*$C$65,Application!$AO$636-SUM('15 Year Pro Forma'!$E$66:EQX$66))</f>
        <v>0</v>
      </c>
      <c r="ERA66" s="956">
        <f>MIN(ERA60*$C$65,Application!$AO$636-SUM('15 Year Pro Forma'!$E$66:EQZ$66))</f>
        <v>0</v>
      </c>
      <c r="ERC66" s="956">
        <f>MIN(ERC60*$C$65,Application!$AO$636-SUM('15 Year Pro Forma'!$E$66:ERB$66))</f>
        <v>0</v>
      </c>
      <c r="ERE66" s="956">
        <f>MIN(ERE60*$C$65,Application!$AO$636-SUM('15 Year Pro Forma'!$E$66:ERD$66))</f>
        <v>0</v>
      </c>
      <c r="ERG66" s="956">
        <f>MIN(ERG60*$C$65,Application!$AO$636-SUM('15 Year Pro Forma'!$E$66:ERF$66))</f>
        <v>0</v>
      </c>
      <c r="ERI66" s="956">
        <f>MIN(ERI60*$C$65,Application!$AO$636-SUM('15 Year Pro Forma'!$E$66:ERH$66))</f>
        <v>0</v>
      </c>
      <c r="ERK66" s="956">
        <f>MIN(ERK60*$C$65,Application!$AO$636-SUM('15 Year Pro Forma'!$E$66:ERJ$66))</f>
        <v>0</v>
      </c>
      <c r="ERM66" s="956">
        <f>MIN(ERM60*$C$65,Application!$AO$636-SUM('15 Year Pro Forma'!$E$66:ERL$66))</f>
        <v>0</v>
      </c>
      <c r="ERO66" s="956">
        <f>MIN(ERO60*$C$65,Application!$AO$636-SUM('15 Year Pro Forma'!$E$66:ERN$66))</f>
        <v>0</v>
      </c>
      <c r="ERQ66" s="956">
        <f>MIN(ERQ60*$C$65,Application!$AO$636-SUM('15 Year Pro Forma'!$E$66:ERP$66))</f>
        <v>0</v>
      </c>
      <c r="ERS66" s="956">
        <f>MIN(ERS60*$C$65,Application!$AO$636-SUM('15 Year Pro Forma'!$E$66:ERR$66))</f>
        <v>0</v>
      </c>
      <c r="ERU66" s="956">
        <f>MIN(ERU60*$C$65,Application!$AO$636-SUM('15 Year Pro Forma'!$E$66:ERT$66))</f>
        <v>0</v>
      </c>
      <c r="ERW66" s="956">
        <f>MIN(ERW60*$C$65,Application!$AO$636-SUM('15 Year Pro Forma'!$E$66:ERV$66))</f>
        <v>0</v>
      </c>
      <c r="ERY66" s="956">
        <f>MIN(ERY60*$C$65,Application!$AO$636-SUM('15 Year Pro Forma'!$E$66:ERX$66))</f>
        <v>0</v>
      </c>
      <c r="ESA66" s="956">
        <f>MIN(ESA60*$C$65,Application!$AO$636-SUM('15 Year Pro Forma'!$E$66:ERZ$66))</f>
        <v>0</v>
      </c>
      <c r="ESC66" s="956">
        <f>MIN(ESC60*$C$65,Application!$AO$636-SUM('15 Year Pro Forma'!$E$66:ESB$66))</f>
        <v>0</v>
      </c>
      <c r="ESE66" s="956">
        <f>MIN(ESE60*$C$65,Application!$AO$636-SUM('15 Year Pro Forma'!$E$66:ESD$66))</f>
        <v>0</v>
      </c>
      <c r="ESG66" s="956">
        <f>MIN(ESG60*$C$65,Application!$AO$636-SUM('15 Year Pro Forma'!$E$66:ESF$66))</f>
        <v>0</v>
      </c>
      <c r="ESI66" s="956">
        <f>MIN(ESI60*$C$65,Application!$AO$636-SUM('15 Year Pro Forma'!$E$66:ESH$66))</f>
        <v>0</v>
      </c>
      <c r="ESK66" s="956">
        <f>MIN(ESK60*$C$65,Application!$AO$636-SUM('15 Year Pro Forma'!$E$66:ESJ$66))</f>
        <v>0</v>
      </c>
      <c r="ESM66" s="956">
        <f>MIN(ESM60*$C$65,Application!$AO$636-SUM('15 Year Pro Forma'!$E$66:ESL$66))</f>
        <v>0</v>
      </c>
      <c r="ESO66" s="956">
        <f>MIN(ESO60*$C$65,Application!$AO$636-SUM('15 Year Pro Forma'!$E$66:ESN$66))</f>
        <v>0</v>
      </c>
      <c r="ESQ66" s="956">
        <f>MIN(ESQ60*$C$65,Application!$AO$636-SUM('15 Year Pro Forma'!$E$66:ESP$66))</f>
        <v>0</v>
      </c>
      <c r="ESS66" s="956">
        <f>MIN(ESS60*$C$65,Application!$AO$636-SUM('15 Year Pro Forma'!$E$66:ESR$66))</f>
        <v>0</v>
      </c>
      <c r="ESU66" s="956">
        <f>MIN(ESU60*$C$65,Application!$AO$636-SUM('15 Year Pro Forma'!$E$66:EST$66))</f>
        <v>0</v>
      </c>
      <c r="ESW66" s="956">
        <f>MIN(ESW60*$C$65,Application!$AO$636-SUM('15 Year Pro Forma'!$E$66:ESV$66))</f>
        <v>0</v>
      </c>
      <c r="ESY66" s="956">
        <f>MIN(ESY60*$C$65,Application!$AO$636-SUM('15 Year Pro Forma'!$E$66:ESX$66))</f>
        <v>0</v>
      </c>
      <c r="ETA66" s="956">
        <f>MIN(ETA60*$C$65,Application!$AO$636-SUM('15 Year Pro Forma'!$E$66:ESZ$66))</f>
        <v>0</v>
      </c>
      <c r="ETC66" s="956">
        <f>MIN(ETC60*$C$65,Application!$AO$636-SUM('15 Year Pro Forma'!$E$66:ETB$66))</f>
        <v>0</v>
      </c>
      <c r="ETE66" s="956">
        <f>MIN(ETE60*$C$65,Application!$AO$636-SUM('15 Year Pro Forma'!$E$66:ETD$66))</f>
        <v>0</v>
      </c>
      <c r="ETG66" s="956">
        <f>MIN(ETG60*$C$65,Application!$AO$636-SUM('15 Year Pro Forma'!$E$66:ETF$66))</f>
        <v>0</v>
      </c>
      <c r="ETI66" s="956">
        <f>MIN(ETI60*$C$65,Application!$AO$636-SUM('15 Year Pro Forma'!$E$66:ETH$66))</f>
        <v>0</v>
      </c>
      <c r="ETK66" s="956">
        <f>MIN(ETK60*$C$65,Application!$AO$636-SUM('15 Year Pro Forma'!$E$66:ETJ$66))</f>
        <v>0</v>
      </c>
      <c r="ETM66" s="956">
        <f>MIN(ETM60*$C$65,Application!$AO$636-SUM('15 Year Pro Forma'!$E$66:ETL$66))</f>
        <v>0</v>
      </c>
      <c r="ETO66" s="956">
        <f>MIN(ETO60*$C$65,Application!$AO$636-SUM('15 Year Pro Forma'!$E$66:ETN$66))</f>
        <v>0</v>
      </c>
      <c r="ETQ66" s="956">
        <f>MIN(ETQ60*$C$65,Application!$AO$636-SUM('15 Year Pro Forma'!$E$66:ETP$66))</f>
        <v>0</v>
      </c>
      <c r="ETS66" s="956">
        <f>MIN(ETS60*$C$65,Application!$AO$636-SUM('15 Year Pro Forma'!$E$66:ETR$66))</f>
        <v>0</v>
      </c>
      <c r="ETU66" s="956">
        <f>MIN(ETU60*$C$65,Application!$AO$636-SUM('15 Year Pro Forma'!$E$66:ETT$66))</f>
        <v>0</v>
      </c>
      <c r="ETW66" s="956">
        <f>MIN(ETW60*$C$65,Application!$AO$636-SUM('15 Year Pro Forma'!$E$66:ETV$66))</f>
        <v>0</v>
      </c>
      <c r="ETY66" s="956">
        <f>MIN(ETY60*$C$65,Application!$AO$636-SUM('15 Year Pro Forma'!$E$66:ETX$66))</f>
        <v>0</v>
      </c>
      <c r="EUA66" s="956">
        <f>MIN(EUA60*$C$65,Application!$AO$636-SUM('15 Year Pro Forma'!$E$66:ETZ$66))</f>
        <v>0</v>
      </c>
      <c r="EUC66" s="956">
        <f>MIN(EUC60*$C$65,Application!$AO$636-SUM('15 Year Pro Forma'!$E$66:EUB$66))</f>
        <v>0</v>
      </c>
      <c r="EUE66" s="956">
        <f>MIN(EUE60*$C$65,Application!$AO$636-SUM('15 Year Pro Forma'!$E$66:EUD$66))</f>
        <v>0</v>
      </c>
      <c r="EUG66" s="956">
        <f>MIN(EUG60*$C$65,Application!$AO$636-SUM('15 Year Pro Forma'!$E$66:EUF$66))</f>
        <v>0</v>
      </c>
      <c r="EUI66" s="956">
        <f>MIN(EUI60*$C$65,Application!$AO$636-SUM('15 Year Pro Forma'!$E$66:EUH$66))</f>
        <v>0</v>
      </c>
      <c r="EUK66" s="956">
        <f>MIN(EUK60*$C$65,Application!$AO$636-SUM('15 Year Pro Forma'!$E$66:EUJ$66))</f>
        <v>0</v>
      </c>
      <c r="EUM66" s="956">
        <f>MIN(EUM60*$C$65,Application!$AO$636-SUM('15 Year Pro Forma'!$E$66:EUL$66))</f>
        <v>0</v>
      </c>
      <c r="EUO66" s="956">
        <f>MIN(EUO60*$C$65,Application!$AO$636-SUM('15 Year Pro Forma'!$E$66:EUN$66))</f>
        <v>0</v>
      </c>
      <c r="EUQ66" s="956">
        <f>MIN(EUQ60*$C$65,Application!$AO$636-SUM('15 Year Pro Forma'!$E$66:EUP$66))</f>
        <v>0</v>
      </c>
      <c r="EUS66" s="956">
        <f>MIN(EUS60*$C$65,Application!$AO$636-SUM('15 Year Pro Forma'!$E$66:EUR$66))</f>
        <v>0</v>
      </c>
      <c r="EUU66" s="956">
        <f>MIN(EUU60*$C$65,Application!$AO$636-SUM('15 Year Pro Forma'!$E$66:EUT$66))</f>
        <v>0</v>
      </c>
      <c r="EUW66" s="956">
        <f>MIN(EUW60*$C$65,Application!$AO$636-SUM('15 Year Pro Forma'!$E$66:EUV$66))</f>
        <v>0</v>
      </c>
      <c r="EUY66" s="956">
        <f>MIN(EUY60*$C$65,Application!$AO$636-SUM('15 Year Pro Forma'!$E$66:EUX$66))</f>
        <v>0</v>
      </c>
      <c r="EVA66" s="956">
        <f>MIN(EVA60*$C$65,Application!$AO$636-SUM('15 Year Pro Forma'!$E$66:EUZ$66))</f>
        <v>0</v>
      </c>
      <c r="EVC66" s="956">
        <f>MIN(EVC60*$C$65,Application!$AO$636-SUM('15 Year Pro Forma'!$E$66:EVB$66))</f>
        <v>0</v>
      </c>
      <c r="EVE66" s="956">
        <f>MIN(EVE60*$C$65,Application!$AO$636-SUM('15 Year Pro Forma'!$E$66:EVD$66))</f>
        <v>0</v>
      </c>
      <c r="EVG66" s="956">
        <f>MIN(EVG60*$C$65,Application!$AO$636-SUM('15 Year Pro Forma'!$E$66:EVF$66))</f>
        <v>0</v>
      </c>
      <c r="EVI66" s="956">
        <f>MIN(EVI60*$C$65,Application!$AO$636-SUM('15 Year Pro Forma'!$E$66:EVH$66))</f>
        <v>0</v>
      </c>
      <c r="EVK66" s="956">
        <f>MIN(EVK60*$C$65,Application!$AO$636-SUM('15 Year Pro Forma'!$E$66:EVJ$66))</f>
        <v>0</v>
      </c>
      <c r="EVM66" s="956">
        <f>MIN(EVM60*$C$65,Application!$AO$636-SUM('15 Year Pro Forma'!$E$66:EVL$66))</f>
        <v>0</v>
      </c>
      <c r="EVO66" s="956">
        <f>MIN(EVO60*$C$65,Application!$AO$636-SUM('15 Year Pro Forma'!$E$66:EVN$66))</f>
        <v>0</v>
      </c>
      <c r="EVQ66" s="956">
        <f>MIN(EVQ60*$C$65,Application!$AO$636-SUM('15 Year Pro Forma'!$E$66:EVP$66))</f>
        <v>0</v>
      </c>
      <c r="EVS66" s="956">
        <f>MIN(EVS60*$C$65,Application!$AO$636-SUM('15 Year Pro Forma'!$E$66:EVR$66))</f>
        <v>0</v>
      </c>
      <c r="EVU66" s="956">
        <f>MIN(EVU60*$C$65,Application!$AO$636-SUM('15 Year Pro Forma'!$E$66:EVT$66))</f>
        <v>0</v>
      </c>
      <c r="EVW66" s="956">
        <f>MIN(EVW60*$C$65,Application!$AO$636-SUM('15 Year Pro Forma'!$E$66:EVV$66))</f>
        <v>0</v>
      </c>
      <c r="EVY66" s="956">
        <f>MIN(EVY60*$C$65,Application!$AO$636-SUM('15 Year Pro Forma'!$E$66:EVX$66))</f>
        <v>0</v>
      </c>
      <c r="EWA66" s="956">
        <f>MIN(EWA60*$C$65,Application!$AO$636-SUM('15 Year Pro Forma'!$E$66:EVZ$66))</f>
        <v>0</v>
      </c>
      <c r="EWC66" s="956">
        <f>MIN(EWC60*$C$65,Application!$AO$636-SUM('15 Year Pro Forma'!$E$66:EWB$66))</f>
        <v>0</v>
      </c>
      <c r="EWE66" s="956">
        <f>MIN(EWE60*$C$65,Application!$AO$636-SUM('15 Year Pro Forma'!$E$66:EWD$66))</f>
        <v>0</v>
      </c>
      <c r="EWG66" s="956">
        <f>MIN(EWG60*$C$65,Application!$AO$636-SUM('15 Year Pro Forma'!$E$66:EWF$66))</f>
        <v>0</v>
      </c>
      <c r="EWI66" s="956">
        <f>MIN(EWI60*$C$65,Application!$AO$636-SUM('15 Year Pro Forma'!$E$66:EWH$66))</f>
        <v>0</v>
      </c>
      <c r="EWK66" s="956">
        <f>MIN(EWK60*$C$65,Application!$AO$636-SUM('15 Year Pro Forma'!$E$66:EWJ$66))</f>
        <v>0</v>
      </c>
      <c r="EWM66" s="956">
        <f>MIN(EWM60*$C$65,Application!$AO$636-SUM('15 Year Pro Forma'!$E$66:EWL$66))</f>
        <v>0</v>
      </c>
      <c r="EWO66" s="956">
        <f>MIN(EWO60*$C$65,Application!$AO$636-SUM('15 Year Pro Forma'!$E$66:EWN$66))</f>
        <v>0</v>
      </c>
      <c r="EWQ66" s="956">
        <f>MIN(EWQ60*$C$65,Application!$AO$636-SUM('15 Year Pro Forma'!$E$66:EWP$66))</f>
        <v>0</v>
      </c>
      <c r="EWS66" s="956">
        <f>MIN(EWS60*$C$65,Application!$AO$636-SUM('15 Year Pro Forma'!$E$66:EWR$66))</f>
        <v>0</v>
      </c>
      <c r="EWU66" s="956">
        <f>MIN(EWU60*$C$65,Application!$AO$636-SUM('15 Year Pro Forma'!$E$66:EWT$66))</f>
        <v>0</v>
      </c>
      <c r="EWW66" s="956">
        <f>MIN(EWW60*$C$65,Application!$AO$636-SUM('15 Year Pro Forma'!$E$66:EWV$66))</f>
        <v>0</v>
      </c>
      <c r="EWY66" s="956">
        <f>MIN(EWY60*$C$65,Application!$AO$636-SUM('15 Year Pro Forma'!$E$66:EWX$66))</f>
        <v>0</v>
      </c>
      <c r="EXA66" s="956">
        <f>MIN(EXA60*$C$65,Application!$AO$636-SUM('15 Year Pro Forma'!$E$66:EWZ$66))</f>
        <v>0</v>
      </c>
      <c r="EXC66" s="956">
        <f>MIN(EXC60*$C$65,Application!$AO$636-SUM('15 Year Pro Forma'!$E$66:EXB$66))</f>
        <v>0</v>
      </c>
      <c r="EXE66" s="956">
        <f>MIN(EXE60*$C$65,Application!$AO$636-SUM('15 Year Pro Forma'!$E$66:EXD$66))</f>
        <v>0</v>
      </c>
      <c r="EXG66" s="956">
        <f>MIN(EXG60*$C$65,Application!$AO$636-SUM('15 Year Pro Forma'!$E$66:EXF$66))</f>
        <v>0</v>
      </c>
      <c r="EXI66" s="956">
        <f>MIN(EXI60*$C$65,Application!$AO$636-SUM('15 Year Pro Forma'!$E$66:EXH$66))</f>
        <v>0</v>
      </c>
      <c r="EXK66" s="956">
        <f>MIN(EXK60*$C$65,Application!$AO$636-SUM('15 Year Pro Forma'!$E$66:EXJ$66))</f>
        <v>0</v>
      </c>
      <c r="EXM66" s="956">
        <f>MIN(EXM60*$C$65,Application!$AO$636-SUM('15 Year Pro Forma'!$E$66:EXL$66))</f>
        <v>0</v>
      </c>
      <c r="EXO66" s="956">
        <f>MIN(EXO60*$C$65,Application!$AO$636-SUM('15 Year Pro Forma'!$E$66:EXN$66))</f>
        <v>0</v>
      </c>
      <c r="EXQ66" s="956">
        <f>MIN(EXQ60*$C$65,Application!$AO$636-SUM('15 Year Pro Forma'!$E$66:EXP$66))</f>
        <v>0</v>
      </c>
      <c r="EXS66" s="956">
        <f>MIN(EXS60*$C$65,Application!$AO$636-SUM('15 Year Pro Forma'!$E$66:EXR$66))</f>
        <v>0</v>
      </c>
      <c r="EXU66" s="956">
        <f>MIN(EXU60*$C$65,Application!$AO$636-SUM('15 Year Pro Forma'!$E$66:EXT$66))</f>
        <v>0</v>
      </c>
      <c r="EXW66" s="956">
        <f>MIN(EXW60*$C$65,Application!$AO$636-SUM('15 Year Pro Forma'!$E$66:EXV$66))</f>
        <v>0</v>
      </c>
      <c r="EXY66" s="956">
        <f>MIN(EXY60*$C$65,Application!$AO$636-SUM('15 Year Pro Forma'!$E$66:EXX$66))</f>
        <v>0</v>
      </c>
      <c r="EYA66" s="956">
        <f>MIN(EYA60*$C$65,Application!$AO$636-SUM('15 Year Pro Forma'!$E$66:EXZ$66))</f>
        <v>0</v>
      </c>
      <c r="EYC66" s="956">
        <f>MIN(EYC60*$C$65,Application!$AO$636-SUM('15 Year Pro Forma'!$E$66:EYB$66))</f>
        <v>0</v>
      </c>
      <c r="EYE66" s="956">
        <f>MIN(EYE60*$C$65,Application!$AO$636-SUM('15 Year Pro Forma'!$E$66:EYD$66))</f>
        <v>0</v>
      </c>
      <c r="EYG66" s="956">
        <f>MIN(EYG60*$C$65,Application!$AO$636-SUM('15 Year Pro Forma'!$E$66:EYF$66))</f>
        <v>0</v>
      </c>
      <c r="EYI66" s="956">
        <f>MIN(EYI60*$C$65,Application!$AO$636-SUM('15 Year Pro Forma'!$E$66:EYH$66))</f>
        <v>0</v>
      </c>
      <c r="EYK66" s="956">
        <f>MIN(EYK60*$C$65,Application!$AO$636-SUM('15 Year Pro Forma'!$E$66:EYJ$66))</f>
        <v>0</v>
      </c>
      <c r="EYM66" s="956">
        <f>MIN(EYM60*$C$65,Application!$AO$636-SUM('15 Year Pro Forma'!$E$66:EYL$66))</f>
        <v>0</v>
      </c>
      <c r="EYO66" s="956">
        <f>MIN(EYO60*$C$65,Application!$AO$636-SUM('15 Year Pro Forma'!$E$66:EYN$66))</f>
        <v>0</v>
      </c>
      <c r="EYQ66" s="956">
        <f>MIN(EYQ60*$C$65,Application!$AO$636-SUM('15 Year Pro Forma'!$E$66:EYP$66))</f>
        <v>0</v>
      </c>
      <c r="EYS66" s="956">
        <f>MIN(EYS60*$C$65,Application!$AO$636-SUM('15 Year Pro Forma'!$E$66:EYR$66))</f>
        <v>0</v>
      </c>
      <c r="EYU66" s="956">
        <f>MIN(EYU60*$C$65,Application!$AO$636-SUM('15 Year Pro Forma'!$E$66:EYT$66))</f>
        <v>0</v>
      </c>
      <c r="EYW66" s="956">
        <f>MIN(EYW60*$C$65,Application!$AO$636-SUM('15 Year Pro Forma'!$E$66:EYV$66))</f>
        <v>0</v>
      </c>
      <c r="EYY66" s="956">
        <f>MIN(EYY60*$C$65,Application!$AO$636-SUM('15 Year Pro Forma'!$E$66:EYX$66))</f>
        <v>0</v>
      </c>
      <c r="EZA66" s="956">
        <f>MIN(EZA60*$C$65,Application!$AO$636-SUM('15 Year Pro Forma'!$E$66:EYZ$66))</f>
        <v>0</v>
      </c>
      <c r="EZC66" s="956">
        <f>MIN(EZC60*$C$65,Application!$AO$636-SUM('15 Year Pro Forma'!$E$66:EZB$66))</f>
        <v>0</v>
      </c>
      <c r="EZE66" s="956">
        <f>MIN(EZE60*$C$65,Application!$AO$636-SUM('15 Year Pro Forma'!$E$66:EZD$66))</f>
        <v>0</v>
      </c>
      <c r="EZG66" s="956">
        <f>MIN(EZG60*$C$65,Application!$AO$636-SUM('15 Year Pro Forma'!$E$66:EZF$66))</f>
        <v>0</v>
      </c>
      <c r="EZI66" s="956">
        <f>MIN(EZI60*$C$65,Application!$AO$636-SUM('15 Year Pro Forma'!$E$66:EZH$66))</f>
        <v>0</v>
      </c>
      <c r="EZK66" s="956">
        <f>MIN(EZK60*$C$65,Application!$AO$636-SUM('15 Year Pro Forma'!$E$66:EZJ$66))</f>
        <v>0</v>
      </c>
      <c r="EZM66" s="956">
        <f>MIN(EZM60*$C$65,Application!$AO$636-SUM('15 Year Pro Forma'!$E$66:EZL$66))</f>
        <v>0</v>
      </c>
      <c r="EZO66" s="956">
        <f>MIN(EZO60*$C$65,Application!$AO$636-SUM('15 Year Pro Forma'!$E$66:EZN$66))</f>
        <v>0</v>
      </c>
      <c r="EZQ66" s="956">
        <f>MIN(EZQ60*$C$65,Application!$AO$636-SUM('15 Year Pro Forma'!$E$66:EZP$66))</f>
        <v>0</v>
      </c>
      <c r="EZS66" s="956">
        <f>MIN(EZS60*$C$65,Application!$AO$636-SUM('15 Year Pro Forma'!$E$66:EZR$66))</f>
        <v>0</v>
      </c>
      <c r="EZU66" s="956">
        <f>MIN(EZU60*$C$65,Application!$AO$636-SUM('15 Year Pro Forma'!$E$66:EZT$66))</f>
        <v>0</v>
      </c>
      <c r="EZW66" s="956">
        <f>MIN(EZW60*$C$65,Application!$AO$636-SUM('15 Year Pro Forma'!$E$66:EZV$66))</f>
        <v>0</v>
      </c>
      <c r="EZY66" s="956">
        <f>MIN(EZY60*$C$65,Application!$AO$636-SUM('15 Year Pro Forma'!$E$66:EZX$66))</f>
        <v>0</v>
      </c>
      <c r="FAA66" s="956">
        <f>MIN(FAA60*$C$65,Application!$AO$636-SUM('15 Year Pro Forma'!$E$66:EZZ$66))</f>
        <v>0</v>
      </c>
      <c r="FAC66" s="956">
        <f>MIN(FAC60*$C$65,Application!$AO$636-SUM('15 Year Pro Forma'!$E$66:FAB$66))</f>
        <v>0</v>
      </c>
      <c r="FAE66" s="956">
        <f>MIN(FAE60*$C$65,Application!$AO$636-SUM('15 Year Pro Forma'!$E$66:FAD$66))</f>
        <v>0</v>
      </c>
      <c r="FAG66" s="956">
        <f>MIN(FAG60*$C$65,Application!$AO$636-SUM('15 Year Pro Forma'!$E$66:FAF$66))</f>
        <v>0</v>
      </c>
      <c r="FAI66" s="956">
        <f>MIN(FAI60*$C$65,Application!$AO$636-SUM('15 Year Pro Forma'!$E$66:FAH$66))</f>
        <v>0</v>
      </c>
      <c r="FAK66" s="956">
        <f>MIN(FAK60*$C$65,Application!$AO$636-SUM('15 Year Pro Forma'!$E$66:FAJ$66))</f>
        <v>0</v>
      </c>
      <c r="FAM66" s="956">
        <f>MIN(FAM60*$C$65,Application!$AO$636-SUM('15 Year Pro Forma'!$E$66:FAL$66))</f>
        <v>0</v>
      </c>
      <c r="FAO66" s="956">
        <f>MIN(FAO60*$C$65,Application!$AO$636-SUM('15 Year Pro Forma'!$E$66:FAN$66))</f>
        <v>0</v>
      </c>
      <c r="FAQ66" s="956">
        <f>MIN(FAQ60*$C$65,Application!$AO$636-SUM('15 Year Pro Forma'!$E$66:FAP$66))</f>
        <v>0</v>
      </c>
      <c r="FAS66" s="956">
        <f>MIN(FAS60*$C$65,Application!$AO$636-SUM('15 Year Pro Forma'!$E$66:FAR$66))</f>
        <v>0</v>
      </c>
      <c r="FAU66" s="956">
        <f>MIN(FAU60*$C$65,Application!$AO$636-SUM('15 Year Pro Forma'!$E$66:FAT$66))</f>
        <v>0</v>
      </c>
      <c r="FAW66" s="956">
        <f>MIN(FAW60*$C$65,Application!$AO$636-SUM('15 Year Pro Forma'!$E$66:FAV$66))</f>
        <v>0</v>
      </c>
      <c r="FAY66" s="956">
        <f>MIN(FAY60*$C$65,Application!$AO$636-SUM('15 Year Pro Forma'!$E$66:FAX$66))</f>
        <v>0</v>
      </c>
      <c r="FBA66" s="956">
        <f>MIN(FBA60*$C$65,Application!$AO$636-SUM('15 Year Pro Forma'!$E$66:FAZ$66))</f>
        <v>0</v>
      </c>
      <c r="FBC66" s="956">
        <f>MIN(FBC60*$C$65,Application!$AO$636-SUM('15 Year Pro Forma'!$E$66:FBB$66))</f>
        <v>0</v>
      </c>
      <c r="FBE66" s="956">
        <f>MIN(FBE60*$C$65,Application!$AO$636-SUM('15 Year Pro Forma'!$E$66:FBD$66))</f>
        <v>0</v>
      </c>
      <c r="FBG66" s="956">
        <f>MIN(FBG60*$C$65,Application!$AO$636-SUM('15 Year Pro Forma'!$E$66:FBF$66))</f>
        <v>0</v>
      </c>
      <c r="FBI66" s="956">
        <f>MIN(FBI60*$C$65,Application!$AO$636-SUM('15 Year Pro Forma'!$E$66:FBH$66))</f>
        <v>0</v>
      </c>
      <c r="FBK66" s="956">
        <f>MIN(FBK60*$C$65,Application!$AO$636-SUM('15 Year Pro Forma'!$E$66:FBJ$66))</f>
        <v>0</v>
      </c>
      <c r="FBM66" s="956">
        <f>MIN(FBM60*$C$65,Application!$AO$636-SUM('15 Year Pro Forma'!$E$66:FBL$66))</f>
        <v>0</v>
      </c>
      <c r="FBO66" s="956">
        <f>MIN(FBO60*$C$65,Application!$AO$636-SUM('15 Year Pro Forma'!$E$66:FBN$66))</f>
        <v>0</v>
      </c>
      <c r="FBQ66" s="956">
        <f>MIN(FBQ60*$C$65,Application!$AO$636-SUM('15 Year Pro Forma'!$E$66:FBP$66))</f>
        <v>0</v>
      </c>
      <c r="FBS66" s="956">
        <f>MIN(FBS60*$C$65,Application!$AO$636-SUM('15 Year Pro Forma'!$E$66:FBR$66))</f>
        <v>0</v>
      </c>
      <c r="FBU66" s="956">
        <f>MIN(FBU60*$C$65,Application!$AO$636-SUM('15 Year Pro Forma'!$E$66:FBT$66))</f>
        <v>0</v>
      </c>
      <c r="FBW66" s="956">
        <f>MIN(FBW60*$C$65,Application!$AO$636-SUM('15 Year Pro Forma'!$E$66:FBV$66))</f>
        <v>0</v>
      </c>
      <c r="FBY66" s="956">
        <f>MIN(FBY60*$C$65,Application!$AO$636-SUM('15 Year Pro Forma'!$E$66:FBX$66))</f>
        <v>0</v>
      </c>
      <c r="FCA66" s="956">
        <f>MIN(FCA60*$C$65,Application!$AO$636-SUM('15 Year Pro Forma'!$E$66:FBZ$66))</f>
        <v>0</v>
      </c>
      <c r="FCC66" s="956">
        <f>MIN(FCC60*$C$65,Application!$AO$636-SUM('15 Year Pro Forma'!$E$66:FCB$66))</f>
        <v>0</v>
      </c>
      <c r="FCE66" s="956">
        <f>MIN(FCE60*$C$65,Application!$AO$636-SUM('15 Year Pro Forma'!$E$66:FCD$66))</f>
        <v>0</v>
      </c>
      <c r="FCG66" s="956">
        <f>MIN(FCG60*$C$65,Application!$AO$636-SUM('15 Year Pro Forma'!$E$66:FCF$66))</f>
        <v>0</v>
      </c>
      <c r="FCI66" s="956">
        <f>MIN(FCI60*$C$65,Application!$AO$636-SUM('15 Year Pro Forma'!$E$66:FCH$66))</f>
        <v>0</v>
      </c>
      <c r="FCK66" s="956">
        <f>MIN(FCK60*$C$65,Application!$AO$636-SUM('15 Year Pro Forma'!$E$66:FCJ$66))</f>
        <v>0</v>
      </c>
      <c r="FCM66" s="956">
        <f>MIN(FCM60*$C$65,Application!$AO$636-SUM('15 Year Pro Forma'!$E$66:FCL$66))</f>
        <v>0</v>
      </c>
      <c r="FCO66" s="956">
        <f>MIN(FCO60*$C$65,Application!$AO$636-SUM('15 Year Pro Forma'!$E$66:FCN$66))</f>
        <v>0</v>
      </c>
      <c r="FCQ66" s="956">
        <f>MIN(FCQ60*$C$65,Application!$AO$636-SUM('15 Year Pro Forma'!$E$66:FCP$66))</f>
        <v>0</v>
      </c>
      <c r="FCS66" s="956">
        <f>MIN(FCS60*$C$65,Application!$AO$636-SUM('15 Year Pro Forma'!$E$66:FCR$66))</f>
        <v>0</v>
      </c>
      <c r="FCU66" s="956">
        <f>MIN(FCU60*$C$65,Application!$AO$636-SUM('15 Year Pro Forma'!$E$66:FCT$66))</f>
        <v>0</v>
      </c>
      <c r="FCW66" s="956">
        <f>MIN(FCW60*$C$65,Application!$AO$636-SUM('15 Year Pro Forma'!$E$66:FCV$66))</f>
        <v>0</v>
      </c>
      <c r="FCY66" s="956">
        <f>MIN(FCY60*$C$65,Application!$AO$636-SUM('15 Year Pro Forma'!$E$66:FCX$66))</f>
        <v>0</v>
      </c>
      <c r="FDA66" s="956">
        <f>MIN(FDA60*$C$65,Application!$AO$636-SUM('15 Year Pro Forma'!$E$66:FCZ$66))</f>
        <v>0</v>
      </c>
      <c r="FDC66" s="956">
        <f>MIN(FDC60*$C$65,Application!$AO$636-SUM('15 Year Pro Forma'!$E$66:FDB$66))</f>
        <v>0</v>
      </c>
      <c r="FDE66" s="956">
        <f>MIN(FDE60*$C$65,Application!$AO$636-SUM('15 Year Pro Forma'!$E$66:FDD$66))</f>
        <v>0</v>
      </c>
      <c r="FDG66" s="956">
        <f>MIN(FDG60*$C$65,Application!$AO$636-SUM('15 Year Pro Forma'!$E$66:FDF$66))</f>
        <v>0</v>
      </c>
      <c r="FDI66" s="956">
        <f>MIN(FDI60*$C$65,Application!$AO$636-SUM('15 Year Pro Forma'!$E$66:FDH$66))</f>
        <v>0</v>
      </c>
      <c r="FDK66" s="956">
        <f>MIN(FDK60*$C$65,Application!$AO$636-SUM('15 Year Pro Forma'!$E$66:FDJ$66))</f>
        <v>0</v>
      </c>
      <c r="FDM66" s="956">
        <f>MIN(FDM60*$C$65,Application!$AO$636-SUM('15 Year Pro Forma'!$E$66:FDL$66))</f>
        <v>0</v>
      </c>
      <c r="FDO66" s="956">
        <f>MIN(FDO60*$C$65,Application!$AO$636-SUM('15 Year Pro Forma'!$E$66:FDN$66))</f>
        <v>0</v>
      </c>
      <c r="FDQ66" s="956">
        <f>MIN(FDQ60*$C$65,Application!$AO$636-SUM('15 Year Pro Forma'!$E$66:FDP$66))</f>
        <v>0</v>
      </c>
      <c r="FDS66" s="956">
        <f>MIN(FDS60*$C$65,Application!$AO$636-SUM('15 Year Pro Forma'!$E$66:FDR$66))</f>
        <v>0</v>
      </c>
      <c r="FDU66" s="956">
        <f>MIN(FDU60*$C$65,Application!$AO$636-SUM('15 Year Pro Forma'!$E$66:FDT$66))</f>
        <v>0</v>
      </c>
      <c r="FDW66" s="956">
        <f>MIN(FDW60*$C$65,Application!$AO$636-SUM('15 Year Pro Forma'!$E$66:FDV$66))</f>
        <v>0</v>
      </c>
      <c r="FDY66" s="956">
        <f>MIN(FDY60*$C$65,Application!$AO$636-SUM('15 Year Pro Forma'!$E$66:FDX$66))</f>
        <v>0</v>
      </c>
      <c r="FEA66" s="956">
        <f>MIN(FEA60*$C$65,Application!$AO$636-SUM('15 Year Pro Forma'!$E$66:FDZ$66))</f>
        <v>0</v>
      </c>
      <c r="FEC66" s="956">
        <f>MIN(FEC60*$C$65,Application!$AO$636-SUM('15 Year Pro Forma'!$E$66:FEB$66))</f>
        <v>0</v>
      </c>
      <c r="FEE66" s="956">
        <f>MIN(FEE60*$C$65,Application!$AO$636-SUM('15 Year Pro Forma'!$E$66:FED$66))</f>
        <v>0</v>
      </c>
      <c r="FEG66" s="956">
        <f>MIN(FEG60*$C$65,Application!$AO$636-SUM('15 Year Pro Forma'!$E$66:FEF$66))</f>
        <v>0</v>
      </c>
      <c r="FEI66" s="956">
        <f>MIN(FEI60*$C$65,Application!$AO$636-SUM('15 Year Pro Forma'!$E$66:FEH$66))</f>
        <v>0</v>
      </c>
      <c r="FEK66" s="956">
        <f>MIN(FEK60*$C$65,Application!$AO$636-SUM('15 Year Pro Forma'!$E$66:FEJ$66))</f>
        <v>0</v>
      </c>
      <c r="FEM66" s="956">
        <f>MIN(FEM60*$C$65,Application!$AO$636-SUM('15 Year Pro Forma'!$E$66:FEL$66))</f>
        <v>0</v>
      </c>
      <c r="FEO66" s="956">
        <f>MIN(FEO60*$C$65,Application!$AO$636-SUM('15 Year Pro Forma'!$E$66:FEN$66))</f>
        <v>0</v>
      </c>
      <c r="FEQ66" s="956">
        <f>MIN(FEQ60*$C$65,Application!$AO$636-SUM('15 Year Pro Forma'!$E$66:FEP$66))</f>
        <v>0</v>
      </c>
      <c r="FES66" s="956">
        <f>MIN(FES60*$C$65,Application!$AO$636-SUM('15 Year Pro Forma'!$E$66:FER$66))</f>
        <v>0</v>
      </c>
      <c r="FEU66" s="956">
        <f>MIN(FEU60*$C$65,Application!$AO$636-SUM('15 Year Pro Forma'!$E$66:FET$66))</f>
        <v>0</v>
      </c>
      <c r="FEW66" s="956">
        <f>MIN(FEW60*$C$65,Application!$AO$636-SUM('15 Year Pro Forma'!$E$66:FEV$66))</f>
        <v>0</v>
      </c>
      <c r="FEY66" s="956">
        <f>MIN(FEY60*$C$65,Application!$AO$636-SUM('15 Year Pro Forma'!$E$66:FEX$66))</f>
        <v>0</v>
      </c>
      <c r="FFA66" s="956">
        <f>MIN(FFA60*$C$65,Application!$AO$636-SUM('15 Year Pro Forma'!$E$66:FEZ$66))</f>
        <v>0</v>
      </c>
      <c r="FFC66" s="956">
        <f>MIN(FFC60*$C$65,Application!$AO$636-SUM('15 Year Pro Forma'!$E$66:FFB$66))</f>
        <v>0</v>
      </c>
      <c r="FFE66" s="956">
        <f>MIN(FFE60*$C$65,Application!$AO$636-SUM('15 Year Pro Forma'!$E$66:FFD$66))</f>
        <v>0</v>
      </c>
      <c r="FFG66" s="956">
        <f>MIN(FFG60*$C$65,Application!$AO$636-SUM('15 Year Pro Forma'!$E$66:FFF$66))</f>
        <v>0</v>
      </c>
      <c r="FFI66" s="956">
        <f>MIN(FFI60*$C$65,Application!$AO$636-SUM('15 Year Pro Forma'!$E$66:FFH$66))</f>
        <v>0</v>
      </c>
      <c r="FFK66" s="956">
        <f>MIN(FFK60*$C$65,Application!$AO$636-SUM('15 Year Pro Forma'!$E$66:FFJ$66))</f>
        <v>0</v>
      </c>
      <c r="FFM66" s="956">
        <f>MIN(FFM60*$C$65,Application!$AO$636-SUM('15 Year Pro Forma'!$E$66:FFL$66))</f>
        <v>0</v>
      </c>
      <c r="FFO66" s="956">
        <f>MIN(FFO60*$C$65,Application!$AO$636-SUM('15 Year Pro Forma'!$E$66:FFN$66))</f>
        <v>0</v>
      </c>
      <c r="FFQ66" s="956">
        <f>MIN(FFQ60*$C$65,Application!$AO$636-SUM('15 Year Pro Forma'!$E$66:FFP$66))</f>
        <v>0</v>
      </c>
      <c r="FFS66" s="956">
        <f>MIN(FFS60*$C$65,Application!$AO$636-SUM('15 Year Pro Forma'!$E$66:FFR$66))</f>
        <v>0</v>
      </c>
      <c r="FFU66" s="956">
        <f>MIN(FFU60*$C$65,Application!$AO$636-SUM('15 Year Pro Forma'!$E$66:FFT$66))</f>
        <v>0</v>
      </c>
      <c r="FFW66" s="956">
        <f>MIN(FFW60*$C$65,Application!$AO$636-SUM('15 Year Pro Forma'!$E$66:FFV$66))</f>
        <v>0</v>
      </c>
      <c r="FFY66" s="956">
        <f>MIN(FFY60*$C$65,Application!$AO$636-SUM('15 Year Pro Forma'!$E$66:FFX$66))</f>
        <v>0</v>
      </c>
      <c r="FGA66" s="956">
        <f>MIN(FGA60*$C$65,Application!$AO$636-SUM('15 Year Pro Forma'!$E$66:FFZ$66))</f>
        <v>0</v>
      </c>
      <c r="FGC66" s="956">
        <f>MIN(FGC60*$C$65,Application!$AO$636-SUM('15 Year Pro Forma'!$E$66:FGB$66))</f>
        <v>0</v>
      </c>
      <c r="FGE66" s="956">
        <f>MIN(FGE60*$C$65,Application!$AO$636-SUM('15 Year Pro Forma'!$E$66:FGD$66))</f>
        <v>0</v>
      </c>
      <c r="FGG66" s="956">
        <f>MIN(FGG60*$C$65,Application!$AO$636-SUM('15 Year Pro Forma'!$E$66:FGF$66))</f>
        <v>0</v>
      </c>
      <c r="FGI66" s="956">
        <f>MIN(FGI60*$C$65,Application!$AO$636-SUM('15 Year Pro Forma'!$E$66:FGH$66))</f>
        <v>0</v>
      </c>
      <c r="FGK66" s="956">
        <f>MIN(FGK60*$C$65,Application!$AO$636-SUM('15 Year Pro Forma'!$E$66:FGJ$66))</f>
        <v>0</v>
      </c>
      <c r="FGM66" s="956">
        <f>MIN(FGM60*$C$65,Application!$AO$636-SUM('15 Year Pro Forma'!$E$66:FGL$66))</f>
        <v>0</v>
      </c>
      <c r="FGO66" s="956">
        <f>MIN(FGO60*$C$65,Application!$AO$636-SUM('15 Year Pro Forma'!$E$66:FGN$66))</f>
        <v>0</v>
      </c>
      <c r="FGQ66" s="956">
        <f>MIN(FGQ60*$C$65,Application!$AO$636-SUM('15 Year Pro Forma'!$E$66:FGP$66))</f>
        <v>0</v>
      </c>
      <c r="FGS66" s="956">
        <f>MIN(FGS60*$C$65,Application!$AO$636-SUM('15 Year Pro Forma'!$E$66:FGR$66))</f>
        <v>0</v>
      </c>
      <c r="FGU66" s="956">
        <f>MIN(FGU60*$C$65,Application!$AO$636-SUM('15 Year Pro Forma'!$E$66:FGT$66))</f>
        <v>0</v>
      </c>
      <c r="FGW66" s="956">
        <f>MIN(FGW60*$C$65,Application!$AO$636-SUM('15 Year Pro Forma'!$E$66:FGV$66))</f>
        <v>0</v>
      </c>
      <c r="FGY66" s="956">
        <f>MIN(FGY60*$C$65,Application!$AO$636-SUM('15 Year Pro Forma'!$E$66:FGX$66))</f>
        <v>0</v>
      </c>
      <c r="FHA66" s="956">
        <f>MIN(FHA60*$C$65,Application!$AO$636-SUM('15 Year Pro Forma'!$E$66:FGZ$66))</f>
        <v>0</v>
      </c>
      <c r="FHC66" s="956">
        <f>MIN(FHC60*$C$65,Application!$AO$636-SUM('15 Year Pro Forma'!$E$66:FHB$66))</f>
        <v>0</v>
      </c>
      <c r="FHE66" s="956">
        <f>MIN(FHE60*$C$65,Application!$AO$636-SUM('15 Year Pro Forma'!$E$66:FHD$66))</f>
        <v>0</v>
      </c>
      <c r="FHG66" s="956">
        <f>MIN(FHG60*$C$65,Application!$AO$636-SUM('15 Year Pro Forma'!$E$66:FHF$66))</f>
        <v>0</v>
      </c>
      <c r="FHI66" s="956">
        <f>MIN(FHI60*$C$65,Application!$AO$636-SUM('15 Year Pro Forma'!$E$66:FHH$66))</f>
        <v>0</v>
      </c>
      <c r="FHK66" s="956">
        <f>MIN(FHK60*$C$65,Application!$AO$636-SUM('15 Year Pro Forma'!$E$66:FHJ$66))</f>
        <v>0</v>
      </c>
      <c r="FHM66" s="956">
        <f>MIN(FHM60*$C$65,Application!$AO$636-SUM('15 Year Pro Forma'!$E$66:FHL$66))</f>
        <v>0</v>
      </c>
      <c r="FHO66" s="956">
        <f>MIN(FHO60*$C$65,Application!$AO$636-SUM('15 Year Pro Forma'!$E$66:FHN$66))</f>
        <v>0</v>
      </c>
      <c r="FHQ66" s="956">
        <f>MIN(FHQ60*$C$65,Application!$AO$636-SUM('15 Year Pro Forma'!$E$66:FHP$66))</f>
        <v>0</v>
      </c>
      <c r="FHS66" s="956">
        <f>MIN(FHS60*$C$65,Application!$AO$636-SUM('15 Year Pro Forma'!$E$66:FHR$66))</f>
        <v>0</v>
      </c>
      <c r="FHU66" s="956">
        <f>MIN(FHU60*$C$65,Application!$AO$636-SUM('15 Year Pro Forma'!$E$66:FHT$66))</f>
        <v>0</v>
      </c>
      <c r="FHW66" s="956">
        <f>MIN(FHW60*$C$65,Application!$AO$636-SUM('15 Year Pro Forma'!$E$66:FHV$66))</f>
        <v>0</v>
      </c>
      <c r="FHY66" s="956">
        <f>MIN(FHY60*$C$65,Application!$AO$636-SUM('15 Year Pro Forma'!$E$66:FHX$66))</f>
        <v>0</v>
      </c>
      <c r="FIA66" s="956">
        <f>MIN(FIA60*$C$65,Application!$AO$636-SUM('15 Year Pro Forma'!$E$66:FHZ$66))</f>
        <v>0</v>
      </c>
      <c r="FIC66" s="956">
        <f>MIN(FIC60*$C$65,Application!$AO$636-SUM('15 Year Pro Forma'!$E$66:FIB$66))</f>
        <v>0</v>
      </c>
      <c r="FIE66" s="956">
        <f>MIN(FIE60*$C$65,Application!$AO$636-SUM('15 Year Pro Forma'!$E$66:FID$66))</f>
        <v>0</v>
      </c>
      <c r="FIG66" s="956">
        <f>MIN(FIG60*$C$65,Application!$AO$636-SUM('15 Year Pro Forma'!$E$66:FIF$66))</f>
        <v>0</v>
      </c>
      <c r="FII66" s="956">
        <f>MIN(FII60*$C$65,Application!$AO$636-SUM('15 Year Pro Forma'!$E$66:FIH$66))</f>
        <v>0</v>
      </c>
      <c r="FIK66" s="956">
        <f>MIN(FIK60*$C$65,Application!$AO$636-SUM('15 Year Pro Forma'!$E$66:FIJ$66))</f>
        <v>0</v>
      </c>
      <c r="FIM66" s="956">
        <f>MIN(FIM60*$C$65,Application!$AO$636-SUM('15 Year Pro Forma'!$E$66:FIL$66))</f>
        <v>0</v>
      </c>
      <c r="FIO66" s="956">
        <f>MIN(FIO60*$C$65,Application!$AO$636-SUM('15 Year Pro Forma'!$E$66:FIN$66))</f>
        <v>0</v>
      </c>
      <c r="FIQ66" s="956">
        <f>MIN(FIQ60*$C$65,Application!$AO$636-SUM('15 Year Pro Forma'!$E$66:FIP$66))</f>
        <v>0</v>
      </c>
      <c r="FIS66" s="956">
        <f>MIN(FIS60*$C$65,Application!$AO$636-SUM('15 Year Pro Forma'!$E$66:FIR$66))</f>
        <v>0</v>
      </c>
      <c r="FIU66" s="956">
        <f>MIN(FIU60*$C$65,Application!$AO$636-SUM('15 Year Pro Forma'!$E$66:FIT$66))</f>
        <v>0</v>
      </c>
      <c r="FIW66" s="956">
        <f>MIN(FIW60*$C$65,Application!$AO$636-SUM('15 Year Pro Forma'!$E$66:FIV$66))</f>
        <v>0</v>
      </c>
      <c r="FIY66" s="956">
        <f>MIN(FIY60*$C$65,Application!$AO$636-SUM('15 Year Pro Forma'!$E$66:FIX$66))</f>
        <v>0</v>
      </c>
      <c r="FJA66" s="956">
        <f>MIN(FJA60*$C$65,Application!$AO$636-SUM('15 Year Pro Forma'!$E$66:FIZ$66))</f>
        <v>0</v>
      </c>
      <c r="FJC66" s="956">
        <f>MIN(FJC60*$C$65,Application!$AO$636-SUM('15 Year Pro Forma'!$E$66:FJB$66))</f>
        <v>0</v>
      </c>
      <c r="FJE66" s="956">
        <f>MIN(FJE60*$C$65,Application!$AO$636-SUM('15 Year Pro Forma'!$E$66:FJD$66))</f>
        <v>0</v>
      </c>
      <c r="FJG66" s="956">
        <f>MIN(FJG60*$C$65,Application!$AO$636-SUM('15 Year Pro Forma'!$E$66:FJF$66))</f>
        <v>0</v>
      </c>
      <c r="FJI66" s="956">
        <f>MIN(FJI60*$C$65,Application!$AO$636-SUM('15 Year Pro Forma'!$E$66:FJH$66))</f>
        <v>0</v>
      </c>
      <c r="FJK66" s="956">
        <f>MIN(FJK60*$C$65,Application!$AO$636-SUM('15 Year Pro Forma'!$E$66:FJJ$66))</f>
        <v>0</v>
      </c>
      <c r="FJM66" s="956">
        <f>MIN(FJM60*$C$65,Application!$AO$636-SUM('15 Year Pro Forma'!$E$66:FJL$66))</f>
        <v>0</v>
      </c>
      <c r="FJO66" s="956">
        <f>MIN(FJO60*$C$65,Application!$AO$636-SUM('15 Year Pro Forma'!$E$66:FJN$66))</f>
        <v>0</v>
      </c>
      <c r="FJQ66" s="956">
        <f>MIN(FJQ60*$C$65,Application!$AO$636-SUM('15 Year Pro Forma'!$E$66:FJP$66))</f>
        <v>0</v>
      </c>
      <c r="FJS66" s="956">
        <f>MIN(FJS60*$C$65,Application!$AO$636-SUM('15 Year Pro Forma'!$E$66:FJR$66))</f>
        <v>0</v>
      </c>
      <c r="FJU66" s="956">
        <f>MIN(FJU60*$C$65,Application!$AO$636-SUM('15 Year Pro Forma'!$E$66:FJT$66))</f>
        <v>0</v>
      </c>
      <c r="FJW66" s="956">
        <f>MIN(FJW60*$C$65,Application!$AO$636-SUM('15 Year Pro Forma'!$E$66:FJV$66))</f>
        <v>0</v>
      </c>
      <c r="FJY66" s="956">
        <f>MIN(FJY60*$C$65,Application!$AO$636-SUM('15 Year Pro Forma'!$E$66:FJX$66))</f>
        <v>0</v>
      </c>
      <c r="FKA66" s="956">
        <f>MIN(FKA60*$C$65,Application!$AO$636-SUM('15 Year Pro Forma'!$E$66:FJZ$66))</f>
        <v>0</v>
      </c>
      <c r="FKC66" s="956">
        <f>MIN(FKC60*$C$65,Application!$AO$636-SUM('15 Year Pro Forma'!$E$66:FKB$66))</f>
        <v>0</v>
      </c>
      <c r="FKE66" s="956">
        <f>MIN(FKE60*$C$65,Application!$AO$636-SUM('15 Year Pro Forma'!$E$66:FKD$66))</f>
        <v>0</v>
      </c>
      <c r="FKG66" s="956">
        <f>MIN(FKG60*$C$65,Application!$AO$636-SUM('15 Year Pro Forma'!$E$66:FKF$66))</f>
        <v>0</v>
      </c>
      <c r="FKI66" s="956">
        <f>MIN(FKI60*$C$65,Application!$AO$636-SUM('15 Year Pro Forma'!$E$66:FKH$66))</f>
        <v>0</v>
      </c>
      <c r="FKK66" s="956">
        <f>MIN(FKK60*$C$65,Application!$AO$636-SUM('15 Year Pro Forma'!$E$66:FKJ$66))</f>
        <v>0</v>
      </c>
      <c r="FKM66" s="956">
        <f>MIN(FKM60*$C$65,Application!$AO$636-SUM('15 Year Pro Forma'!$E$66:FKL$66))</f>
        <v>0</v>
      </c>
      <c r="FKO66" s="956">
        <f>MIN(FKO60*$C$65,Application!$AO$636-SUM('15 Year Pro Forma'!$E$66:FKN$66))</f>
        <v>0</v>
      </c>
      <c r="FKQ66" s="956">
        <f>MIN(FKQ60*$C$65,Application!$AO$636-SUM('15 Year Pro Forma'!$E$66:FKP$66))</f>
        <v>0</v>
      </c>
      <c r="FKS66" s="956">
        <f>MIN(FKS60*$C$65,Application!$AO$636-SUM('15 Year Pro Forma'!$E$66:FKR$66))</f>
        <v>0</v>
      </c>
      <c r="FKU66" s="956">
        <f>MIN(FKU60*$C$65,Application!$AO$636-SUM('15 Year Pro Forma'!$E$66:FKT$66))</f>
        <v>0</v>
      </c>
      <c r="FKW66" s="956">
        <f>MIN(FKW60*$C$65,Application!$AO$636-SUM('15 Year Pro Forma'!$E$66:FKV$66))</f>
        <v>0</v>
      </c>
      <c r="FKY66" s="956">
        <f>MIN(FKY60*$C$65,Application!$AO$636-SUM('15 Year Pro Forma'!$E$66:FKX$66))</f>
        <v>0</v>
      </c>
      <c r="FLA66" s="956">
        <f>MIN(FLA60*$C$65,Application!$AO$636-SUM('15 Year Pro Forma'!$E$66:FKZ$66))</f>
        <v>0</v>
      </c>
      <c r="FLC66" s="956">
        <f>MIN(FLC60*$C$65,Application!$AO$636-SUM('15 Year Pro Forma'!$E$66:FLB$66))</f>
        <v>0</v>
      </c>
      <c r="FLE66" s="956">
        <f>MIN(FLE60*$C$65,Application!$AO$636-SUM('15 Year Pro Forma'!$E$66:FLD$66))</f>
        <v>0</v>
      </c>
      <c r="FLG66" s="956">
        <f>MIN(FLG60*$C$65,Application!$AO$636-SUM('15 Year Pro Forma'!$E$66:FLF$66))</f>
        <v>0</v>
      </c>
      <c r="FLI66" s="956">
        <f>MIN(FLI60*$C$65,Application!$AO$636-SUM('15 Year Pro Forma'!$E$66:FLH$66))</f>
        <v>0</v>
      </c>
      <c r="FLK66" s="956">
        <f>MIN(FLK60*$C$65,Application!$AO$636-SUM('15 Year Pro Forma'!$E$66:FLJ$66))</f>
        <v>0</v>
      </c>
      <c r="FLM66" s="956">
        <f>MIN(FLM60*$C$65,Application!$AO$636-SUM('15 Year Pro Forma'!$E$66:FLL$66))</f>
        <v>0</v>
      </c>
      <c r="FLO66" s="956">
        <f>MIN(FLO60*$C$65,Application!$AO$636-SUM('15 Year Pro Forma'!$E$66:FLN$66))</f>
        <v>0</v>
      </c>
      <c r="FLQ66" s="956">
        <f>MIN(FLQ60*$C$65,Application!$AO$636-SUM('15 Year Pro Forma'!$E$66:FLP$66))</f>
        <v>0</v>
      </c>
      <c r="FLS66" s="956">
        <f>MIN(FLS60*$C$65,Application!$AO$636-SUM('15 Year Pro Forma'!$E$66:FLR$66))</f>
        <v>0</v>
      </c>
      <c r="FLU66" s="956">
        <f>MIN(FLU60*$C$65,Application!$AO$636-SUM('15 Year Pro Forma'!$E$66:FLT$66))</f>
        <v>0</v>
      </c>
      <c r="FLW66" s="956">
        <f>MIN(FLW60*$C$65,Application!$AO$636-SUM('15 Year Pro Forma'!$E$66:FLV$66))</f>
        <v>0</v>
      </c>
      <c r="FLY66" s="956">
        <f>MIN(FLY60*$C$65,Application!$AO$636-SUM('15 Year Pro Forma'!$E$66:FLX$66))</f>
        <v>0</v>
      </c>
      <c r="FMA66" s="956">
        <f>MIN(FMA60*$C$65,Application!$AO$636-SUM('15 Year Pro Forma'!$E$66:FLZ$66))</f>
        <v>0</v>
      </c>
      <c r="FMC66" s="956">
        <f>MIN(FMC60*$C$65,Application!$AO$636-SUM('15 Year Pro Forma'!$E$66:FMB$66))</f>
        <v>0</v>
      </c>
      <c r="FME66" s="956">
        <f>MIN(FME60*$C$65,Application!$AO$636-SUM('15 Year Pro Forma'!$E$66:FMD$66))</f>
        <v>0</v>
      </c>
      <c r="FMG66" s="956">
        <f>MIN(FMG60*$C$65,Application!$AO$636-SUM('15 Year Pro Forma'!$E$66:FMF$66))</f>
        <v>0</v>
      </c>
      <c r="FMI66" s="956">
        <f>MIN(FMI60*$C$65,Application!$AO$636-SUM('15 Year Pro Forma'!$E$66:FMH$66))</f>
        <v>0</v>
      </c>
      <c r="FMK66" s="956">
        <f>MIN(FMK60*$C$65,Application!$AO$636-SUM('15 Year Pro Forma'!$E$66:FMJ$66))</f>
        <v>0</v>
      </c>
      <c r="FMM66" s="956">
        <f>MIN(FMM60*$C$65,Application!$AO$636-SUM('15 Year Pro Forma'!$E$66:FML$66))</f>
        <v>0</v>
      </c>
      <c r="FMO66" s="956">
        <f>MIN(FMO60*$C$65,Application!$AO$636-SUM('15 Year Pro Forma'!$E$66:FMN$66))</f>
        <v>0</v>
      </c>
      <c r="FMQ66" s="956">
        <f>MIN(FMQ60*$C$65,Application!$AO$636-SUM('15 Year Pro Forma'!$E$66:FMP$66))</f>
        <v>0</v>
      </c>
      <c r="FMS66" s="956">
        <f>MIN(FMS60*$C$65,Application!$AO$636-SUM('15 Year Pro Forma'!$E$66:FMR$66))</f>
        <v>0</v>
      </c>
      <c r="FMU66" s="956">
        <f>MIN(FMU60*$C$65,Application!$AO$636-SUM('15 Year Pro Forma'!$E$66:FMT$66))</f>
        <v>0</v>
      </c>
      <c r="FMW66" s="956">
        <f>MIN(FMW60*$C$65,Application!$AO$636-SUM('15 Year Pro Forma'!$E$66:FMV$66))</f>
        <v>0</v>
      </c>
      <c r="FMY66" s="956">
        <f>MIN(FMY60*$C$65,Application!$AO$636-SUM('15 Year Pro Forma'!$E$66:FMX$66))</f>
        <v>0</v>
      </c>
      <c r="FNA66" s="956">
        <f>MIN(FNA60*$C$65,Application!$AO$636-SUM('15 Year Pro Forma'!$E$66:FMZ$66))</f>
        <v>0</v>
      </c>
      <c r="FNC66" s="956">
        <f>MIN(FNC60*$C$65,Application!$AO$636-SUM('15 Year Pro Forma'!$E$66:FNB$66))</f>
        <v>0</v>
      </c>
      <c r="FNE66" s="956">
        <f>MIN(FNE60*$C$65,Application!$AO$636-SUM('15 Year Pro Forma'!$E$66:FND$66))</f>
        <v>0</v>
      </c>
      <c r="FNG66" s="956">
        <f>MIN(FNG60*$C$65,Application!$AO$636-SUM('15 Year Pro Forma'!$E$66:FNF$66))</f>
        <v>0</v>
      </c>
      <c r="FNI66" s="956">
        <f>MIN(FNI60*$C$65,Application!$AO$636-SUM('15 Year Pro Forma'!$E$66:FNH$66))</f>
        <v>0</v>
      </c>
      <c r="FNK66" s="956">
        <f>MIN(FNK60*$C$65,Application!$AO$636-SUM('15 Year Pro Forma'!$E$66:FNJ$66))</f>
        <v>0</v>
      </c>
      <c r="FNM66" s="956">
        <f>MIN(FNM60*$C$65,Application!$AO$636-SUM('15 Year Pro Forma'!$E$66:FNL$66))</f>
        <v>0</v>
      </c>
      <c r="FNO66" s="956">
        <f>MIN(FNO60*$C$65,Application!$AO$636-SUM('15 Year Pro Forma'!$E$66:FNN$66))</f>
        <v>0</v>
      </c>
      <c r="FNQ66" s="956">
        <f>MIN(FNQ60*$C$65,Application!$AO$636-SUM('15 Year Pro Forma'!$E$66:FNP$66))</f>
        <v>0</v>
      </c>
      <c r="FNS66" s="956">
        <f>MIN(FNS60*$C$65,Application!$AO$636-SUM('15 Year Pro Forma'!$E$66:FNR$66))</f>
        <v>0</v>
      </c>
      <c r="FNU66" s="956">
        <f>MIN(FNU60*$C$65,Application!$AO$636-SUM('15 Year Pro Forma'!$E$66:FNT$66))</f>
        <v>0</v>
      </c>
      <c r="FNW66" s="956">
        <f>MIN(FNW60*$C$65,Application!$AO$636-SUM('15 Year Pro Forma'!$E$66:FNV$66))</f>
        <v>0</v>
      </c>
      <c r="FNY66" s="956">
        <f>MIN(FNY60*$C$65,Application!$AO$636-SUM('15 Year Pro Forma'!$E$66:FNX$66))</f>
        <v>0</v>
      </c>
      <c r="FOA66" s="956">
        <f>MIN(FOA60*$C$65,Application!$AO$636-SUM('15 Year Pro Forma'!$E$66:FNZ$66))</f>
        <v>0</v>
      </c>
      <c r="FOC66" s="956">
        <f>MIN(FOC60*$C$65,Application!$AO$636-SUM('15 Year Pro Forma'!$E$66:FOB$66))</f>
        <v>0</v>
      </c>
      <c r="FOE66" s="956">
        <f>MIN(FOE60*$C$65,Application!$AO$636-SUM('15 Year Pro Forma'!$E$66:FOD$66))</f>
        <v>0</v>
      </c>
      <c r="FOG66" s="956">
        <f>MIN(FOG60*$C$65,Application!$AO$636-SUM('15 Year Pro Forma'!$E$66:FOF$66))</f>
        <v>0</v>
      </c>
      <c r="FOI66" s="956">
        <f>MIN(FOI60*$C$65,Application!$AO$636-SUM('15 Year Pro Forma'!$E$66:FOH$66))</f>
        <v>0</v>
      </c>
      <c r="FOK66" s="956">
        <f>MIN(FOK60*$C$65,Application!$AO$636-SUM('15 Year Pro Forma'!$E$66:FOJ$66))</f>
        <v>0</v>
      </c>
      <c r="FOM66" s="956">
        <f>MIN(FOM60*$C$65,Application!$AO$636-SUM('15 Year Pro Forma'!$E$66:FOL$66))</f>
        <v>0</v>
      </c>
      <c r="FOO66" s="956">
        <f>MIN(FOO60*$C$65,Application!$AO$636-SUM('15 Year Pro Forma'!$E$66:FON$66))</f>
        <v>0</v>
      </c>
      <c r="FOQ66" s="956">
        <f>MIN(FOQ60*$C$65,Application!$AO$636-SUM('15 Year Pro Forma'!$E$66:FOP$66))</f>
        <v>0</v>
      </c>
      <c r="FOS66" s="956">
        <f>MIN(FOS60*$C$65,Application!$AO$636-SUM('15 Year Pro Forma'!$E$66:FOR$66))</f>
        <v>0</v>
      </c>
      <c r="FOU66" s="956">
        <f>MIN(FOU60*$C$65,Application!$AO$636-SUM('15 Year Pro Forma'!$E$66:FOT$66))</f>
        <v>0</v>
      </c>
      <c r="FOW66" s="956">
        <f>MIN(FOW60*$C$65,Application!$AO$636-SUM('15 Year Pro Forma'!$E$66:FOV$66))</f>
        <v>0</v>
      </c>
      <c r="FOY66" s="956">
        <f>MIN(FOY60*$C$65,Application!$AO$636-SUM('15 Year Pro Forma'!$E$66:FOX$66))</f>
        <v>0</v>
      </c>
      <c r="FPA66" s="956">
        <f>MIN(FPA60*$C$65,Application!$AO$636-SUM('15 Year Pro Forma'!$E$66:FOZ$66))</f>
        <v>0</v>
      </c>
      <c r="FPC66" s="956">
        <f>MIN(FPC60*$C$65,Application!$AO$636-SUM('15 Year Pro Forma'!$E$66:FPB$66))</f>
        <v>0</v>
      </c>
      <c r="FPE66" s="956">
        <f>MIN(FPE60*$C$65,Application!$AO$636-SUM('15 Year Pro Forma'!$E$66:FPD$66))</f>
        <v>0</v>
      </c>
      <c r="FPG66" s="956">
        <f>MIN(FPG60*$C$65,Application!$AO$636-SUM('15 Year Pro Forma'!$E$66:FPF$66))</f>
        <v>0</v>
      </c>
      <c r="FPI66" s="956">
        <f>MIN(FPI60*$C$65,Application!$AO$636-SUM('15 Year Pro Forma'!$E$66:FPH$66))</f>
        <v>0</v>
      </c>
      <c r="FPK66" s="956">
        <f>MIN(FPK60*$C$65,Application!$AO$636-SUM('15 Year Pro Forma'!$E$66:FPJ$66))</f>
        <v>0</v>
      </c>
      <c r="FPM66" s="956">
        <f>MIN(FPM60*$C$65,Application!$AO$636-SUM('15 Year Pro Forma'!$E$66:FPL$66))</f>
        <v>0</v>
      </c>
      <c r="FPO66" s="956">
        <f>MIN(FPO60*$C$65,Application!$AO$636-SUM('15 Year Pro Forma'!$E$66:FPN$66))</f>
        <v>0</v>
      </c>
      <c r="FPQ66" s="956">
        <f>MIN(FPQ60*$C$65,Application!$AO$636-SUM('15 Year Pro Forma'!$E$66:FPP$66))</f>
        <v>0</v>
      </c>
      <c r="FPS66" s="956">
        <f>MIN(FPS60*$C$65,Application!$AO$636-SUM('15 Year Pro Forma'!$E$66:FPR$66))</f>
        <v>0</v>
      </c>
      <c r="FPU66" s="956">
        <f>MIN(FPU60*$C$65,Application!$AO$636-SUM('15 Year Pro Forma'!$E$66:FPT$66))</f>
        <v>0</v>
      </c>
      <c r="FPW66" s="956">
        <f>MIN(FPW60*$C$65,Application!$AO$636-SUM('15 Year Pro Forma'!$E$66:FPV$66))</f>
        <v>0</v>
      </c>
      <c r="FPY66" s="956">
        <f>MIN(FPY60*$C$65,Application!$AO$636-SUM('15 Year Pro Forma'!$E$66:FPX$66))</f>
        <v>0</v>
      </c>
      <c r="FQA66" s="956">
        <f>MIN(FQA60*$C$65,Application!$AO$636-SUM('15 Year Pro Forma'!$E$66:FPZ$66))</f>
        <v>0</v>
      </c>
      <c r="FQC66" s="956">
        <f>MIN(FQC60*$C$65,Application!$AO$636-SUM('15 Year Pro Forma'!$E$66:FQB$66))</f>
        <v>0</v>
      </c>
      <c r="FQE66" s="956">
        <f>MIN(FQE60*$C$65,Application!$AO$636-SUM('15 Year Pro Forma'!$E$66:FQD$66))</f>
        <v>0</v>
      </c>
      <c r="FQG66" s="956">
        <f>MIN(FQG60*$C$65,Application!$AO$636-SUM('15 Year Pro Forma'!$E$66:FQF$66))</f>
        <v>0</v>
      </c>
      <c r="FQI66" s="956">
        <f>MIN(FQI60*$C$65,Application!$AO$636-SUM('15 Year Pro Forma'!$E$66:FQH$66))</f>
        <v>0</v>
      </c>
      <c r="FQK66" s="956">
        <f>MIN(FQK60*$C$65,Application!$AO$636-SUM('15 Year Pro Forma'!$E$66:FQJ$66))</f>
        <v>0</v>
      </c>
      <c r="FQM66" s="956">
        <f>MIN(FQM60*$C$65,Application!$AO$636-SUM('15 Year Pro Forma'!$E$66:FQL$66))</f>
        <v>0</v>
      </c>
      <c r="FQO66" s="956">
        <f>MIN(FQO60*$C$65,Application!$AO$636-SUM('15 Year Pro Forma'!$E$66:FQN$66))</f>
        <v>0</v>
      </c>
      <c r="FQQ66" s="956">
        <f>MIN(FQQ60*$C$65,Application!$AO$636-SUM('15 Year Pro Forma'!$E$66:FQP$66))</f>
        <v>0</v>
      </c>
      <c r="FQS66" s="956">
        <f>MIN(FQS60*$C$65,Application!$AO$636-SUM('15 Year Pro Forma'!$E$66:FQR$66))</f>
        <v>0</v>
      </c>
      <c r="FQU66" s="956">
        <f>MIN(FQU60*$C$65,Application!$AO$636-SUM('15 Year Pro Forma'!$E$66:FQT$66))</f>
        <v>0</v>
      </c>
      <c r="FQW66" s="956">
        <f>MIN(FQW60*$C$65,Application!$AO$636-SUM('15 Year Pro Forma'!$E$66:FQV$66))</f>
        <v>0</v>
      </c>
      <c r="FQY66" s="956">
        <f>MIN(FQY60*$C$65,Application!$AO$636-SUM('15 Year Pro Forma'!$E$66:FQX$66))</f>
        <v>0</v>
      </c>
      <c r="FRA66" s="956">
        <f>MIN(FRA60*$C$65,Application!$AO$636-SUM('15 Year Pro Forma'!$E$66:FQZ$66))</f>
        <v>0</v>
      </c>
      <c r="FRC66" s="956">
        <f>MIN(FRC60*$C$65,Application!$AO$636-SUM('15 Year Pro Forma'!$E$66:FRB$66))</f>
        <v>0</v>
      </c>
      <c r="FRE66" s="956">
        <f>MIN(FRE60*$C$65,Application!$AO$636-SUM('15 Year Pro Forma'!$E$66:FRD$66))</f>
        <v>0</v>
      </c>
      <c r="FRG66" s="956">
        <f>MIN(FRG60*$C$65,Application!$AO$636-SUM('15 Year Pro Forma'!$E$66:FRF$66))</f>
        <v>0</v>
      </c>
      <c r="FRI66" s="956">
        <f>MIN(FRI60*$C$65,Application!$AO$636-SUM('15 Year Pro Forma'!$E$66:FRH$66))</f>
        <v>0</v>
      </c>
      <c r="FRK66" s="956">
        <f>MIN(FRK60*$C$65,Application!$AO$636-SUM('15 Year Pro Forma'!$E$66:FRJ$66))</f>
        <v>0</v>
      </c>
      <c r="FRM66" s="956">
        <f>MIN(FRM60*$C$65,Application!$AO$636-SUM('15 Year Pro Forma'!$E$66:FRL$66))</f>
        <v>0</v>
      </c>
      <c r="FRO66" s="956">
        <f>MIN(FRO60*$C$65,Application!$AO$636-SUM('15 Year Pro Forma'!$E$66:FRN$66))</f>
        <v>0</v>
      </c>
      <c r="FRQ66" s="956">
        <f>MIN(FRQ60*$C$65,Application!$AO$636-SUM('15 Year Pro Forma'!$E$66:FRP$66))</f>
        <v>0</v>
      </c>
      <c r="FRS66" s="956">
        <f>MIN(FRS60*$C$65,Application!$AO$636-SUM('15 Year Pro Forma'!$E$66:FRR$66))</f>
        <v>0</v>
      </c>
      <c r="FRU66" s="956">
        <f>MIN(FRU60*$C$65,Application!$AO$636-SUM('15 Year Pro Forma'!$E$66:FRT$66))</f>
        <v>0</v>
      </c>
      <c r="FRW66" s="956">
        <f>MIN(FRW60*$C$65,Application!$AO$636-SUM('15 Year Pro Forma'!$E$66:FRV$66))</f>
        <v>0</v>
      </c>
      <c r="FRY66" s="956">
        <f>MIN(FRY60*$C$65,Application!$AO$636-SUM('15 Year Pro Forma'!$E$66:FRX$66))</f>
        <v>0</v>
      </c>
      <c r="FSA66" s="956">
        <f>MIN(FSA60*$C$65,Application!$AO$636-SUM('15 Year Pro Forma'!$E$66:FRZ$66))</f>
        <v>0</v>
      </c>
      <c r="FSC66" s="956">
        <f>MIN(FSC60*$C$65,Application!$AO$636-SUM('15 Year Pro Forma'!$E$66:FSB$66))</f>
        <v>0</v>
      </c>
      <c r="FSE66" s="956">
        <f>MIN(FSE60*$C$65,Application!$AO$636-SUM('15 Year Pro Forma'!$E$66:FSD$66))</f>
        <v>0</v>
      </c>
      <c r="FSG66" s="956">
        <f>MIN(FSG60*$C$65,Application!$AO$636-SUM('15 Year Pro Forma'!$E$66:FSF$66))</f>
        <v>0</v>
      </c>
      <c r="FSI66" s="956">
        <f>MIN(FSI60*$C$65,Application!$AO$636-SUM('15 Year Pro Forma'!$E$66:FSH$66))</f>
        <v>0</v>
      </c>
      <c r="FSK66" s="956">
        <f>MIN(FSK60*$C$65,Application!$AO$636-SUM('15 Year Pro Forma'!$E$66:FSJ$66))</f>
        <v>0</v>
      </c>
      <c r="FSM66" s="956">
        <f>MIN(FSM60*$C$65,Application!$AO$636-SUM('15 Year Pro Forma'!$E$66:FSL$66))</f>
        <v>0</v>
      </c>
      <c r="FSO66" s="956">
        <f>MIN(FSO60*$C$65,Application!$AO$636-SUM('15 Year Pro Forma'!$E$66:FSN$66))</f>
        <v>0</v>
      </c>
      <c r="FSQ66" s="956">
        <f>MIN(FSQ60*$C$65,Application!$AO$636-SUM('15 Year Pro Forma'!$E$66:FSP$66))</f>
        <v>0</v>
      </c>
      <c r="FSS66" s="956">
        <f>MIN(FSS60*$C$65,Application!$AO$636-SUM('15 Year Pro Forma'!$E$66:FSR$66))</f>
        <v>0</v>
      </c>
      <c r="FSU66" s="956">
        <f>MIN(FSU60*$C$65,Application!$AO$636-SUM('15 Year Pro Forma'!$E$66:FST$66))</f>
        <v>0</v>
      </c>
      <c r="FSW66" s="956">
        <f>MIN(FSW60*$C$65,Application!$AO$636-SUM('15 Year Pro Forma'!$E$66:FSV$66))</f>
        <v>0</v>
      </c>
      <c r="FSY66" s="956">
        <f>MIN(FSY60*$C$65,Application!$AO$636-SUM('15 Year Pro Forma'!$E$66:FSX$66))</f>
        <v>0</v>
      </c>
      <c r="FTA66" s="956">
        <f>MIN(FTA60*$C$65,Application!$AO$636-SUM('15 Year Pro Forma'!$E$66:FSZ$66))</f>
        <v>0</v>
      </c>
      <c r="FTC66" s="956">
        <f>MIN(FTC60*$C$65,Application!$AO$636-SUM('15 Year Pro Forma'!$E$66:FTB$66))</f>
        <v>0</v>
      </c>
      <c r="FTE66" s="956">
        <f>MIN(FTE60*$C$65,Application!$AO$636-SUM('15 Year Pro Forma'!$E$66:FTD$66))</f>
        <v>0</v>
      </c>
      <c r="FTG66" s="956">
        <f>MIN(FTG60*$C$65,Application!$AO$636-SUM('15 Year Pro Forma'!$E$66:FTF$66))</f>
        <v>0</v>
      </c>
      <c r="FTI66" s="956">
        <f>MIN(FTI60*$C$65,Application!$AO$636-SUM('15 Year Pro Forma'!$E$66:FTH$66))</f>
        <v>0</v>
      </c>
      <c r="FTK66" s="956">
        <f>MIN(FTK60*$C$65,Application!$AO$636-SUM('15 Year Pro Forma'!$E$66:FTJ$66))</f>
        <v>0</v>
      </c>
      <c r="FTM66" s="956">
        <f>MIN(FTM60*$C$65,Application!$AO$636-SUM('15 Year Pro Forma'!$E$66:FTL$66))</f>
        <v>0</v>
      </c>
      <c r="FTO66" s="956">
        <f>MIN(FTO60*$C$65,Application!$AO$636-SUM('15 Year Pro Forma'!$E$66:FTN$66))</f>
        <v>0</v>
      </c>
      <c r="FTQ66" s="956">
        <f>MIN(FTQ60*$C$65,Application!$AO$636-SUM('15 Year Pro Forma'!$E$66:FTP$66))</f>
        <v>0</v>
      </c>
      <c r="FTS66" s="956">
        <f>MIN(FTS60*$C$65,Application!$AO$636-SUM('15 Year Pro Forma'!$E$66:FTR$66))</f>
        <v>0</v>
      </c>
      <c r="FTU66" s="956">
        <f>MIN(FTU60*$C$65,Application!$AO$636-SUM('15 Year Pro Forma'!$E$66:FTT$66))</f>
        <v>0</v>
      </c>
      <c r="FTW66" s="956">
        <f>MIN(FTW60*$C$65,Application!$AO$636-SUM('15 Year Pro Forma'!$E$66:FTV$66))</f>
        <v>0</v>
      </c>
      <c r="FTY66" s="956">
        <f>MIN(FTY60*$C$65,Application!$AO$636-SUM('15 Year Pro Forma'!$E$66:FTX$66))</f>
        <v>0</v>
      </c>
      <c r="FUA66" s="956">
        <f>MIN(FUA60*$C$65,Application!$AO$636-SUM('15 Year Pro Forma'!$E$66:FTZ$66))</f>
        <v>0</v>
      </c>
      <c r="FUC66" s="956">
        <f>MIN(FUC60*$C$65,Application!$AO$636-SUM('15 Year Pro Forma'!$E$66:FUB$66))</f>
        <v>0</v>
      </c>
      <c r="FUE66" s="956">
        <f>MIN(FUE60*$C$65,Application!$AO$636-SUM('15 Year Pro Forma'!$E$66:FUD$66))</f>
        <v>0</v>
      </c>
      <c r="FUG66" s="956">
        <f>MIN(FUG60*$C$65,Application!$AO$636-SUM('15 Year Pro Forma'!$E$66:FUF$66))</f>
        <v>0</v>
      </c>
      <c r="FUI66" s="956">
        <f>MIN(FUI60*$C$65,Application!$AO$636-SUM('15 Year Pro Forma'!$E$66:FUH$66))</f>
        <v>0</v>
      </c>
      <c r="FUK66" s="956">
        <f>MIN(FUK60*$C$65,Application!$AO$636-SUM('15 Year Pro Forma'!$E$66:FUJ$66))</f>
        <v>0</v>
      </c>
      <c r="FUM66" s="956">
        <f>MIN(FUM60*$C$65,Application!$AO$636-SUM('15 Year Pro Forma'!$E$66:FUL$66))</f>
        <v>0</v>
      </c>
      <c r="FUO66" s="956">
        <f>MIN(FUO60*$C$65,Application!$AO$636-SUM('15 Year Pro Forma'!$E$66:FUN$66))</f>
        <v>0</v>
      </c>
      <c r="FUQ66" s="956">
        <f>MIN(FUQ60*$C$65,Application!$AO$636-SUM('15 Year Pro Forma'!$E$66:FUP$66))</f>
        <v>0</v>
      </c>
      <c r="FUS66" s="956">
        <f>MIN(FUS60*$C$65,Application!$AO$636-SUM('15 Year Pro Forma'!$E$66:FUR$66))</f>
        <v>0</v>
      </c>
      <c r="FUU66" s="956">
        <f>MIN(FUU60*$C$65,Application!$AO$636-SUM('15 Year Pro Forma'!$E$66:FUT$66))</f>
        <v>0</v>
      </c>
      <c r="FUW66" s="956">
        <f>MIN(FUW60*$C$65,Application!$AO$636-SUM('15 Year Pro Forma'!$E$66:FUV$66))</f>
        <v>0</v>
      </c>
      <c r="FUY66" s="956">
        <f>MIN(FUY60*$C$65,Application!$AO$636-SUM('15 Year Pro Forma'!$E$66:FUX$66))</f>
        <v>0</v>
      </c>
      <c r="FVA66" s="956">
        <f>MIN(FVA60*$C$65,Application!$AO$636-SUM('15 Year Pro Forma'!$E$66:FUZ$66))</f>
        <v>0</v>
      </c>
      <c r="FVC66" s="956">
        <f>MIN(FVC60*$C$65,Application!$AO$636-SUM('15 Year Pro Forma'!$E$66:FVB$66))</f>
        <v>0</v>
      </c>
      <c r="FVE66" s="956">
        <f>MIN(FVE60*$C$65,Application!$AO$636-SUM('15 Year Pro Forma'!$E$66:FVD$66))</f>
        <v>0</v>
      </c>
      <c r="FVG66" s="956">
        <f>MIN(FVG60*$C$65,Application!$AO$636-SUM('15 Year Pro Forma'!$E$66:FVF$66))</f>
        <v>0</v>
      </c>
      <c r="FVI66" s="956">
        <f>MIN(FVI60*$C$65,Application!$AO$636-SUM('15 Year Pro Forma'!$E$66:FVH$66))</f>
        <v>0</v>
      </c>
      <c r="FVK66" s="956">
        <f>MIN(FVK60*$C$65,Application!$AO$636-SUM('15 Year Pro Forma'!$E$66:FVJ$66))</f>
        <v>0</v>
      </c>
      <c r="FVM66" s="956">
        <f>MIN(FVM60*$C$65,Application!$AO$636-SUM('15 Year Pro Forma'!$E$66:FVL$66))</f>
        <v>0</v>
      </c>
      <c r="FVO66" s="956">
        <f>MIN(FVO60*$C$65,Application!$AO$636-SUM('15 Year Pro Forma'!$E$66:FVN$66))</f>
        <v>0</v>
      </c>
      <c r="FVQ66" s="956">
        <f>MIN(FVQ60*$C$65,Application!$AO$636-SUM('15 Year Pro Forma'!$E$66:FVP$66))</f>
        <v>0</v>
      </c>
      <c r="FVS66" s="956">
        <f>MIN(FVS60*$C$65,Application!$AO$636-SUM('15 Year Pro Forma'!$E$66:FVR$66))</f>
        <v>0</v>
      </c>
      <c r="FVU66" s="956">
        <f>MIN(FVU60*$C$65,Application!$AO$636-SUM('15 Year Pro Forma'!$E$66:FVT$66))</f>
        <v>0</v>
      </c>
      <c r="FVW66" s="956">
        <f>MIN(FVW60*$C$65,Application!$AO$636-SUM('15 Year Pro Forma'!$E$66:FVV$66))</f>
        <v>0</v>
      </c>
      <c r="FVY66" s="956">
        <f>MIN(FVY60*$C$65,Application!$AO$636-SUM('15 Year Pro Forma'!$E$66:FVX$66))</f>
        <v>0</v>
      </c>
      <c r="FWA66" s="956">
        <f>MIN(FWA60*$C$65,Application!$AO$636-SUM('15 Year Pro Forma'!$E$66:FVZ$66))</f>
        <v>0</v>
      </c>
      <c r="FWC66" s="956">
        <f>MIN(FWC60*$C$65,Application!$AO$636-SUM('15 Year Pro Forma'!$E$66:FWB$66))</f>
        <v>0</v>
      </c>
      <c r="FWE66" s="956">
        <f>MIN(FWE60*$C$65,Application!$AO$636-SUM('15 Year Pro Forma'!$E$66:FWD$66))</f>
        <v>0</v>
      </c>
      <c r="FWG66" s="956">
        <f>MIN(FWG60*$C$65,Application!$AO$636-SUM('15 Year Pro Forma'!$E$66:FWF$66))</f>
        <v>0</v>
      </c>
      <c r="FWI66" s="956">
        <f>MIN(FWI60*$C$65,Application!$AO$636-SUM('15 Year Pro Forma'!$E$66:FWH$66))</f>
        <v>0</v>
      </c>
      <c r="FWK66" s="956">
        <f>MIN(FWK60*$C$65,Application!$AO$636-SUM('15 Year Pro Forma'!$E$66:FWJ$66))</f>
        <v>0</v>
      </c>
      <c r="FWM66" s="956">
        <f>MIN(FWM60*$C$65,Application!$AO$636-SUM('15 Year Pro Forma'!$E$66:FWL$66))</f>
        <v>0</v>
      </c>
      <c r="FWO66" s="956">
        <f>MIN(FWO60*$C$65,Application!$AO$636-SUM('15 Year Pro Forma'!$E$66:FWN$66))</f>
        <v>0</v>
      </c>
      <c r="FWQ66" s="956">
        <f>MIN(FWQ60*$C$65,Application!$AO$636-SUM('15 Year Pro Forma'!$E$66:FWP$66))</f>
        <v>0</v>
      </c>
      <c r="FWS66" s="956">
        <f>MIN(FWS60*$C$65,Application!$AO$636-SUM('15 Year Pro Forma'!$E$66:FWR$66))</f>
        <v>0</v>
      </c>
      <c r="FWU66" s="956">
        <f>MIN(FWU60*$C$65,Application!$AO$636-SUM('15 Year Pro Forma'!$E$66:FWT$66))</f>
        <v>0</v>
      </c>
      <c r="FWW66" s="956">
        <f>MIN(FWW60*$C$65,Application!$AO$636-SUM('15 Year Pro Forma'!$E$66:FWV$66))</f>
        <v>0</v>
      </c>
      <c r="FWY66" s="956">
        <f>MIN(FWY60*$C$65,Application!$AO$636-SUM('15 Year Pro Forma'!$E$66:FWX$66))</f>
        <v>0</v>
      </c>
      <c r="FXA66" s="956">
        <f>MIN(FXA60*$C$65,Application!$AO$636-SUM('15 Year Pro Forma'!$E$66:FWZ$66))</f>
        <v>0</v>
      </c>
      <c r="FXC66" s="956">
        <f>MIN(FXC60*$C$65,Application!$AO$636-SUM('15 Year Pro Forma'!$E$66:FXB$66))</f>
        <v>0</v>
      </c>
      <c r="FXE66" s="956">
        <f>MIN(FXE60*$C$65,Application!$AO$636-SUM('15 Year Pro Forma'!$E$66:FXD$66))</f>
        <v>0</v>
      </c>
      <c r="FXG66" s="956">
        <f>MIN(FXG60*$C$65,Application!$AO$636-SUM('15 Year Pro Forma'!$E$66:FXF$66))</f>
        <v>0</v>
      </c>
      <c r="FXI66" s="956">
        <f>MIN(FXI60*$C$65,Application!$AO$636-SUM('15 Year Pro Forma'!$E$66:FXH$66))</f>
        <v>0</v>
      </c>
      <c r="FXK66" s="956">
        <f>MIN(FXK60*$C$65,Application!$AO$636-SUM('15 Year Pro Forma'!$E$66:FXJ$66))</f>
        <v>0</v>
      </c>
      <c r="FXM66" s="956">
        <f>MIN(FXM60*$C$65,Application!$AO$636-SUM('15 Year Pro Forma'!$E$66:FXL$66))</f>
        <v>0</v>
      </c>
      <c r="FXO66" s="956">
        <f>MIN(FXO60*$C$65,Application!$AO$636-SUM('15 Year Pro Forma'!$E$66:FXN$66))</f>
        <v>0</v>
      </c>
      <c r="FXQ66" s="956">
        <f>MIN(FXQ60*$C$65,Application!$AO$636-SUM('15 Year Pro Forma'!$E$66:FXP$66))</f>
        <v>0</v>
      </c>
      <c r="FXS66" s="956">
        <f>MIN(FXS60*$C$65,Application!$AO$636-SUM('15 Year Pro Forma'!$E$66:FXR$66))</f>
        <v>0</v>
      </c>
      <c r="FXU66" s="956">
        <f>MIN(FXU60*$C$65,Application!$AO$636-SUM('15 Year Pro Forma'!$E$66:FXT$66))</f>
        <v>0</v>
      </c>
      <c r="FXW66" s="956">
        <f>MIN(FXW60*$C$65,Application!$AO$636-SUM('15 Year Pro Forma'!$E$66:FXV$66))</f>
        <v>0</v>
      </c>
      <c r="FXY66" s="956">
        <f>MIN(FXY60*$C$65,Application!$AO$636-SUM('15 Year Pro Forma'!$E$66:FXX$66))</f>
        <v>0</v>
      </c>
      <c r="FYA66" s="956">
        <f>MIN(FYA60*$C$65,Application!$AO$636-SUM('15 Year Pro Forma'!$E$66:FXZ$66))</f>
        <v>0</v>
      </c>
      <c r="FYC66" s="956">
        <f>MIN(FYC60*$C$65,Application!$AO$636-SUM('15 Year Pro Forma'!$E$66:FYB$66))</f>
        <v>0</v>
      </c>
      <c r="FYE66" s="956">
        <f>MIN(FYE60*$C$65,Application!$AO$636-SUM('15 Year Pro Forma'!$E$66:FYD$66))</f>
        <v>0</v>
      </c>
      <c r="FYG66" s="956">
        <f>MIN(FYG60*$C$65,Application!$AO$636-SUM('15 Year Pro Forma'!$E$66:FYF$66))</f>
        <v>0</v>
      </c>
      <c r="FYI66" s="956">
        <f>MIN(FYI60*$C$65,Application!$AO$636-SUM('15 Year Pro Forma'!$E$66:FYH$66))</f>
        <v>0</v>
      </c>
      <c r="FYK66" s="956">
        <f>MIN(FYK60*$C$65,Application!$AO$636-SUM('15 Year Pro Forma'!$E$66:FYJ$66))</f>
        <v>0</v>
      </c>
      <c r="FYM66" s="956">
        <f>MIN(FYM60*$C$65,Application!$AO$636-SUM('15 Year Pro Forma'!$E$66:FYL$66))</f>
        <v>0</v>
      </c>
      <c r="FYO66" s="956">
        <f>MIN(FYO60*$C$65,Application!$AO$636-SUM('15 Year Pro Forma'!$E$66:FYN$66))</f>
        <v>0</v>
      </c>
      <c r="FYQ66" s="956">
        <f>MIN(FYQ60*$C$65,Application!$AO$636-SUM('15 Year Pro Forma'!$E$66:FYP$66))</f>
        <v>0</v>
      </c>
      <c r="FYS66" s="956">
        <f>MIN(FYS60*$C$65,Application!$AO$636-SUM('15 Year Pro Forma'!$E$66:FYR$66))</f>
        <v>0</v>
      </c>
      <c r="FYU66" s="956">
        <f>MIN(FYU60*$C$65,Application!$AO$636-SUM('15 Year Pro Forma'!$E$66:FYT$66))</f>
        <v>0</v>
      </c>
      <c r="FYW66" s="956">
        <f>MIN(FYW60*$C$65,Application!$AO$636-SUM('15 Year Pro Forma'!$E$66:FYV$66))</f>
        <v>0</v>
      </c>
      <c r="FYY66" s="956">
        <f>MIN(FYY60*$C$65,Application!$AO$636-SUM('15 Year Pro Forma'!$E$66:FYX$66))</f>
        <v>0</v>
      </c>
      <c r="FZA66" s="956">
        <f>MIN(FZA60*$C$65,Application!$AO$636-SUM('15 Year Pro Forma'!$E$66:FYZ$66))</f>
        <v>0</v>
      </c>
      <c r="FZC66" s="956">
        <f>MIN(FZC60*$C$65,Application!$AO$636-SUM('15 Year Pro Forma'!$E$66:FZB$66))</f>
        <v>0</v>
      </c>
      <c r="FZE66" s="956">
        <f>MIN(FZE60*$C$65,Application!$AO$636-SUM('15 Year Pro Forma'!$E$66:FZD$66))</f>
        <v>0</v>
      </c>
      <c r="FZG66" s="956">
        <f>MIN(FZG60*$C$65,Application!$AO$636-SUM('15 Year Pro Forma'!$E$66:FZF$66))</f>
        <v>0</v>
      </c>
      <c r="FZI66" s="956">
        <f>MIN(FZI60*$C$65,Application!$AO$636-SUM('15 Year Pro Forma'!$E$66:FZH$66))</f>
        <v>0</v>
      </c>
      <c r="FZK66" s="956">
        <f>MIN(FZK60*$C$65,Application!$AO$636-SUM('15 Year Pro Forma'!$E$66:FZJ$66))</f>
        <v>0</v>
      </c>
      <c r="FZM66" s="956">
        <f>MIN(FZM60*$C$65,Application!$AO$636-SUM('15 Year Pro Forma'!$E$66:FZL$66))</f>
        <v>0</v>
      </c>
      <c r="FZO66" s="956">
        <f>MIN(FZO60*$C$65,Application!$AO$636-SUM('15 Year Pro Forma'!$E$66:FZN$66))</f>
        <v>0</v>
      </c>
      <c r="FZQ66" s="956">
        <f>MIN(FZQ60*$C$65,Application!$AO$636-SUM('15 Year Pro Forma'!$E$66:FZP$66))</f>
        <v>0</v>
      </c>
      <c r="FZS66" s="956">
        <f>MIN(FZS60*$C$65,Application!$AO$636-SUM('15 Year Pro Forma'!$E$66:FZR$66))</f>
        <v>0</v>
      </c>
      <c r="FZU66" s="956">
        <f>MIN(FZU60*$C$65,Application!$AO$636-SUM('15 Year Pro Forma'!$E$66:FZT$66))</f>
        <v>0</v>
      </c>
      <c r="FZW66" s="956">
        <f>MIN(FZW60*$C$65,Application!$AO$636-SUM('15 Year Pro Forma'!$E$66:FZV$66))</f>
        <v>0</v>
      </c>
      <c r="FZY66" s="956">
        <f>MIN(FZY60*$C$65,Application!$AO$636-SUM('15 Year Pro Forma'!$E$66:FZX$66))</f>
        <v>0</v>
      </c>
      <c r="GAA66" s="956">
        <f>MIN(GAA60*$C$65,Application!$AO$636-SUM('15 Year Pro Forma'!$E$66:FZZ$66))</f>
        <v>0</v>
      </c>
      <c r="GAC66" s="956">
        <f>MIN(GAC60*$C$65,Application!$AO$636-SUM('15 Year Pro Forma'!$E$66:GAB$66))</f>
        <v>0</v>
      </c>
      <c r="GAE66" s="956">
        <f>MIN(GAE60*$C$65,Application!$AO$636-SUM('15 Year Pro Forma'!$E$66:GAD$66))</f>
        <v>0</v>
      </c>
      <c r="GAG66" s="956">
        <f>MIN(GAG60*$C$65,Application!$AO$636-SUM('15 Year Pro Forma'!$E$66:GAF$66))</f>
        <v>0</v>
      </c>
      <c r="GAI66" s="956">
        <f>MIN(GAI60*$C$65,Application!$AO$636-SUM('15 Year Pro Forma'!$E$66:GAH$66))</f>
        <v>0</v>
      </c>
      <c r="GAK66" s="956">
        <f>MIN(GAK60*$C$65,Application!$AO$636-SUM('15 Year Pro Forma'!$E$66:GAJ$66))</f>
        <v>0</v>
      </c>
      <c r="GAM66" s="956">
        <f>MIN(GAM60*$C$65,Application!$AO$636-SUM('15 Year Pro Forma'!$E$66:GAL$66))</f>
        <v>0</v>
      </c>
      <c r="GAO66" s="956">
        <f>MIN(GAO60*$C$65,Application!$AO$636-SUM('15 Year Pro Forma'!$E$66:GAN$66))</f>
        <v>0</v>
      </c>
      <c r="GAQ66" s="956">
        <f>MIN(GAQ60*$C$65,Application!$AO$636-SUM('15 Year Pro Forma'!$E$66:GAP$66))</f>
        <v>0</v>
      </c>
      <c r="GAS66" s="956">
        <f>MIN(GAS60*$C$65,Application!$AO$636-SUM('15 Year Pro Forma'!$E$66:GAR$66))</f>
        <v>0</v>
      </c>
      <c r="GAU66" s="956">
        <f>MIN(GAU60*$C$65,Application!$AO$636-SUM('15 Year Pro Forma'!$E$66:GAT$66))</f>
        <v>0</v>
      </c>
      <c r="GAW66" s="956">
        <f>MIN(GAW60*$C$65,Application!$AO$636-SUM('15 Year Pro Forma'!$E$66:GAV$66))</f>
        <v>0</v>
      </c>
      <c r="GAY66" s="956">
        <f>MIN(GAY60*$C$65,Application!$AO$636-SUM('15 Year Pro Forma'!$E$66:GAX$66))</f>
        <v>0</v>
      </c>
      <c r="GBA66" s="956">
        <f>MIN(GBA60*$C$65,Application!$AO$636-SUM('15 Year Pro Forma'!$E$66:GAZ$66))</f>
        <v>0</v>
      </c>
      <c r="GBC66" s="956">
        <f>MIN(GBC60*$C$65,Application!$AO$636-SUM('15 Year Pro Forma'!$E$66:GBB$66))</f>
        <v>0</v>
      </c>
      <c r="GBE66" s="956">
        <f>MIN(GBE60*$C$65,Application!$AO$636-SUM('15 Year Pro Forma'!$E$66:GBD$66))</f>
        <v>0</v>
      </c>
      <c r="GBG66" s="956">
        <f>MIN(GBG60*$C$65,Application!$AO$636-SUM('15 Year Pro Forma'!$E$66:GBF$66))</f>
        <v>0</v>
      </c>
      <c r="GBI66" s="956">
        <f>MIN(GBI60*$C$65,Application!$AO$636-SUM('15 Year Pro Forma'!$E$66:GBH$66))</f>
        <v>0</v>
      </c>
      <c r="GBK66" s="956">
        <f>MIN(GBK60*$C$65,Application!$AO$636-SUM('15 Year Pro Forma'!$E$66:GBJ$66))</f>
        <v>0</v>
      </c>
      <c r="GBM66" s="956">
        <f>MIN(GBM60*$C$65,Application!$AO$636-SUM('15 Year Pro Forma'!$E$66:GBL$66))</f>
        <v>0</v>
      </c>
      <c r="GBO66" s="956">
        <f>MIN(GBO60*$C$65,Application!$AO$636-SUM('15 Year Pro Forma'!$E$66:GBN$66))</f>
        <v>0</v>
      </c>
      <c r="GBQ66" s="956">
        <f>MIN(GBQ60*$C$65,Application!$AO$636-SUM('15 Year Pro Forma'!$E$66:GBP$66))</f>
        <v>0</v>
      </c>
      <c r="GBS66" s="956">
        <f>MIN(GBS60*$C$65,Application!$AO$636-SUM('15 Year Pro Forma'!$E$66:GBR$66))</f>
        <v>0</v>
      </c>
      <c r="GBU66" s="956">
        <f>MIN(GBU60*$C$65,Application!$AO$636-SUM('15 Year Pro Forma'!$E$66:GBT$66))</f>
        <v>0</v>
      </c>
      <c r="GBW66" s="956">
        <f>MIN(GBW60*$C$65,Application!$AO$636-SUM('15 Year Pro Forma'!$E$66:GBV$66))</f>
        <v>0</v>
      </c>
      <c r="GBY66" s="956">
        <f>MIN(GBY60*$C$65,Application!$AO$636-SUM('15 Year Pro Forma'!$E$66:GBX$66))</f>
        <v>0</v>
      </c>
      <c r="GCA66" s="956">
        <f>MIN(GCA60*$C$65,Application!$AO$636-SUM('15 Year Pro Forma'!$E$66:GBZ$66))</f>
        <v>0</v>
      </c>
      <c r="GCC66" s="956">
        <f>MIN(GCC60*$C$65,Application!$AO$636-SUM('15 Year Pro Forma'!$E$66:GCB$66))</f>
        <v>0</v>
      </c>
      <c r="GCE66" s="956">
        <f>MIN(GCE60*$C$65,Application!$AO$636-SUM('15 Year Pro Forma'!$E$66:GCD$66))</f>
        <v>0</v>
      </c>
      <c r="GCG66" s="956">
        <f>MIN(GCG60*$C$65,Application!$AO$636-SUM('15 Year Pro Forma'!$E$66:GCF$66))</f>
        <v>0</v>
      </c>
      <c r="GCI66" s="956">
        <f>MIN(GCI60*$C$65,Application!$AO$636-SUM('15 Year Pro Forma'!$E$66:GCH$66))</f>
        <v>0</v>
      </c>
      <c r="GCK66" s="956">
        <f>MIN(GCK60*$C$65,Application!$AO$636-SUM('15 Year Pro Forma'!$E$66:GCJ$66))</f>
        <v>0</v>
      </c>
      <c r="GCM66" s="956">
        <f>MIN(GCM60*$C$65,Application!$AO$636-SUM('15 Year Pro Forma'!$E$66:GCL$66))</f>
        <v>0</v>
      </c>
      <c r="GCO66" s="956">
        <f>MIN(GCO60*$C$65,Application!$AO$636-SUM('15 Year Pro Forma'!$E$66:GCN$66))</f>
        <v>0</v>
      </c>
      <c r="GCQ66" s="956">
        <f>MIN(GCQ60*$C$65,Application!$AO$636-SUM('15 Year Pro Forma'!$E$66:GCP$66))</f>
        <v>0</v>
      </c>
      <c r="GCS66" s="956">
        <f>MIN(GCS60*$C$65,Application!$AO$636-SUM('15 Year Pro Forma'!$E$66:GCR$66))</f>
        <v>0</v>
      </c>
      <c r="GCU66" s="956">
        <f>MIN(GCU60*$C$65,Application!$AO$636-SUM('15 Year Pro Forma'!$E$66:GCT$66))</f>
        <v>0</v>
      </c>
      <c r="GCW66" s="956">
        <f>MIN(GCW60*$C$65,Application!$AO$636-SUM('15 Year Pro Forma'!$E$66:GCV$66))</f>
        <v>0</v>
      </c>
      <c r="GCY66" s="956">
        <f>MIN(GCY60*$C$65,Application!$AO$636-SUM('15 Year Pro Forma'!$E$66:GCX$66))</f>
        <v>0</v>
      </c>
      <c r="GDA66" s="956">
        <f>MIN(GDA60*$C$65,Application!$AO$636-SUM('15 Year Pro Forma'!$E$66:GCZ$66))</f>
        <v>0</v>
      </c>
      <c r="GDC66" s="956">
        <f>MIN(GDC60*$C$65,Application!$AO$636-SUM('15 Year Pro Forma'!$E$66:GDB$66))</f>
        <v>0</v>
      </c>
      <c r="GDE66" s="956">
        <f>MIN(GDE60*$C$65,Application!$AO$636-SUM('15 Year Pro Forma'!$E$66:GDD$66))</f>
        <v>0</v>
      </c>
      <c r="GDG66" s="956">
        <f>MIN(GDG60*$C$65,Application!$AO$636-SUM('15 Year Pro Forma'!$E$66:GDF$66))</f>
        <v>0</v>
      </c>
      <c r="GDI66" s="956">
        <f>MIN(GDI60*$C$65,Application!$AO$636-SUM('15 Year Pro Forma'!$E$66:GDH$66))</f>
        <v>0</v>
      </c>
      <c r="GDK66" s="956">
        <f>MIN(GDK60*$C$65,Application!$AO$636-SUM('15 Year Pro Forma'!$E$66:GDJ$66))</f>
        <v>0</v>
      </c>
      <c r="GDM66" s="956">
        <f>MIN(GDM60*$C$65,Application!$AO$636-SUM('15 Year Pro Forma'!$E$66:GDL$66))</f>
        <v>0</v>
      </c>
      <c r="GDO66" s="956">
        <f>MIN(GDO60*$C$65,Application!$AO$636-SUM('15 Year Pro Forma'!$E$66:GDN$66))</f>
        <v>0</v>
      </c>
      <c r="GDQ66" s="956">
        <f>MIN(GDQ60*$C$65,Application!$AO$636-SUM('15 Year Pro Forma'!$E$66:GDP$66))</f>
        <v>0</v>
      </c>
      <c r="GDS66" s="956">
        <f>MIN(GDS60*$C$65,Application!$AO$636-SUM('15 Year Pro Forma'!$E$66:GDR$66))</f>
        <v>0</v>
      </c>
      <c r="GDU66" s="956">
        <f>MIN(GDU60*$C$65,Application!$AO$636-SUM('15 Year Pro Forma'!$E$66:GDT$66))</f>
        <v>0</v>
      </c>
      <c r="GDW66" s="956">
        <f>MIN(GDW60*$C$65,Application!$AO$636-SUM('15 Year Pro Forma'!$E$66:GDV$66))</f>
        <v>0</v>
      </c>
      <c r="GDY66" s="956">
        <f>MIN(GDY60*$C$65,Application!$AO$636-SUM('15 Year Pro Forma'!$E$66:GDX$66))</f>
        <v>0</v>
      </c>
      <c r="GEA66" s="956">
        <f>MIN(GEA60*$C$65,Application!$AO$636-SUM('15 Year Pro Forma'!$E$66:GDZ$66))</f>
        <v>0</v>
      </c>
      <c r="GEC66" s="956">
        <f>MIN(GEC60*$C$65,Application!$AO$636-SUM('15 Year Pro Forma'!$E$66:GEB$66))</f>
        <v>0</v>
      </c>
      <c r="GEE66" s="956">
        <f>MIN(GEE60*$C$65,Application!$AO$636-SUM('15 Year Pro Forma'!$E$66:GED$66))</f>
        <v>0</v>
      </c>
      <c r="GEG66" s="956">
        <f>MIN(GEG60*$C$65,Application!$AO$636-SUM('15 Year Pro Forma'!$E$66:GEF$66))</f>
        <v>0</v>
      </c>
      <c r="GEI66" s="956">
        <f>MIN(GEI60*$C$65,Application!$AO$636-SUM('15 Year Pro Forma'!$E$66:GEH$66))</f>
        <v>0</v>
      </c>
      <c r="GEK66" s="956">
        <f>MIN(GEK60*$C$65,Application!$AO$636-SUM('15 Year Pro Forma'!$E$66:GEJ$66))</f>
        <v>0</v>
      </c>
      <c r="GEM66" s="956">
        <f>MIN(GEM60*$C$65,Application!$AO$636-SUM('15 Year Pro Forma'!$E$66:GEL$66))</f>
        <v>0</v>
      </c>
      <c r="GEO66" s="956">
        <f>MIN(GEO60*$C$65,Application!$AO$636-SUM('15 Year Pro Forma'!$E$66:GEN$66))</f>
        <v>0</v>
      </c>
      <c r="GEQ66" s="956">
        <f>MIN(GEQ60*$C$65,Application!$AO$636-SUM('15 Year Pro Forma'!$E$66:GEP$66))</f>
        <v>0</v>
      </c>
      <c r="GES66" s="956">
        <f>MIN(GES60*$C$65,Application!$AO$636-SUM('15 Year Pro Forma'!$E$66:GER$66))</f>
        <v>0</v>
      </c>
      <c r="GEU66" s="956">
        <f>MIN(GEU60*$C$65,Application!$AO$636-SUM('15 Year Pro Forma'!$E$66:GET$66))</f>
        <v>0</v>
      </c>
      <c r="GEW66" s="956">
        <f>MIN(GEW60*$C$65,Application!$AO$636-SUM('15 Year Pro Forma'!$E$66:GEV$66))</f>
        <v>0</v>
      </c>
      <c r="GEY66" s="956">
        <f>MIN(GEY60*$C$65,Application!$AO$636-SUM('15 Year Pro Forma'!$E$66:GEX$66))</f>
        <v>0</v>
      </c>
      <c r="GFA66" s="956">
        <f>MIN(GFA60*$C$65,Application!$AO$636-SUM('15 Year Pro Forma'!$E$66:GEZ$66))</f>
        <v>0</v>
      </c>
      <c r="GFC66" s="956">
        <f>MIN(GFC60*$C$65,Application!$AO$636-SUM('15 Year Pro Forma'!$E$66:GFB$66))</f>
        <v>0</v>
      </c>
      <c r="GFE66" s="956">
        <f>MIN(GFE60*$C$65,Application!$AO$636-SUM('15 Year Pro Forma'!$E$66:GFD$66))</f>
        <v>0</v>
      </c>
      <c r="GFG66" s="956">
        <f>MIN(GFG60*$C$65,Application!$AO$636-SUM('15 Year Pro Forma'!$E$66:GFF$66))</f>
        <v>0</v>
      </c>
      <c r="GFI66" s="956">
        <f>MIN(GFI60*$C$65,Application!$AO$636-SUM('15 Year Pro Forma'!$E$66:GFH$66))</f>
        <v>0</v>
      </c>
      <c r="GFK66" s="956">
        <f>MIN(GFK60*$C$65,Application!$AO$636-SUM('15 Year Pro Forma'!$E$66:GFJ$66))</f>
        <v>0</v>
      </c>
      <c r="GFM66" s="956">
        <f>MIN(GFM60*$C$65,Application!$AO$636-SUM('15 Year Pro Forma'!$E$66:GFL$66))</f>
        <v>0</v>
      </c>
      <c r="GFO66" s="956">
        <f>MIN(GFO60*$C$65,Application!$AO$636-SUM('15 Year Pro Forma'!$E$66:GFN$66))</f>
        <v>0</v>
      </c>
      <c r="GFQ66" s="956">
        <f>MIN(GFQ60*$C$65,Application!$AO$636-SUM('15 Year Pro Forma'!$E$66:GFP$66))</f>
        <v>0</v>
      </c>
      <c r="GFS66" s="956">
        <f>MIN(GFS60*$C$65,Application!$AO$636-SUM('15 Year Pro Forma'!$E$66:GFR$66))</f>
        <v>0</v>
      </c>
      <c r="GFU66" s="956">
        <f>MIN(GFU60*$C$65,Application!$AO$636-SUM('15 Year Pro Forma'!$E$66:GFT$66))</f>
        <v>0</v>
      </c>
      <c r="GFW66" s="956">
        <f>MIN(GFW60*$C$65,Application!$AO$636-SUM('15 Year Pro Forma'!$E$66:GFV$66))</f>
        <v>0</v>
      </c>
      <c r="GFY66" s="956">
        <f>MIN(GFY60*$C$65,Application!$AO$636-SUM('15 Year Pro Forma'!$E$66:GFX$66))</f>
        <v>0</v>
      </c>
      <c r="GGA66" s="956">
        <f>MIN(GGA60*$C$65,Application!$AO$636-SUM('15 Year Pro Forma'!$E$66:GFZ$66))</f>
        <v>0</v>
      </c>
      <c r="GGC66" s="956">
        <f>MIN(GGC60*$C$65,Application!$AO$636-SUM('15 Year Pro Forma'!$E$66:GGB$66))</f>
        <v>0</v>
      </c>
      <c r="GGE66" s="956">
        <f>MIN(GGE60*$C$65,Application!$AO$636-SUM('15 Year Pro Forma'!$E$66:GGD$66))</f>
        <v>0</v>
      </c>
      <c r="GGG66" s="956">
        <f>MIN(GGG60*$C$65,Application!$AO$636-SUM('15 Year Pro Forma'!$E$66:GGF$66))</f>
        <v>0</v>
      </c>
      <c r="GGI66" s="956">
        <f>MIN(GGI60*$C$65,Application!$AO$636-SUM('15 Year Pro Forma'!$E$66:GGH$66))</f>
        <v>0</v>
      </c>
      <c r="GGK66" s="956">
        <f>MIN(GGK60*$C$65,Application!$AO$636-SUM('15 Year Pro Forma'!$E$66:GGJ$66))</f>
        <v>0</v>
      </c>
      <c r="GGM66" s="956">
        <f>MIN(GGM60*$C$65,Application!$AO$636-SUM('15 Year Pro Forma'!$E$66:GGL$66))</f>
        <v>0</v>
      </c>
      <c r="GGO66" s="956">
        <f>MIN(GGO60*$C$65,Application!$AO$636-SUM('15 Year Pro Forma'!$E$66:GGN$66))</f>
        <v>0</v>
      </c>
      <c r="GGQ66" s="956">
        <f>MIN(GGQ60*$C$65,Application!$AO$636-SUM('15 Year Pro Forma'!$E$66:GGP$66))</f>
        <v>0</v>
      </c>
      <c r="GGS66" s="956">
        <f>MIN(GGS60*$C$65,Application!$AO$636-SUM('15 Year Pro Forma'!$E$66:GGR$66))</f>
        <v>0</v>
      </c>
      <c r="GGU66" s="956">
        <f>MIN(GGU60*$C$65,Application!$AO$636-SUM('15 Year Pro Forma'!$E$66:GGT$66))</f>
        <v>0</v>
      </c>
      <c r="GGW66" s="956">
        <f>MIN(GGW60*$C$65,Application!$AO$636-SUM('15 Year Pro Forma'!$E$66:GGV$66))</f>
        <v>0</v>
      </c>
      <c r="GGY66" s="956">
        <f>MIN(GGY60*$C$65,Application!$AO$636-SUM('15 Year Pro Forma'!$E$66:GGX$66))</f>
        <v>0</v>
      </c>
      <c r="GHA66" s="956">
        <f>MIN(GHA60*$C$65,Application!$AO$636-SUM('15 Year Pro Forma'!$E$66:GGZ$66))</f>
        <v>0</v>
      </c>
      <c r="GHC66" s="956">
        <f>MIN(GHC60*$C$65,Application!$AO$636-SUM('15 Year Pro Forma'!$E$66:GHB$66))</f>
        <v>0</v>
      </c>
      <c r="GHE66" s="956">
        <f>MIN(GHE60*$C$65,Application!$AO$636-SUM('15 Year Pro Forma'!$E$66:GHD$66))</f>
        <v>0</v>
      </c>
      <c r="GHG66" s="956">
        <f>MIN(GHG60*$C$65,Application!$AO$636-SUM('15 Year Pro Forma'!$E$66:GHF$66))</f>
        <v>0</v>
      </c>
      <c r="GHI66" s="956">
        <f>MIN(GHI60*$C$65,Application!$AO$636-SUM('15 Year Pro Forma'!$E$66:GHH$66))</f>
        <v>0</v>
      </c>
      <c r="GHK66" s="956">
        <f>MIN(GHK60*$C$65,Application!$AO$636-SUM('15 Year Pro Forma'!$E$66:GHJ$66))</f>
        <v>0</v>
      </c>
      <c r="GHM66" s="956">
        <f>MIN(GHM60*$C$65,Application!$AO$636-SUM('15 Year Pro Forma'!$E$66:GHL$66))</f>
        <v>0</v>
      </c>
      <c r="GHO66" s="956">
        <f>MIN(GHO60*$C$65,Application!$AO$636-SUM('15 Year Pro Forma'!$E$66:GHN$66))</f>
        <v>0</v>
      </c>
      <c r="GHQ66" s="956">
        <f>MIN(GHQ60*$C$65,Application!$AO$636-SUM('15 Year Pro Forma'!$E$66:GHP$66))</f>
        <v>0</v>
      </c>
      <c r="GHS66" s="956">
        <f>MIN(GHS60*$C$65,Application!$AO$636-SUM('15 Year Pro Forma'!$E$66:GHR$66))</f>
        <v>0</v>
      </c>
      <c r="GHU66" s="956">
        <f>MIN(GHU60*$C$65,Application!$AO$636-SUM('15 Year Pro Forma'!$E$66:GHT$66))</f>
        <v>0</v>
      </c>
      <c r="GHW66" s="956">
        <f>MIN(GHW60*$C$65,Application!$AO$636-SUM('15 Year Pro Forma'!$E$66:GHV$66))</f>
        <v>0</v>
      </c>
      <c r="GHY66" s="956">
        <f>MIN(GHY60*$C$65,Application!$AO$636-SUM('15 Year Pro Forma'!$E$66:GHX$66))</f>
        <v>0</v>
      </c>
      <c r="GIA66" s="956">
        <f>MIN(GIA60*$C$65,Application!$AO$636-SUM('15 Year Pro Forma'!$E$66:GHZ$66))</f>
        <v>0</v>
      </c>
      <c r="GIC66" s="956">
        <f>MIN(GIC60*$C$65,Application!$AO$636-SUM('15 Year Pro Forma'!$E$66:GIB$66))</f>
        <v>0</v>
      </c>
      <c r="GIE66" s="956">
        <f>MIN(GIE60*$C$65,Application!$AO$636-SUM('15 Year Pro Forma'!$E$66:GID$66))</f>
        <v>0</v>
      </c>
      <c r="GIG66" s="956">
        <f>MIN(GIG60*$C$65,Application!$AO$636-SUM('15 Year Pro Forma'!$E$66:GIF$66))</f>
        <v>0</v>
      </c>
      <c r="GII66" s="956">
        <f>MIN(GII60*$C$65,Application!$AO$636-SUM('15 Year Pro Forma'!$E$66:GIH$66))</f>
        <v>0</v>
      </c>
      <c r="GIK66" s="956">
        <f>MIN(GIK60*$C$65,Application!$AO$636-SUM('15 Year Pro Forma'!$E$66:GIJ$66))</f>
        <v>0</v>
      </c>
      <c r="GIM66" s="956">
        <f>MIN(GIM60*$C$65,Application!$AO$636-SUM('15 Year Pro Forma'!$E$66:GIL$66))</f>
        <v>0</v>
      </c>
      <c r="GIO66" s="956">
        <f>MIN(GIO60*$C$65,Application!$AO$636-SUM('15 Year Pro Forma'!$E$66:GIN$66))</f>
        <v>0</v>
      </c>
      <c r="GIQ66" s="956">
        <f>MIN(GIQ60*$C$65,Application!$AO$636-SUM('15 Year Pro Forma'!$E$66:GIP$66))</f>
        <v>0</v>
      </c>
      <c r="GIS66" s="956">
        <f>MIN(GIS60*$C$65,Application!$AO$636-SUM('15 Year Pro Forma'!$E$66:GIR$66))</f>
        <v>0</v>
      </c>
      <c r="GIU66" s="956">
        <f>MIN(GIU60*$C$65,Application!$AO$636-SUM('15 Year Pro Forma'!$E$66:GIT$66))</f>
        <v>0</v>
      </c>
      <c r="GIW66" s="956">
        <f>MIN(GIW60*$C$65,Application!$AO$636-SUM('15 Year Pro Forma'!$E$66:GIV$66))</f>
        <v>0</v>
      </c>
      <c r="GIY66" s="956">
        <f>MIN(GIY60*$C$65,Application!$AO$636-SUM('15 Year Pro Forma'!$E$66:GIX$66))</f>
        <v>0</v>
      </c>
      <c r="GJA66" s="956">
        <f>MIN(GJA60*$C$65,Application!$AO$636-SUM('15 Year Pro Forma'!$E$66:GIZ$66))</f>
        <v>0</v>
      </c>
      <c r="GJC66" s="956">
        <f>MIN(GJC60*$C$65,Application!$AO$636-SUM('15 Year Pro Forma'!$E$66:GJB$66))</f>
        <v>0</v>
      </c>
      <c r="GJE66" s="956">
        <f>MIN(GJE60*$C$65,Application!$AO$636-SUM('15 Year Pro Forma'!$E$66:GJD$66))</f>
        <v>0</v>
      </c>
      <c r="GJG66" s="956">
        <f>MIN(GJG60*$C$65,Application!$AO$636-SUM('15 Year Pro Forma'!$E$66:GJF$66))</f>
        <v>0</v>
      </c>
      <c r="GJI66" s="956">
        <f>MIN(GJI60*$C$65,Application!$AO$636-SUM('15 Year Pro Forma'!$E$66:GJH$66))</f>
        <v>0</v>
      </c>
      <c r="GJK66" s="956">
        <f>MIN(GJK60*$C$65,Application!$AO$636-SUM('15 Year Pro Forma'!$E$66:GJJ$66))</f>
        <v>0</v>
      </c>
      <c r="GJM66" s="956">
        <f>MIN(GJM60*$C$65,Application!$AO$636-SUM('15 Year Pro Forma'!$E$66:GJL$66))</f>
        <v>0</v>
      </c>
      <c r="GJO66" s="956">
        <f>MIN(GJO60*$C$65,Application!$AO$636-SUM('15 Year Pro Forma'!$E$66:GJN$66))</f>
        <v>0</v>
      </c>
      <c r="GJQ66" s="956">
        <f>MIN(GJQ60*$C$65,Application!$AO$636-SUM('15 Year Pro Forma'!$E$66:GJP$66))</f>
        <v>0</v>
      </c>
      <c r="GJS66" s="956">
        <f>MIN(GJS60*$C$65,Application!$AO$636-SUM('15 Year Pro Forma'!$E$66:GJR$66))</f>
        <v>0</v>
      </c>
      <c r="GJU66" s="956">
        <f>MIN(GJU60*$C$65,Application!$AO$636-SUM('15 Year Pro Forma'!$E$66:GJT$66))</f>
        <v>0</v>
      </c>
      <c r="GJW66" s="956">
        <f>MIN(GJW60*$C$65,Application!$AO$636-SUM('15 Year Pro Forma'!$E$66:GJV$66))</f>
        <v>0</v>
      </c>
      <c r="GJY66" s="956">
        <f>MIN(GJY60*$C$65,Application!$AO$636-SUM('15 Year Pro Forma'!$E$66:GJX$66))</f>
        <v>0</v>
      </c>
      <c r="GKA66" s="956">
        <f>MIN(GKA60*$C$65,Application!$AO$636-SUM('15 Year Pro Forma'!$E$66:GJZ$66))</f>
        <v>0</v>
      </c>
      <c r="GKC66" s="956">
        <f>MIN(GKC60*$C$65,Application!$AO$636-SUM('15 Year Pro Forma'!$E$66:GKB$66))</f>
        <v>0</v>
      </c>
      <c r="GKE66" s="956">
        <f>MIN(GKE60*$C$65,Application!$AO$636-SUM('15 Year Pro Forma'!$E$66:GKD$66))</f>
        <v>0</v>
      </c>
      <c r="GKG66" s="956">
        <f>MIN(GKG60*$C$65,Application!$AO$636-SUM('15 Year Pro Forma'!$E$66:GKF$66))</f>
        <v>0</v>
      </c>
      <c r="GKI66" s="956">
        <f>MIN(GKI60*$C$65,Application!$AO$636-SUM('15 Year Pro Forma'!$E$66:GKH$66))</f>
        <v>0</v>
      </c>
      <c r="GKK66" s="956">
        <f>MIN(GKK60*$C$65,Application!$AO$636-SUM('15 Year Pro Forma'!$E$66:GKJ$66))</f>
        <v>0</v>
      </c>
      <c r="GKM66" s="956">
        <f>MIN(GKM60*$C$65,Application!$AO$636-SUM('15 Year Pro Forma'!$E$66:GKL$66))</f>
        <v>0</v>
      </c>
      <c r="GKO66" s="956">
        <f>MIN(GKO60*$C$65,Application!$AO$636-SUM('15 Year Pro Forma'!$E$66:GKN$66))</f>
        <v>0</v>
      </c>
      <c r="GKQ66" s="956">
        <f>MIN(GKQ60*$C$65,Application!$AO$636-SUM('15 Year Pro Forma'!$E$66:GKP$66))</f>
        <v>0</v>
      </c>
      <c r="GKS66" s="956">
        <f>MIN(GKS60*$C$65,Application!$AO$636-SUM('15 Year Pro Forma'!$E$66:GKR$66))</f>
        <v>0</v>
      </c>
      <c r="GKU66" s="956">
        <f>MIN(GKU60*$C$65,Application!$AO$636-SUM('15 Year Pro Forma'!$E$66:GKT$66))</f>
        <v>0</v>
      </c>
      <c r="GKW66" s="956">
        <f>MIN(GKW60*$C$65,Application!$AO$636-SUM('15 Year Pro Forma'!$E$66:GKV$66))</f>
        <v>0</v>
      </c>
      <c r="GKY66" s="956">
        <f>MIN(GKY60*$C$65,Application!$AO$636-SUM('15 Year Pro Forma'!$E$66:GKX$66))</f>
        <v>0</v>
      </c>
      <c r="GLA66" s="956">
        <f>MIN(GLA60*$C$65,Application!$AO$636-SUM('15 Year Pro Forma'!$E$66:GKZ$66))</f>
        <v>0</v>
      </c>
      <c r="GLC66" s="956">
        <f>MIN(GLC60*$C$65,Application!$AO$636-SUM('15 Year Pro Forma'!$E$66:GLB$66))</f>
        <v>0</v>
      </c>
      <c r="GLE66" s="956">
        <f>MIN(GLE60*$C$65,Application!$AO$636-SUM('15 Year Pro Forma'!$E$66:GLD$66))</f>
        <v>0</v>
      </c>
      <c r="GLG66" s="956">
        <f>MIN(GLG60*$C$65,Application!$AO$636-SUM('15 Year Pro Forma'!$E$66:GLF$66))</f>
        <v>0</v>
      </c>
      <c r="GLI66" s="956">
        <f>MIN(GLI60*$C$65,Application!$AO$636-SUM('15 Year Pro Forma'!$E$66:GLH$66))</f>
        <v>0</v>
      </c>
      <c r="GLK66" s="956">
        <f>MIN(GLK60*$C$65,Application!$AO$636-SUM('15 Year Pro Forma'!$E$66:GLJ$66))</f>
        <v>0</v>
      </c>
      <c r="GLM66" s="956">
        <f>MIN(GLM60*$C$65,Application!$AO$636-SUM('15 Year Pro Forma'!$E$66:GLL$66))</f>
        <v>0</v>
      </c>
      <c r="GLO66" s="956">
        <f>MIN(GLO60*$C$65,Application!$AO$636-SUM('15 Year Pro Forma'!$E$66:GLN$66))</f>
        <v>0</v>
      </c>
      <c r="GLQ66" s="956">
        <f>MIN(GLQ60*$C$65,Application!$AO$636-SUM('15 Year Pro Forma'!$E$66:GLP$66))</f>
        <v>0</v>
      </c>
      <c r="GLS66" s="956">
        <f>MIN(GLS60*$C$65,Application!$AO$636-SUM('15 Year Pro Forma'!$E$66:GLR$66))</f>
        <v>0</v>
      </c>
      <c r="GLU66" s="956">
        <f>MIN(GLU60*$C$65,Application!$AO$636-SUM('15 Year Pro Forma'!$E$66:GLT$66))</f>
        <v>0</v>
      </c>
      <c r="GLW66" s="956">
        <f>MIN(GLW60*$C$65,Application!$AO$636-SUM('15 Year Pro Forma'!$E$66:GLV$66))</f>
        <v>0</v>
      </c>
      <c r="GLY66" s="956">
        <f>MIN(GLY60*$C$65,Application!$AO$636-SUM('15 Year Pro Forma'!$E$66:GLX$66))</f>
        <v>0</v>
      </c>
      <c r="GMA66" s="956">
        <f>MIN(GMA60*$C$65,Application!$AO$636-SUM('15 Year Pro Forma'!$E$66:GLZ$66))</f>
        <v>0</v>
      </c>
      <c r="GMC66" s="956">
        <f>MIN(GMC60*$C$65,Application!$AO$636-SUM('15 Year Pro Forma'!$E$66:GMB$66))</f>
        <v>0</v>
      </c>
      <c r="GME66" s="956">
        <f>MIN(GME60*$C$65,Application!$AO$636-SUM('15 Year Pro Forma'!$E$66:GMD$66))</f>
        <v>0</v>
      </c>
      <c r="GMG66" s="956">
        <f>MIN(GMG60*$C$65,Application!$AO$636-SUM('15 Year Pro Forma'!$E$66:GMF$66))</f>
        <v>0</v>
      </c>
      <c r="GMI66" s="956">
        <f>MIN(GMI60*$C$65,Application!$AO$636-SUM('15 Year Pro Forma'!$E$66:GMH$66))</f>
        <v>0</v>
      </c>
      <c r="GMK66" s="956">
        <f>MIN(GMK60*$C$65,Application!$AO$636-SUM('15 Year Pro Forma'!$E$66:GMJ$66))</f>
        <v>0</v>
      </c>
      <c r="GMM66" s="956">
        <f>MIN(GMM60*$C$65,Application!$AO$636-SUM('15 Year Pro Forma'!$E$66:GML$66))</f>
        <v>0</v>
      </c>
      <c r="GMO66" s="956">
        <f>MIN(GMO60*$C$65,Application!$AO$636-SUM('15 Year Pro Forma'!$E$66:GMN$66))</f>
        <v>0</v>
      </c>
      <c r="GMQ66" s="956">
        <f>MIN(GMQ60*$C$65,Application!$AO$636-SUM('15 Year Pro Forma'!$E$66:GMP$66))</f>
        <v>0</v>
      </c>
      <c r="GMS66" s="956">
        <f>MIN(GMS60*$C$65,Application!$AO$636-SUM('15 Year Pro Forma'!$E$66:GMR$66))</f>
        <v>0</v>
      </c>
      <c r="GMU66" s="956">
        <f>MIN(GMU60*$C$65,Application!$AO$636-SUM('15 Year Pro Forma'!$E$66:GMT$66))</f>
        <v>0</v>
      </c>
      <c r="GMW66" s="956">
        <f>MIN(GMW60*$C$65,Application!$AO$636-SUM('15 Year Pro Forma'!$E$66:GMV$66))</f>
        <v>0</v>
      </c>
      <c r="GMY66" s="956">
        <f>MIN(GMY60*$C$65,Application!$AO$636-SUM('15 Year Pro Forma'!$E$66:GMX$66))</f>
        <v>0</v>
      </c>
      <c r="GNA66" s="956">
        <f>MIN(GNA60*$C$65,Application!$AO$636-SUM('15 Year Pro Forma'!$E$66:GMZ$66))</f>
        <v>0</v>
      </c>
      <c r="GNC66" s="956">
        <f>MIN(GNC60*$C$65,Application!$AO$636-SUM('15 Year Pro Forma'!$E$66:GNB$66))</f>
        <v>0</v>
      </c>
      <c r="GNE66" s="956">
        <f>MIN(GNE60*$C$65,Application!$AO$636-SUM('15 Year Pro Forma'!$E$66:GND$66))</f>
        <v>0</v>
      </c>
      <c r="GNG66" s="956">
        <f>MIN(GNG60*$C$65,Application!$AO$636-SUM('15 Year Pro Forma'!$E$66:GNF$66))</f>
        <v>0</v>
      </c>
      <c r="GNI66" s="956">
        <f>MIN(GNI60*$C$65,Application!$AO$636-SUM('15 Year Pro Forma'!$E$66:GNH$66))</f>
        <v>0</v>
      </c>
      <c r="GNK66" s="956">
        <f>MIN(GNK60*$C$65,Application!$AO$636-SUM('15 Year Pro Forma'!$E$66:GNJ$66))</f>
        <v>0</v>
      </c>
      <c r="GNM66" s="956">
        <f>MIN(GNM60*$C$65,Application!$AO$636-SUM('15 Year Pro Forma'!$E$66:GNL$66))</f>
        <v>0</v>
      </c>
      <c r="GNO66" s="956">
        <f>MIN(GNO60*$C$65,Application!$AO$636-SUM('15 Year Pro Forma'!$E$66:GNN$66))</f>
        <v>0</v>
      </c>
      <c r="GNQ66" s="956">
        <f>MIN(GNQ60*$C$65,Application!$AO$636-SUM('15 Year Pro Forma'!$E$66:GNP$66))</f>
        <v>0</v>
      </c>
      <c r="GNS66" s="956">
        <f>MIN(GNS60*$C$65,Application!$AO$636-SUM('15 Year Pro Forma'!$E$66:GNR$66))</f>
        <v>0</v>
      </c>
      <c r="GNU66" s="956">
        <f>MIN(GNU60*$C$65,Application!$AO$636-SUM('15 Year Pro Forma'!$E$66:GNT$66))</f>
        <v>0</v>
      </c>
      <c r="GNW66" s="956">
        <f>MIN(GNW60*$C$65,Application!$AO$636-SUM('15 Year Pro Forma'!$E$66:GNV$66))</f>
        <v>0</v>
      </c>
      <c r="GNY66" s="956">
        <f>MIN(GNY60*$C$65,Application!$AO$636-SUM('15 Year Pro Forma'!$E$66:GNX$66))</f>
        <v>0</v>
      </c>
      <c r="GOA66" s="956">
        <f>MIN(GOA60*$C$65,Application!$AO$636-SUM('15 Year Pro Forma'!$E$66:GNZ$66))</f>
        <v>0</v>
      </c>
      <c r="GOC66" s="956">
        <f>MIN(GOC60*$C$65,Application!$AO$636-SUM('15 Year Pro Forma'!$E$66:GOB$66))</f>
        <v>0</v>
      </c>
      <c r="GOE66" s="956">
        <f>MIN(GOE60*$C$65,Application!$AO$636-SUM('15 Year Pro Forma'!$E$66:GOD$66))</f>
        <v>0</v>
      </c>
      <c r="GOG66" s="956">
        <f>MIN(GOG60*$C$65,Application!$AO$636-SUM('15 Year Pro Forma'!$E$66:GOF$66))</f>
        <v>0</v>
      </c>
      <c r="GOI66" s="956">
        <f>MIN(GOI60*$C$65,Application!$AO$636-SUM('15 Year Pro Forma'!$E$66:GOH$66))</f>
        <v>0</v>
      </c>
      <c r="GOK66" s="956">
        <f>MIN(GOK60*$C$65,Application!$AO$636-SUM('15 Year Pro Forma'!$E$66:GOJ$66))</f>
        <v>0</v>
      </c>
      <c r="GOM66" s="956">
        <f>MIN(GOM60*$C$65,Application!$AO$636-SUM('15 Year Pro Forma'!$E$66:GOL$66))</f>
        <v>0</v>
      </c>
      <c r="GOO66" s="956">
        <f>MIN(GOO60*$C$65,Application!$AO$636-SUM('15 Year Pro Forma'!$E$66:GON$66))</f>
        <v>0</v>
      </c>
      <c r="GOQ66" s="956">
        <f>MIN(GOQ60*$C$65,Application!$AO$636-SUM('15 Year Pro Forma'!$E$66:GOP$66))</f>
        <v>0</v>
      </c>
      <c r="GOS66" s="956">
        <f>MIN(GOS60*$C$65,Application!$AO$636-SUM('15 Year Pro Forma'!$E$66:GOR$66))</f>
        <v>0</v>
      </c>
      <c r="GOU66" s="956">
        <f>MIN(GOU60*$C$65,Application!$AO$636-SUM('15 Year Pro Forma'!$E$66:GOT$66))</f>
        <v>0</v>
      </c>
      <c r="GOW66" s="956">
        <f>MIN(GOW60*$C$65,Application!$AO$636-SUM('15 Year Pro Forma'!$E$66:GOV$66))</f>
        <v>0</v>
      </c>
      <c r="GOY66" s="956">
        <f>MIN(GOY60*$C$65,Application!$AO$636-SUM('15 Year Pro Forma'!$E$66:GOX$66))</f>
        <v>0</v>
      </c>
      <c r="GPA66" s="956">
        <f>MIN(GPA60*$C$65,Application!$AO$636-SUM('15 Year Pro Forma'!$E$66:GOZ$66))</f>
        <v>0</v>
      </c>
      <c r="GPC66" s="956">
        <f>MIN(GPC60*$C$65,Application!$AO$636-SUM('15 Year Pro Forma'!$E$66:GPB$66))</f>
        <v>0</v>
      </c>
      <c r="GPE66" s="956">
        <f>MIN(GPE60*$C$65,Application!$AO$636-SUM('15 Year Pro Forma'!$E$66:GPD$66))</f>
        <v>0</v>
      </c>
      <c r="GPG66" s="956">
        <f>MIN(GPG60*$C$65,Application!$AO$636-SUM('15 Year Pro Forma'!$E$66:GPF$66))</f>
        <v>0</v>
      </c>
      <c r="GPI66" s="956">
        <f>MIN(GPI60*$C$65,Application!$AO$636-SUM('15 Year Pro Forma'!$E$66:GPH$66))</f>
        <v>0</v>
      </c>
      <c r="GPK66" s="956">
        <f>MIN(GPK60*$C$65,Application!$AO$636-SUM('15 Year Pro Forma'!$E$66:GPJ$66))</f>
        <v>0</v>
      </c>
      <c r="GPM66" s="956">
        <f>MIN(GPM60*$C$65,Application!$AO$636-SUM('15 Year Pro Forma'!$E$66:GPL$66))</f>
        <v>0</v>
      </c>
      <c r="GPO66" s="956">
        <f>MIN(GPO60*$C$65,Application!$AO$636-SUM('15 Year Pro Forma'!$E$66:GPN$66))</f>
        <v>0</v>
      </c>
      <c r="GPQ66" s="956">
        <f>MIN(GPQ60*$C$65,Application!$AO$636-SUM('15 Year Pro Forma'!$E$66:GPP$66))</f>
        <v>0</v>
      </c>
      <c r="GPS66" s="956">
        <f>MIN(GPS60*$C$65,Application!$AO$636-SUM('15 Year Pro Forma'!$E$66:GPR$66))</f>
        <v>0</v>
      </c>
      <c r="GPU66" s="956">
        <f>MIN(GPU60*$C$65,Application!$AO$636-SUM('15 Year Pro Forma'!$E$66:GPT$66))</f>
        <v>0</v>
      </c>
      <c r="GPW66" s="956">
        <f>MIN(GPW60*$C$65,Application!$AO$636-SUM('15 Year Pro Forma'!$E$66:GPV$66))</f>
        <v>0</v>
      </c>
      <c r="GPY66" s="956">
        <f>MIN(GPY60*$C$65,Application!$AO$636-SUM('15 Year Pro Forma'!$E$66:GPX$66))</f>
        <v>0</v>
      </c>
      <c r="GQA66" s="956">
        <f>MIN(GQA60*$C$65,Application!$AO$636-SUM('15 Year Pro Forma'!$E$66:GPZ$66))</f>
        <v>0</v>
      </c>
      <c r="GQC66" s="956">
        <f>MIN(GQC60*$C$65,Application!$AO$636-SUM('15 Year Pro Forma'!$E$66:GQB$66))</f>
        <v>0</v>
      </c>
      <c r="GQE66" s="956">
        <f>MIN(GQE60*$C$65,Application!$AO$636-SUM('15 Year Pro Forma'!$E$66:GQD$66))</f>
        <v>0</v>
      </c>
      <c r="GQG66" s="956">
        <f>MIN(GQG60*$C$65,Application!$AO$636-SUM('15 Year Pro Forma'!$E$66:GQF$66))</f>
        <v>0</v>
      </c>
      <c r="GQI66" s="956">
        <f>MIN(GQI60*$C$65,Application!$AO$636-SUM('15 Year Pro Forma'!$E$66:GQH$66))</f>
        <v>0</v>
      </c>
      <c r="GQK66" s="956">
        <f>MIN(GQK60*$C$65,Application!$AO$636-SUM('15 Year Pro Forma'!$E$66:GQJ$66))</f>
        <v>0</v>
      </c>
      <c r="GQM66" s="956">
        <f>MIN(GQM60*$C$65,Application!$AO$636-SUM('15 Year Pro Forma'!$E$66:GQL$66))</f>
        <v>0</v>
      </c>
      <c r="GQO66" s="956">
        <f>MIN(GQO60*$C$65,Application!$AO$636-SUM('15 Year Pro Forma'!$E$66:GQN$66))</f>
        <v>0</v>
      </c>
      <c r="GQQ66" s="956">
        <f>MIN(GQQ60*$C$65,Application!$AO$636-SUM('15 Year Pro Forma'!$E$66:GQP$66))</f>
        <v>0</v>
      </c>
      <c r="GQS66" s="956">
        <f>MIN(GQS60*$C$65,Application!$AO$636-SUM('15 Year Pro Forma'!$E$66:GQR$66))</f>
        <v>0</v>
      </c>
      <c r="GQU66" s="956">
        <f>MIN(GQU60*$C$65,Application!$AO$636-SUM('15 Year Pro Forma'!$E$66:GQT$66))</f>
        <v>0</v>
      </c>
      <c r="GQW66" s="956">
        <f>MIN(GQW60*$C$65,Application!$AO$636-SUM('15 Year Pro Forma'!$E$66:GQV$66))</f>
        <v>0</v>
      </c>
      <c r="GQY66" s="956">
        <f>MIN(GQY60*$C$65,Application!$AO$636-SUM('15 Year Pro Forma'!$E$66:GQX$66))</f>
        <v>0</v>
      </c>
      <c r="GRA66" s="956">
        <f>MIN(GRA60*$C$65,Application!$AO$636-SUM('15 Year Pro Forma'!$E$66:GQZ$66))</f>
        <v>0</v>
      </c>
      <c r="GRC66" s="956">
        <f>MIN(GRC60*$C$65,Application!$AO$636-SUM('15 Year Pro Forma'!$E$66:GRB$66))</f>
        <v>0</v>
      </c>
      <c r="GRE66" s="956">
        <f>MIN(GRE60*$C$65,Application!$AO$636-SUM('15 Year Pro Forma'!$E$66:GRD$66))</f>
        <v>0</v>
      </c>
      <c r="GRG66" s="956">
        <f>MIN(GRG60*$C$65,Application!$AO$636-SUM('15 Year Pro Forma'!$E$66:GRF$66))</f>
        <v>0</v>
      </c>
      <c r="GRI66" s="956">
        <f>MIN(GRI60*$C$65,Application!$AO$636-SUM('15 Year Pro Forma'!$E$66:GRH$66))</f>
        <v>0</v>
      </c>
      <c r="GRK66" s="956">
        <f>MIN(GRK60*$C$65,Application!$AO$636-SUM('15 Year Pro Forma'!$E$66:GRJ$66))</f>
        <v>0</v>
      </c>
      <c r="GRM66" s="956">
        <f>MIN(GRM60*$C$65,Application!$AO$636-SUM('15 Year Pro Forma'!$E$66:GRL$66))</f>
        <v>0</v>
      </c>
      <c r="GRO66" s="956">
        <f>MIN(GRO60*$C$65,Application!$AO$636-SUM('15 Year Pro Forma'!$E$66:GRN$66))</f>
        <v>0</v>
      </c>
      <c r="GRQ66" s="956">
        <f>MIN(GRQ60*$C$65,Application!$AO$636-SUM('15 Year Pro Forma'!$E$66:GRP$66))</f>
        <v>0</v>
      </c>
      <c r="GRS66" s="956">
        <f>MIN(GRS60*$C$65,Application!$AO$636-SUM('15 Year Pro Forma'!$E$66:GRR$66))</f>
        <v>0</v>
      </c>
      <c r="GRU66" s="956">
        <f>MIN(GRU60*$C$65,Application!$AO$636-SUM('15 Year Pro Forma'!$E$66:GRT$66))</f>
        <v>0</v>
      </c>
      <c r="GRW66" s="956">
        <f>MIN(GRW60*$C$65,Application!$AO$636-SUM('15 Year Pro Forma'!$E$66:GRV$66))</f>
        <v>0</v>
      </c>
      <c r="GRY66" s="956">
        <f>MIN(GRY60*$C$65,Application!$AO$636-SUM('15 Year Pro Forma'!$E$66:GRX$66))</f>
        <v>0</v>
      </c>
      <c r="GSA66" s="956">
        <f>MIN(GSA60*$C$65,Application!$AO$636-SUM('15 Year Pro Forma'!$E$66:GRZ$66))</f>
        <v>0</v>
      </c>
      <c r="GSC66" s="956">
        <f>MIN(GSC60*$C$65,Application!$AO$636-SUM('15 Year Pro Forma'!$E$66:GSB$66))</f>
        <v>0</v>
      </c>
      <c r="GSE66" s="956">
        <f>MIN(GSE60*$C$65,Application!$AO$636-SUM('15 Year Pro Forma'!$E$66:GSD$66))</f>
        <v>0</v>
      </c>
      <c r="GSG66" s="956">
        <f>MIN(GSG60*$C$65,Application!$AO$636-SUM('15 Year Pro Forma'!$E$66:GSF$66))</f>
        <v>0</v>
      </c>
      <c r="GSI66" s="956">
        <f>MIN(GSI60*$C$65,Application!$AO$636-SUM('15 Year Pro Forma'!$E$66:GSH$66))</f>
        <v>0</v>
      </c>
      <c r="GSK66" s="956">
        <f>MIN(GSK60*$C$65,Application!$AO$636-SUM('15 Year Pro Forma'!$E$66:GSJ$66))</f>
        <v>0</v>
      </c>
      <c r="GSM66" s="956">
        <f>MIN(GSM60*$C$65,Application!$AO$636-SUM('15 Year Pro Forma'!$E$66:GSL$66))</f>
        <v>0</v>
      </c>
      <c r="GSO66" s="956">
        <f>MIN(GSO60*$C$65,Application!$AO$636-SUM('15 Year Pro Forma'!$E$66:GSN$66))</f>
        <v>0</v>
      </c>
      <c r="GSQ66" s="956">
        <f>MIN(GSQ60*$C$65,Application!$AO$636-SUM('15 Year Pro Forma'!$E$66:GSP$66))</f>
        <v>0</v>
      </c>
      <c r="GSS66" s="956">
        <f>MIN(GSS60*$C$65,Application!$AO$636-SUM('15 Year Pro Forma'!$E$66:GSR$66))</f>
        <v>0</v>
      </c>
      <c r="GSU66" s="956">
        <f>MIN(GSU60*$C$65,Application!$AO$636-SUM('15 Year Pro Forma'!$E$66:GST$66))</f>
        <v>0</v>
      </c>
      <c r="GSW66" s="956">
        <f>MIN(GSW60*$C$65,Application!$AO$636-SUM('15 Year Pro Forma'!$E$66:GSV$66))</f>
        <v>0</v>
      </c>
      <c r="GSY66" s="956">
        <f>MIN(GSY60*$C$65,Application!$AO$636-SUM('15 Year Pro Forma'!$E$66:GSX$66))</f>
        <v>0</v>
      </c>
      <c r="GTA66" s="956">
        <f>MIN(GTA60*$C$65,Application!$AO$636-SUM('15 Year Pro Forma'!$E$66:GSZ$66))</f>
        <v>0</v>
      </c>
      <c r="GTC66" s="956">
        <f>MIN(GTC60*$C$65,Application!$AO$636-SUM('15 Year Pro Forma'!$E$66:GTB$66))</f>
        <v>0</v>
      </c>
      <c r="GTE66" s="956">
        <f>MIN(GTE60*$C$65,Application!$AO$636-SUM('15 Year Pro Forma'!$E$66:GTD$66))</f>
        <v>0</v>
      </c>
      <c r="GTG66" s="956">
        <f>MIN(GTG60*$C$65,Application!$AO$636-SUM('15 Year Pro Forma'!$E$66:GTF$66))</f>
        <v>0</v>
      </c>
      <c r="GTI66" s="956">
        <f>MIN(GTI60*$C$65,Application!$AO$636-SUM('15 Year Pro Forma'!$E$66:GTH$66))</f>
        <v>0</v>
      </c>
      <c r="GTK66" s="956">
        <f>MIN(GTK60*$C$65,Application!$AO$636-SUM('15 Year Pro Forma'!$E$66:GTJ$66))</f>
        <v>0</v>
      </c>
      <c r="GTM66" s="956">
        <f>MIN(GTM60*$C$65,Application!$AO$636-SUM('15 Year Pro Forma'!$E$66:GTL$66))</f>
        <v>0</v>
      </c>
      <c r="GTO66" s="956">
        <f>MIN(GTO60*$C$65,Application!$AO$636-SUM('15 Year Pro Forma'!$E$66:GTN$66))</f>
        <v>0</v>
      </c>
      <c r="GTQ66" s="956">
        <f>MIN(GTQ60*$C$65,Application!$AO$636-SUM('15 Year Pro Forma'!$E$66:GTP$66))</f>
        <v>0</v>
      </c>
      <c r="GTS66" s="956">
        <f>MIN(GTS60*$C$65,Application!$AO$636-SUM('15 Year Pro Forma'!$E$66:GTR$66))</f>
        <v>0</v>
      </c>
      <c r="GTU66" s="956">
        <f>MIN(GTU60*$C$65,Application!$AO$636-SUM('15 Year Pro Forma'!$E$66:GTT$66))</f>
        <v>0</v>
      </c>
      <c r="GTW66" s="956">
        <f>MIN(GTW60*$C$65,Application!$AO$636-SUM('15 Year Pro Forma'!$E$66:GTV$66))</f>
        <v>0</v>
      </c>
      <c r="GTY66" s="956">
        <f>MIN(GTY60*$C$65,Application!$AO$636-SUM('15 Year Pro Forma'!$E$66:GTX$66))</f>
        <v>0</v>
      </c>
      <c r="GUA66" s="956">
        <f>MIN(GUA60*$C$65,Application!$AO$636-SUM('15 Year Pro Forma'!$E$66:GTZ$66))</f>
        <v>0</v>
      </c>
      <c r="GUC66" s="956">
        <f>MIN(GUC60*$C$65,Application!$AO$636-SUM('15 Year Pro Forma'!$E$66:GUB$66))</f>
        <v>0</v>
      </c>
      <c r="GUE66" s="956">
        <f>MIN(GUE60*$C$65,Application!$AO$636-SUM('15 Year Pro Forma'!$E$66:GUD$66))</f>
        <v>0</v>
      </c>
      <c r="GUG66" s="956">
        <f>MIN(GUG60*$C$65,Application!$AO$636-SUM('15 Year Pro Forma'!$E$66:GUF$66))</f>
        <v>0</v>
      </c>
      <c r="GUI66" s="956">
        <f>MIN(GUI60*$C$65,Application!$AO$636-SUM('15 Year Pro Forma'!$E$66:GUH$66))</f>
        <v>0</v>
      </c>
      <c r="GUK66" s="956">
        <f>MIN(GUK60*$C$65,Application!$AO$636-SUM('15 Year Pro Forma'!$E$66:GUJ$66))</f>
        <v>0</v>
      </c>
      <c r="GUM66" s="956">
        <f>MIN(GUM60*$C$65,Application!$AO$636-SUM('15 Year Pro Forma'!$E$66:GUL$66))</f>
        <v>0</v>
      </c>
      <c r="GUO66" s="956">
        <f>MIN(GUO60*$C$65,Application!$AO$636-SUM('15 Year Pro Forma'!$E$66:GUN$66))</f>
        <v>0</v>
      </c>
      <c r="GUQ66" s="956">
        <f>MIN(GUQ60*$C$65,Application!$AO$636-SUM('15 Year Pro Forma'!$E$66:GUP$66))</f>
        <v>0</v>
      </c>
      <c r="GUS66" s="956">
        <f>MIN(GUS60*$C$65,Application!$AO$636-SUM('15 Year Pro Forma'!$E$66:GUR$66))</f>
        <v>0</v>
      </c>
      <c r="GUU66" s="956">
        <f>MIN(GUU60*$C$65,Application!$AO$636-SUM('15 Year Pro Forma'!$E$66:GUT$66))</f>
        <v>0</v>
      </c>
      <c r="GUW66" s="956">
        <f>MIN(GUW60*$C$65,Application!$AO$636-SUM('15 Year Pro Forma'!$E$66:GUV$66))</f>
        <v>0</v>
      </c>
      <c r="GUY66" s="956">
        <f>MIN(GUY60*$C$65,Application!$AO$636-SUM('15 Year Pro Forma'!$E$66:GUX$66))</f>
        <v>0</v>
      </c>
      <c r="GVA66" s="956">
        <f>MIN(GVA60*$C$65,Application!$AO$636-SUM('15 Year Pro Forma'!$E$66:GUZ$66))</f>
        <v>0</v>
      </c>
      <c r="GVC66" s="956">
        <f>MIN(GVC60*$C$65,Application!$AO$636-SUM('15 Year Pro Forma'!$E$66:GVB$66))</f>
        <v>0</v>
      </c>
      <c r="GVE66" s="956">
        <f>MIN(GVE60*$C$65,Application!$AO$636-SUM('15 Year Pro Forma'!$E$66:GVD$66))</f>
        <v>0</v>
      </c>
      <c r="GVG66" s="956">
        <f>MIN(GVG60*$C$65,Application!$AO$636-SUM('15 Year Pro Forma'!$E$66:GVF$66))</f>
        <v>0</v>
      </c>
      <c r="GVI66" s="956">
        <f>MIN(GVI60*$C$65,Application!$AO$636-SUM('15 Year Pro Forma'!$E$66:GVH$66))</f>
        <v>0</v>
      </c>
      <c r="GVK66" s="956">
        <f>MIN(GVK60*$C$65,Application!$AO$636-SUM('15 Year Pro Forma'!$E$66:GVJ$66))</f>
        <v>0</v>
      </c>
      <c r="GVM66" s="956">
        <f>MIN(GVM60*$C$65,Application!$AO$636-SUM('15 Year Pro Forma'!$E$66:GVL$66))</f>
        <v>0</v>
      </c>
      <c r="GVO66" s="956">
        <f>MIN(GVO60*$C$65,Application!$AO$636-SUM('15 Year Pro Forma'!$E$66:GVN$66))</f>
        <v>0</v>
      </c>
      <c r="GVQ66" s="956">
        <f>MIN(GVQ60*$C$65,Application!$AO$636-SUM('15 Year Pro Forma'!$E$66:GVP$66))</f>
        <v>0</v>
      </c>
      <c r="GVS66" s="956">
        <f>MIN(GVS60*$C$65,Application!$AO$636-SUM('15 Year Pro Forma'!$E$66:GVR$66))</f>
        <v>0</v>
      </c>
      <c r="GVU66" s="956">
        <f>MIN(GVU60*$C$65,Application!$AO$636-SUM('15 Year Pro Forma'!$E$66:GVT$66))</f>
        <v>0</v>
      </c>
      <c r="GVW66" s="956">
        <f>MIN(GVW60*$C$65,Application!$AO$636-SUM('15 Year Pro Forma'!$E$66:GVV$66))</f>
        <v>0</v>
      </c>
      <c r="GVY66" s="956">
        <f>MIN(GVY60*$C$65,Application!$AO$636-SUM('15 Year Pro Forma'!$E$66:GVX$66))</f>
        <v>0</v>
      </c>
      <c r="GWA66" s="956">
        <f>MIN(GWA60*$C$65,Application!$AO$636-SUM('15 Year Pro Forma'!$E$66:GVZ$66))</f>
        <v>0</v>
      </c>
      <c r="GWC66" s="956">
        <f>MIN(GWC60*$C$65,Application!$AO$636-SUM('15 Year Pro Forma'!$E$66:GWB$66))</f>
        <v>0</v>
      </c>
      <c r="GWE66" s="956">
        <f>MIN(GWE60*$C$65,Application!$AO$636-SUM('15 Year Pro Forma'!$E$66:GWD$66))</f>
        <v>0</v>
      </c>
      <c r="GWG66" s="956">
        <f>MIN(GWG60*$C$65,Application!$AO$636-SUM('15 Year Pro Forma'!$E$66:GWF$66))</f>
        <v>0</v>
      </c>
      <c r="GWI66" s="956">
        <f>MIN(GWI60*$C$65,Application!$AO$636-SUM('15 Year Pro Forma'!$E$66:GWH$66))</f>
        <v>0</v>
      </c>
      <c r="GWK66" s="956">
        <f>MIN(GWK60*$C$65,Application!$AO$636-SUM('15 Year Pro Forma'!$E$66:GWJ$66))</f>
        <v>0</v>
      </c>
      <c r="GWM66" s="956">
        <f>MIN(GWM60*$C$65,Application!$AO$636-SUM('15 Year Pro Forma'!$E$66:GWL$66))</f>
        <v>0</v>
      </c>
      <c r="GWO66" s="956">
        <f>MIN(GWO60*$C$65,Application!$AO$636-SUM('15 Year Pro Forma'!$E$66:GWN$66))</f>
        <v>0</v>
      </c>
      <c r="GWQ66" s="956">
        <f>MIN(GWQ60*$C$65,Application!$AO$636-SUM('15 Year Pro Forma'!$E$66:GWP$66))</f>
        <v>0</v>
      </c>
      <c r="GWS66" s="956">
        <f>MIN(GWS60*$C$65,Application!$AO$636-SUM('15 Year Pro Forma'!$E$66:GWR$66))</f>
        <v>0</v>
      </c>
      <c r="GWU66" s="956">
        <f>MIN(GWU60*$C$65,Application!$AO$636-SUM('15 Year Pro Forma'!$E$66:GWT$66))</f>
        <v>0</v>
      </c>
      <c r="GWW66" s="956">
        <f>MIN(GWW60*$C$65,Application!$AO$636-SUM('15 Year Pro Forma'!$E$66:GWV$66))</f>
        <v>0</v>
      </c>
      <c r="GWY66" s="956">
        <f>MIN(GWY60*$C$65,Application!$AO$636-SUM('15 Year Pro Forma'!$E$66:GWX$66))</f>
        <v>0</v>
      </c>
      <c r="GXA66" s="956">
        <f>MIN(GXA60*$C$65,Application!$AO$636-SUM('15 Year Pro Forma'!$E$66:GWZ$66))</f>
        <v>0</v>
      </c>
      <c r="GXC66" s="956">
        <f>MIN(GXC60*$C$65,Application!$AO$636-SUM('15 Year Pro Forma'!$E$66:GXB$66))</f>
        <v>0</v>
      </c>
      <c r="GXE66" s="956">
        <f>MIN(GXE60*$C$65,Application!$AO$636-SUM('15 Year Pro Forma'!$E$66:GXD$66))</f>
        <v>0</v>
      </c>
      <c r="GXG66" s="956">
        <f>MIN(GXG60*$C$65,Application!$AO$636-SUM('15 Year Pro Forma'!$E$66:GXF$66))</f>
        <v>0</v>
      </c>
      <c r="GXI66" s="956">
        <f>MIN(GXI60*$C$65,Application!$AO$636-SUM('15 Year Pro Forma'!$E$66:GXH$66))</f>
        <v>0</v>
      </c>
      <c r="GXK66" s="956">
        <f>MIN(GXK60*$C$65,Application!$AO$636-SUM('15 Year Pro Forma'!$E$66:GXJ$66))</f>
        <v>0</v>
      </c>
      <c r="GXM66" s="956">
        <f>MIN(GXM60*$C$65,Application!$AO$636-SUM('15 Year Pro Forma'!$E$66:GXL$66))</f>
        <v>0</v>
      </c>
      <c r="GXO66" s="956">
        <f>MIN(GXO60*$C$65,Application!$AO$636-SUM('15 Year Pro Forma'!$E$66:GXN$66))</f>
        <v>0</v>
      </c>
      <c r="GXQ66" s="956">
        <f>MIN(GXQ60*$C$65,Application!$AO$636-SUM('15 Year Pro Forma'!$E$66:GXP$66))</f>
        <v>0</v>
      </c>
      <c r="GXS66" s="956">
        <f>MIN(GXS60*$C$65,Application!$AO$636-SUM('15 Year Pro Forma'!$E$66:GXR$66))</f>
        <v>0</v>
      </c>
      <c r="GXU66" s="956">
        <f>MIN(GXU60*$C$65,Application!$AO$636-SUM('15 Year Pro Forma'!$E$66:GXT$66))</f>
        <v>0</v>
      </c>
      <c r="GXW66" s="956">
        <f>MIN(GXW60*$C$65,Application!$AO$636-SUM('15 Year Pro Forma'!$E$66:GXV$66))</f>
        <v>0</v>
      </c>
      <c r="GXY66" s="956">
        <f>MIN(GXY60*$C$65,Application!$AO$636-SUM('15 Year Pro Forma'!$E$66:GXX$66))</f>
        <v>0</v>
      </c>
      <c r="GYA66" s="956">
        <f>MIN(GYA60*$C$65,Application!$AO$636-SUM('15 Year Pro Forma'!$E$66:GXZ$66))</f>
        <v>0</v>
      </c>
      <c r="GYC66" s="956">
        <f>MIN(GYC60*$C$65,Application!$AO$636-SUM('15 Year Pro Forma'!$E$66:GYB$66))</f>
        <v>0</v>
      </c>
      <c r="GYE66" s="956">
        <f>MIN(GYE60*$C$65,Application!$AO$636-SUM('15 Year Pro Forma'!$E$66:GYD$66))</f>
        <v>0</v>
      </c>
      <c r="GYG66" s="956">
        <f>MIN(GYG60*$C$65,Application!$AO$636-SUM('15 Year Pro Forma'!$E$66:GYF$66))</f>
        <v>0</v>
      </c>
      <c r="GYI66" s="956">
        <f>MIN(GYI60*$C$65,Application!$AO$636-SUM('15 Year Pro Forma'!$E$66:GYH$66))</f>
        <v>0</v>
      </c>
      <c r="GYK66" s="956">
        <f>MIN(GYK60*$C$65,Application!$AO$636-SUM('15 Year Pro Forma'!$E$66:GYJ$66))</f>
        <v>0</v>
      </c>
      <c r="GYM66" s="956">
        <f>MIN(GYM60*$C$65,Application!$AO$636-SUM('15 Year Pro Forma'!$E$66:GYL$66))</f>
        <v>0</v>
      </c>
      <c r="GYO66" s="956">
        <f>MIN(GYO60*$C$65,Application!$AO$636-SUM('15 Year Pro Forma'!$E$66:GYN$66))</f>
        <v>0</v>
      </c>
      <c r="GYQ66" s="956">
        <f>MIN(GYQ60*$C$65,Application!$AO$636-SUM('15 Year Pro Forma'!$E$66:GYP$66))</f>
        <v>0</v>
      </c>
      <c r="GYS66" s="956">
        <f>MIN(GYS60*$C$65,Application!$AO$636-SUM('15 Year Pro Forma'!$E$66:GYR$66))</f>
        <v>0</v>
      </c>
      <c r="GYU66" s="956">
        <f>MIN(GYU60*$C$65,Application!$AO$636-SUM('15 Year Pro Forma'!$E$66:GYT$66))</f>
        <v>0</v>
      </c>
      <c r="GYW66" s="956">
        <f>MIN(GYW60*$C$65,Application!$AO$636-SUM('15 Year Pro Forma'!$E$66:GYV$66))</f>
        <v>0</v>
      </c>
      <c r="GYY66" s="956">
        <f>MIN(GYY60*$C$65,Application!$AO$636-SUM('15 Year Pro Forma'!$E$66:GYX$66))</f>
        <v>0</v>
      </c>
      <c r="GZA66" s="956">
        <f>MIN(GZA60*$C$65,Application!$AO$636-SUM('15 Year Pro Forma'!$E$66:GYZ$66))</f>
        <v>0</v>
      </c>
      <c r="GZC66" s="956">
        <f>MIN(GZC60*$C$65,Application!$AO$636-SUM('15 Year Pro Forma'!$E$66:GZB$66))</f>
        <v>0</v>
      </c>
      <c r="GZE66" s="956">
        <f>MIN(GZE60*$C$65,Application!$AO$636-SUM('15 Year Pro Forma'!$E$66:GZD$66))</f>
        <v>0</v>
      </c>
      <c r="GZG66" s="956">
        <f>MIN(GZG60*$C$65,Application!$AO$636-SUM('15 Year Pro Forma'!$E$66:GZF$66))</f>
        <v>0</v>
      </c>
      <c r="GZI66" s="956">
        <f>MIN(GZI60*$C$65,Application!$AO$636-SUM('15 Year Pro Forma'!$E$66:GZH$66))</f>
        <v>0</v>
      </c>
      <c r="GZK66" s="956">
        <f>MIN(GZK60*$C$65,Application!$AO$636-SUM('15 Year Pro Forma'!$E$66:GZJ$66))</f>
        <v>0</v>
      </c>
      <c r="GZM66" s="956">
        <f>MIN(GZM60*$C$65,Application!$AO$636-SUM('15 Year Pro Forma'!$E$66:GZL$66))</f>
        <v>0</v>
      </c>
      <c r="GZO66" s="956">
        <f>MIN(GZO60*$C$65,Application!$AO$636-SUM('15 Year Pro Forma'!$E$66:GZN$66))</f>
        <v>0</v>
      </c>
      <c r="GZQ66" s="956">
        <f>MIN(GZQ60*$C$65,Application!$AO$636-SUM('15 Year Pro Forma'!$E$66:GZP$66))</f>
        <v>0</v>
      </c>
      <c r="GZS66" s="956">
        <f>MIN(GZS60*$C$65,Application!$AO$636-SUM('15 Year Pro Forma'!$E$66:GZR$66))</f>
        <v>0</v>
      </c>
      <c r="GZU66" s="956">
        <f>MIN(GZU60*$C$65,Application!$AO$636-SUM('15 Year Pro Forma'!$E$66:GZT$66))</f>
        <v>0</v>
      </c>
      <c r="GZW66" s="956">
        <f>MIN(GZW60*$C$65,Application!$AO$636-SUM('15 Year Pro Forma'!$E$66:GZV$66))</f>
        <v>0</v>
      </c>
      <c r="GZY66" s="956">
        <f>MIN(GZY60*$C$65,Application!$AO$636-SUM('15 Year Pro Forma'!$E$66:GZX$66))</f>
        <v>0</v>
      </c>
      <c r="HAA66" s="956">
        <f>MIN(HAA60*$C$65,Application!$AO$636-SUM('15 Year Pro Forma'!$E$66:GZZ$66))</f>
        <v>0</v>
      </c>
      <c r="HAC66" s="956">
        <f>MIN(HAC60*$C$65,Application!$AO$636-SUM('15 Year Pro Forma'!$E$66:HAB$66))</f>
        <v>0</v>
      </c>
      <c r="HAE66" s="956">
        <f>MIN(HAE60*$C$65,Application!$AO$636-SUM('15 Year Pro Forma'!$E$66:HAD$66))</f>
        <v>0</v>
      </c>
      <c r="HAG66" s="956">
        <f>MIN(HAG60*$C$65,Application!$AO$636-SUM('15 Year Pro Forma'!$E$66:HAF$66))</f>
        <v>0</v>
      </c>
      <c r="HAI66" s="956">
        <f>MIN(HAI60*$C$65,Application!$AO$636-SUM('15 Year Pro Forma'!$E$66:HAH$66))</f>
        <v>0</v>
      </c>
      <c r="HAK66" s="956">
        <f>MIN(HAK60*$C$65,Application!$AO$636-SUM('15 Year Pro Forma'!$E$66:HAJ$66))</f>
        <v>0</v>
      </c>
      <c r="HAM66" s="956">
        <f>MIN(HAM60*$C$65,Application!$AO$636-SUM('15 Year Pro Forma'!$E$66:HAL$66))</f>
        <v>0</v>
      </c>
      <c r="HAO66" s="956">
        <f>MIN(HAO60*$C$65,Application!$AO$636-SUM('15 Year Pro Forma'!$E$66:HAN$66))</f>
        <v>0</v>
      </c>
      <c r="HAQ66" s="956">
        <f>MIN(HAQ60*$C$65,Application!$AO$636-SUM('15 Year Pro Forma'!$E$66:HAP$66))</f>
        <v>0</v>
      </c>
      <c r="HAS66" s="956">
        <f>MIN(HAS60*$C$65,Application!$AO$636-SUM('15 Year Pro Forma'!$E$66:HAR$66))</f>
        <v>0</v>
      </c>
      <c r="HAU66" s="956">
        <f>MIN(HAU60*$C$65,Application!$AO$636-SUM('15 Year Pro Forma'!$E$66:HAT$66))</f>
        <v>0</v>
      </c>
      <c r="HAW66" s="956">
        <f>MIN(HAW60*$C$65,Application!$AO$636-SUM('15 Year Pro Forma'!$E$66:HAV$66))</f>
        <v>0</v>
      </c>
      <c r="HAY66" s="956">
        <f>MIN(HAY60*$C$65,Application!$AO$636-SUM('15 Year Pro Forma'!$E$66:HAX$66))</f>
        <v>0</v>
      </c>
      <c r="HBA66" s="956">
        <f>MIN(HBA60*$C$65,Application!$AO$636-SUM('15 Year Pro Forma'!$E$66:HAZ$66))</f>
        <v>0</v>
      </c>
      <c r="HBC66" s="956">
        <f>MIN(HBC60*$C$65,Application!$AO$636-SUM('15 Year Pro Forma'!$E$66:HBB$66))</f>
        <v>0</v>
      </c>
      <c r="HBE66" s="956">
        <f>MIN(HBE60*$C$65,Application!$AO$636-SUM('15 Year Pro Forma'!$E$66:HBD$66))</f>
        <v>0</v>
      </c>
      <c r="HBG66" s="956">
        <f>MIN(HBG60*$C$65,Application!$AO$636-SUM('15 Year Pro Forma'!$E$66:HBF$66))</f>
        <v>0</v>
      </c>
      <c r="HBI66" s="956">
        <f>MIN(HBI60*$C$65,Application!$AO$636-SUM('15 Year Pro Forma'!$E$66:HBH$66))</f>
        <v>0</v>
      </c>
      <c r="HBK66" s="956">
        <f>MIN(HBK60*$C$65,Application!$AO$636-SUM('15 Year Pro Forma'!$E$66:HBJ$66))</f>
        <v>0</v>
      </c>
      <c r="HBM66" s="956">
        <f>MIN(HBM60*$C$65,Application!$AO$636-SUM('15 Year Pro Forma'!$E$66:HBL$66))</f>
        <v>0</v>
      </c>
      <c r="HBO66" s="956">
        <f>MIN(HBO60*$C$65,Application!$AO$636-SUM('15 Year Pro Forma'!$E$66:HBN$66))</f>
        <v>0</v>
      </c>
      <c r="HBQ66" s="956">
        <f>MIN(HBQ60*$C$65,Application!$AO$636-SUM('15 Year Pro Forma'!$E$66:HBP$66))</f>
        <v>0</v>
      </c>
      <c r="HBS66" s="956">
        <f>MIN(HBS60*$C$65,Application!$AO$636-SUM('15 Year Pro Forma'!$E$66:HBR$66))</f>
        <v>0</v>
      </c>
      <c r="HBU66" s="956">
        <f>MIN(HBU60*$C$65,Application!$AO$636-SUM('15 Year Pro Forma'!$E$66:HBT$66))</f>
        <v>0</v>
      </c>
      <c r="HBW66" s="956">
        <f>MIN(HBW60*$C$65,Application!$AO$636-SUM('15 Year Pro Forma'!$E$66:HBV$66))</f>
        <v>0</v>
      </c>
      <c r="HBY66" s="956">
        <f>MIN(HBY60*$C$65,Application!$AO$636-SUM('15 Year Pro Forma'!$E$66:HBX$66))</f>
        <v>0</v>
      </c>
      <c r="HCA66" s="956">
        <f>MIN(HCA60*$C$65,Application!$AO$636-SUM('15 Year Pro Forma'!$E$66:HBZ$66))</f>
        <v>0</v>
      </c>
      <c r="HCC66" s="956">
        <f>MIN(HCC60*$C$65,Application!$AO$636-SUM('15 Year Pro Forma'!$E$66:HCB$66))</f>
        <v>0</v>
      </c>
      <c r="HCE66" s="956">
        <f>MIN(HCE60*$C$65,Application!$AO$636-SUM('15 Year Pro Forma'!$E$66:HCD$66))</f>
        <v>0</v>
      </c>
      <c r="HCG66" s="956">
        <f>MIN(HCG60*$C$65,Application!$AO$636-SUM('15 Year Pro Forma'!$E$66:HCF$66))</f>
        <v>0</v>
      </c>
      <c r="HCI66" s="956">
        <f>MIN(HCI60*$C$65,Application!$AO$636-SUM('15 Year Pro Forma'!$E$66:HCH$66))</f>
        <v>0</v>
      </c>
      <c r="HCK66" s="956">
        <f>MIN(HCK60*$C$65,Application!$AO$636-SUM('15 Year Pro Forma'!$E$66:HCJ$66))</f>
        <v>0</v>
      </c>
      <c r="HCM66" s="956">
        <f>MIN(HCM60*$C$65,Application!$AO$636-SUM('15 Year Pro Forma'!$E$66:HCL$66))</f>
        <v>0</v>
      </c>
      <c r="HCO66" s="956">
        <f>MIN(HCO60*$C$65,Application!$AO$636-SUM('15 Year Pro Forma'!$E$66:HCN$66))</f>
        <v>0</v>
      </c>
      <c r="HCQ66" s="956">
        <f>MIN(HCQ60*$C$65,Application!$AO$636-SUM('15 Year Pro Forma'!$E$66:HCP$66))</f>
        <v>0</v>
      </c>
      <c r="HCS66" s="956">
        <f>MIN(HCS60*$C$65,Application!$AO$636-SUM('15 Year Pro Forma'!$E$66:HCR$66))</f>
        <v>0</v>
      </c>
      <c r="HCU66" s="956">
        <f>MIN(HCU60*$C$65,Application!$AO$636-SUM('15 Year Pro Forma'!$E$66:HCT$66))</f>
        <v>0</v>
      </c>
      <c r="HCW66" s="956">
        <f>MIN(HCW60*$C$65,Application!$AO$636-SUM('15 Year Pro Forma'!$E$66:HCV$66))</f>
        <v>0</v>
      </c>
      <c r="HCY66" s="956">
        <f>MIN(HCY60*$C$65,Application!$AO$636-SUM('15 Year Pro Forma'!$E$66:HCX$66))</f>
        <v>0</v>
      </c>
      <c r="HDA66" s="956">
        <f>MIN(HDA60*$C$65,Application!$AO$636-SUM('15 Year Pro Forma'!$E$66:HCZ$66))</f>
        <v>0</v>
      </c>
      <c r="HDC66" s="956">
        <f>MIN(HDC60*$C$65,Application!$AO$636-SUM('15 Year Pro Forma'!$E$66:HDB$66))</f>
        <v>0</v>
      </c>
      <c r="HDE66" s="956">
        <f>MIN(HDE60*$C$65,Application!$AO$636-SUM('15 Year Pro Forma'!$E$66:HDD$66))</f>
        <v>0</v>
      </c>
      <c r="HDG66" s="956">
        <f>MIN(HDG60*$C$65,Application!$AO$636-SUM('15 Year Pro Forma'!$E$66:HDF$66))</f>
        <v>0</v>
      </c>
      <c r="HDI66" s="956">
        <f>MIN(HDI60*$C$65,Application!$AO$636-SUM('15 Year Pro Forma'!$E$66:HDH$66))</f>
        <v>0</v>
      </c>
      <c r="HDK66" s="956">
        <f>MIN(HDK60*$C$65,Application!$AO$636-SUM('15 Year Pro Forma'!$E$66:HDJ$66))</f>
        <v>0</v>
      </c>
      <c r="HDM66" s="956">
        <f>MIN(HDM60*$C$65,Application!$AO$636-SUM('15 Year Pro Forma'!$E$66:HDL$66))</f>
        <v>0</v>
      </c>
      <c r="HDO66" s="956">
        <f>MIN(HDO60*$C$65,Application!$AO$636-SUM('15 Year Pro Forma'!$E$66:HDN$66))</f>
        <v>0</v>
      </c>
      <c r="HDQ66" s="956">
        <f>MIN(HDQ60*$C$65,Application!$AO$636-SUM('15 Year Pro Forma'!$E$66:HDP$66))</f>
        <v>0</v>
      </c>
      <c r="HDS66" s="956">
        <f>MIN(HDS60*$C$65,Application!$AO$636-SUM('15 Year Pro Forma'!$E$66:HDR$66))</f>
        <v>0</v>
      </c>
      <c r="HDU66" s="956">
        <f>MIN(HDU60*$C$65,Application!$AO$636-SUM('15 Year Pro Forma'!$E$66:HDT$66))</f>
        <v>0</v>
      </c>
      <c r="HDW66" s="956">
        <f>MIN(HDW60*$C$65,Application!$AO$636-SUM('15 Year Pro Forma'!$E$66:HDV$66))</f>
        <v>0</v>
      </c>
      <c r="HDY66" s="956">
        <f>MIN(HDY60*$C$65,Application!$AO$636-SUM('15 Year Pro Forma'!$E$66:HDX$66))</f>
        <v>0</v>
      </c>
      <c r="HEA66" s="956">
        <f>MIN(HEA60*$C$65,Application!$AO$636-SUM('15 Year Pro Forma'!$E$66:HDZ$66))</f>
        <v>0</v>
      </c>
      <c r="HEC66" s="956">
        <f>MIN(HEC60*$C$65,Application!$AO$636-SUM('15 Year Pro Forma'!$E$66:HEB$66))</f>
        <v>0</v>
      </c>
      <c r="HEE66" s="956">
        <f>MIN(HEE60*$C$65,Application!$AO$636-SUM('15 Year Pro Forma'!$E$66:HED$66))</f>
        <v>0</v>
      </c>
      <c r="HEG66" s="956">
        <f>MIN(HEG60*$C$65,Application!$AO$636-SUM('15 Year Pro Forma'!$E$66:HEF$66))</f>
        <v>0</v>
      </c>
      <c r="HEI66" s="956">
        <f>MIN(HEI60*$C$65,Application!$AO$636-SUM('15 Year Pro Forma'!$E$66:HEH$66))</f>
        <v>0</v>
      </c>
      <c r="HEK66" s="956">
        <f>MIN(HEK60*$C$65,Application!$AO$636-SUM('15 Year Pro Forma'!$E$66:HEJ$66))</f>
        <v>0</v>
      </c>
      <c r="HEM66" s="956">
        <f>MIN(HEM60*$C$65,Application!$AO$636-SUM('15 Year Pro Forma'!$E$66:HEL$66))</f>
        <v>0</v>
      </c>
      <c r="HEO66" s="956">
        <f>MIN(HEO60*$C$65,Application!$AO$636-SUM('15 Year Pro Forma'!$E$66:HEN$66))</f>
        <v>0</v>
      </c>
      <c r="HEQ66" s="956">
        <f>MIN(HEQ60*$C$65,Application!$AO$636-SUM('15 Year Pro Forma'!$E$66:HEP$66))</f>
        <v>0</v>
      </c>
      <c r="HES66" s="956">
        <f>MIN(HES60*$C$65,Application!$AO$636-SUM('15 Year Pro Forma'!$E$66:HER$66))</f>
        <v>0</v>
      </c>
      <c r="HEU66" s="956">
        <f>MIN(HEU60*$C$65,Application!$AO$636-SUM('15 Year Pro Forma'!$E$66:HET$66))</f>
        <v>0</v>
      </c>
      <c r="HEW66" s="956">
        <f>MIN(HEW60*$C$65,Application!$AO$636-SUM('15 Year Pro Forma'!$E$66:HEV$66))</f>
        <v>0</v>
      </c>
      <c r="HEY66" s="956">
        <f>MIN(HEY60*$C$65,Application!$AO$636-SUM('15 Year Pro Forma'!$E$66:HEX$66))</f>
        <v>0</v>
      </c>
      <c r="HFA66" s="956">
        <f>MIN(HFA60*$C$65,Application!$AO$636-SUM('15 Year Pro Forma'!$E$66:HEZ$66))</f>
        <v>0</v>
      </c>
      <c r="HFC66" s="956">
        <f>MIN(HFC60*$C$65,Application!$AO$636-SUM('15 Year Pro Forma'!$E$66:HFB$66))</f>
        <v>0</v>
      </c>
      <c r="HFE66" s="956">
        <f>MIN(HFE60*$C$65,Application!$AO$636-SUM('15 Year Pro Forma'!$E$66:HFD$66))</f>
        <v>0</v>
      </c>
      <c r="HFG66" s="956">
        <f>MIN(HFG60*$C$65,Application!$AO$636-SUM('15 Year Pro Forma'!$E$66:HFF$66))</f>
        <v>0</v>
      </c>
      <c r="HFI66" s="956">
        <f>MIN(HFI60*$C$65,Application!$AO$636-SUM('15 Year Pro Forma'!$E$66:HFH$66))</f>
        <v>0</v>
      </c>
      <c r="HFK66" s="956">
        <f>MIN(HFK60*$C$65,Application!$AO$636-SUM('15 Year Pro Forma'!$E$66:HFJ$66))</f>
        <v>0</v>
      </c>
      <c r="HFM66" s="956">
        <f>MIN(HFM60*$C$65,Application!$AO$636-SUM('15 Year Pro Forma'!$E$66:HFL$66))</f>
        <v>0</v>
      </c>
      <c r="HFO66" s="956">
        <f>MIN(HFO60*$C$65,Application!$AO$636-SUM('15 Year Pro Forma'!$E$66:HFN$66))</f>
        <v>0</v>
      </c>
      <c r="HFQ66" s="956">
        <f>MIN(HFQ60*$C$65,Application!$AO$636-SUM('15 Year Pro Forma'!$E$66:HFP$66))</f>
        <v>0</v>
      </c>
      <c r="HFS66" s="956">
        <f>MIN(HFS60*$C$65,Application!$AO$636-SUM('15 Year Pro Forma'!$E$66:HFR$66))</f>
        <v>0</v>
      </c>
      <c r="HFU66" s="956">
        <f>MIN(HFU60*$C$65,Application!$AO$636-SUM('15 Year Pro Forma'!$E$66:HFT$66))</f>
        <v>0</v>
      </c>
      <c r="HFW66" s="956">
        <f>MIN(HFW60*$C$65,Application!$AO$636-SUM('15 Year Pro Forma'!$E$66:HFV$66))</f>
        <v>0</v>
      </c>
      <c r="HFY66" s="956">
        <f>MIN(HFY60*$C$65,Application!$AO$636-SUM('15 Year Pro Forma'!$E$66:HFX$66))</f>
        <v>0</v>
      </c>
      <c r="HGA66" s="956">
        <f>MIN(HGA60*$C$65,Application!$AO$636-SUM('15 Year Pro Forma'!$E$66:HFZ$66))</f>
        <v>0</v>
      </c>
      <c r="HGC66" s="956">
        <f>MIN(HGC60*$C$65,Application!$AO$636-SUM('15 Year Pro Forma'!$E$66:HGB$66))</f>
        <v>0</v>
      </c>
      <c r="HGE66" s="956">
        <f>MIN(HGE60*$C$65,Application!$AO$636-SUM('15 Year Pro Forma'!$E$66:HGD$66))</f>
        <v>0</v>
      </c>
      <c r="HGG66" s="956">
        <f>MIN(HGG60*$C$65,Application!$AO$636-SUM('15 Year Pro Forma'!$E$66:HGF$66))</f>
        <v>0</v>
      </c>
      <c r="HGI66" s="956">
        <f>MIN(HGI60*$C$65,Application!$AO$636-SUM('15 Year Pro Forma'!$E$66:HGH$66))</f>
        <v>0</v>
      </c>
      <c r="HGK66" s="956">
        <f>MIN(HGK60*$C$65,Application!$AO$636-SUM('15 Year Pro Forma'!$E$66:HGJ$66))</f>
        <v>0</v>
      </c>
      <c r="HGM66" s="956">
        <f>MIN(HGM60*$C$65,Application!$AO$636-SUM('15 Year Pro Forma'!$E$66:HGL$66))</f>
        <v>0</v>
      </c>
      <c r="HGO66" s="956">
        <f>MIN(HGO60*$C$65,Application!$AO$636-SUM('15 Year Pro Forma'!$E$66:HGN$66))</f>
        <v>0</v>
      </c>
      <c r="HGQ66" s="956">
        <f>MIN(HGQ60*$C$65,Application!$AO$636-SUM('15 Year Pro Forma'!$E$66:HGP$66))</f>
        <v>0</v>
      </c>
      <c r="HGS66" s="956">
        <f>MIN(HGS60*$C$65,Application!$AO$636-SUM('15 Year Pro Forma'!$E$66:HGR$66))</f>
        <v>0</v>
      </c>
      <c r="HGU66" s="956">
        <f>MIN(HGU60*$C$65,Application!$AO$636-SUM('15 Year Pro Forma'!$E$66:HGT$66))</f>
        <v>0</v>
      </c>
      <c r="HGW66" s="956">
        <f>MIN(HGW60*$C$65,Application!$AO$636-SUM('15 Year Pro Forma'!$E$66:HGV$66))</f>
        <v>0</v>
      </c>
      <c r="HGY66" s="956">
        <f>MIN(HGY60*$C$65,Application!$AO$636-SUM('15 Year Pro Forma'!$E$66:HGX$66))</f>
        <v>0</v>
      </c>
      <c r="HHA66" s="956">
        <f>MIN(HHA60*$C$65,Application!$AO$636-SUM('15 Year Pro Forma'!$E$66:HGZ$66))</f>
        <v>0</v>
      </c>
      <c r="HHC66" s="956">
        <f>MIN(HHC60*$C$65,Application!$AO$636-SUM('15 Year Pro Forma'!$E$66:HHB$66))</f>
        <v>0</v>
      </c>
      <c r="HHE66" s="956">
        <f>MIN(HHE60*$C$65,Application!$AO$636-SUM('15 Year Pro Forma'!$E$66:HHD$66))</f>
        <v>0</v>
      </c>
      <c r="HHG66" s="956">
        <f>MIN(HHG60*$C$65,Application!$AO$636-SUM('15 Year Pro Forma'!$E$66:HHF$66))</f>
        <v>0</v>
      </c>
      <c r="HHI66" s="956">
        <f>MIN(HHI60*$C$65,Application!$AO$636-SUM('15 Year Pro Forma'!$E$66:HHH$66))</f>
        <v>0</v>
      </c>
      <c r="HHK66" s="956">
        <f>MIN(HHK60*$C$65,Application!$AO$636-SUM('15 Year Pro Forma'!$E$66:HHJ$66))</f>
        <v>0</v>
      </c>
      <c r="HHM66" s="956">
        <f>MIN(HHM60*$C$65,Application!$AO$636-SUM('15 Year Pro Forma'!$E$66:HHL$66))</f>
        <v>0</v>
      </c>
      <c r="HHO66" s="956">
        <f>MIN(HHO60*$C$65,Application!$AO$636-SUM('15 Year Pro Forma'!$E$66:HHN$66))</f>
        <v>0</v>
      </c>
      <c r="HHQ66" s="956">
        <f>MIN(HHQ60*$C$65,Application!$AO$636-SUM('15 Year Pro Forma'!$E$66:HHP$66))</f>
        <v>0</v>
      </c>
      <c r="HHS66" s="956">
        <f>MIN(HHS60*$C$65,Application!$AO$636-SUM('15 Year Pro Forma'!$E$66:HHR$66))</f>
        <v>0</v>
      </c>
      <c r="HHU66" s="956">
        <f>MIN(HHU60*$C$65,Application!$AO$636-SUM('15 Year Pro Forma'!$E$66:HHT$66))</f>
        <v>0</v>
      </c>
      <c r="HHW66" s="956">
        <f>MIN(HHW60*$C$65,Application!$AO$636-SUM('15 Year Pro Forma'!$E$66:HHV$66))</f>
        <v>0</v>
      </c>
      <c r="HHY66" s="956">
        <f>MIN(HHY60*$C$65,Application!$AO$636-SUM('15 Year Pro Forma'!$E$66:HHX$66))</f>
        <v>0</v>
      </c>
      <c r="HIA66" s="956">
        <f>MIN(HIA60*$C$65,Application!$AO$636-SUM('15 Year Pro Forma'!$E$66:HHZ$66))</f>
        <v>0</v>
      </c>
      <c r="HIC66" s="956">
        <f>MIN(HIC60*$C$65,Application!$AO$636-SUM('15 Year Pro Forma'!$E$66:HIB$66))</f>
        <v>0</v>
      </c>
      <c r="HIE66" s="956">
        <f>MIN(HIE60*$C$65,Application!$AO$636-SUM('15 Year Pro Forma'!$E$66:HID$66))</f>
        <v>0</v>
      </c>
      <c r="HIG66" s="956">
        <f>MIN(HIG60*$C$65,Application!$AO$636-SUM('15 Year Pro Forma'!$E$66:HIF$66))</f>
        <v>0</v>
      </c>
      <c r="HII66" s="956">
        <f>MIN(HII60*$C$65,Application!$AO$636-SUM('15 Year Pro Forma'!$E$66:HIH$66))</f>
        <v>0</v>
      </c>
      <c r="HIK66" s="956">
        <f>MIN(HIK60*$C$65,Application!$AO$636-SUM('15 Year Pro Forma'!$E$66:HIJ$66))</f>
        <v>0</v>
      </c>
      <c r="HIM66" s="956">
        <f>MIN(HIM60*$C$65,Application!$AO$636-SUM('15 Year Pro Forma'!$E$66:HIL$66))</f>
        <v>0</v>
      </c>
      <c r="HIO66" s="956">
        <f>MIN(HIO60*$C$65,Application!$AO$636-SUM('15 Year Pro Forma'!$E$66:HIN$66))</f>
        <v>0</v>
      </c>
      <c r="HIQ66" s="956">
        <f>MIN(HIQ60*$C$65,Application!$AO$636-SUM('15 Year Pro Forma'!$E$66:HIP$66))</f>
        <v>0</v>
      </c>
      <c r="HIS66" s="956">
        <f>MIN(HIS60*$C$65,Application!$AO$636-SUM('15 Year Pro Forma'!$E$66:HIR$66))</f>
        <v>0</v>
      </c>
      <c r="HIU66" s="956">
        <f>MIN(HIU60*$C$65,Application!$AO$636-SUM('15 Year Pro Forma'!$E$66:HIT$66))</f>
        <v>0</v>
      </c>
      <c r="HIW66" s="956">
        <f>MIN(HIW60*$C$65,Application!$AO$636-SUM('15 Year Pro Forma'!$E$66:HIV$66))</f>
        <v>0</v>
      </c>
      <c r="HIY66" s="956">
        <f>MIN(HIY60*$C$65,Application!$AO$636-SUM('15 Year Pro Forma'!$E$66:HIX$66))</f>
        <v>0</v>
      </c>
      <c r="HJA66" s="956">
        <f>MIN(HJA60*$C$65,Application!$AO$636-SUM('15 Year Pro Forma'!$E$66:HIZ$66))</f>
        <v>0</v>
      </c>
      <c r="HJC66" s="956">
        <f>MIN(HJC60*$C$65,Application!$AO$636-SUM('15 Year Pro Forma'!$E$66:HJB$66))</f>
        <v>0</v>
      </c>
      <c r="HJE66" s="956">
        <f>MIN(HJE60*$C$65,Application!$AO$636-SUM('15 Year Pro Forma'!$E$66:HJD$66))</f>
        <v>0</v>
      </c>
      <c r="HJG66" s="956">
        <f>MIN(HJG60*$C$65,Application!$AO$636-SUM('15 Year Pro Forma'!$E$66:HJF$66))</f>
        <v>0</v>
      </c>
      <c r="HJI66" s="956">
        <f>MIN(HJI60*$C$65,Application!$AO$636-SUM('15 Year Pro Forma'!$E$66:HJH$66))</f>
        <v>0</v>
      </c>
      <c r="HJK66" s="956">
        <f>MIN(HJK60*$C$65,Application!$AO$636-SUM('15 Year Pro Forma'!$E$66:HJJ$66))</f>
        <v>0</v>
      </c>
      <c r="HJM66" s="956">
        <f>MIN(HJM60*$C$65,Application!$AO$636-SUM('15 Year Pro Forma'!$E$66:HJL$66))</f>
        <v>0</v>
      </c>
      <c r="HJO66" s="956">
        <f>MIN(HJO60*$C$65,Application!$AO$636-SUM('15 Year Pro Forma'!$E$66:HJN$66))</f>
        <v>0</v>
      </c>
      <c r="HJQ66" s="956">
        <f>MIN(HJQ60*$C$65,Application!$AO$636-SUM('15 Year Pro Forma'!$E$66:HJP$66))</f>
        <v>0</v>
      </c>
      <c r="HJS66" s="956">
        <f>MIN(HJS60*$C$65,Application!$AO$636-SUM('15 Year Pro Forma'!$E$66:HJR$66))</f>
        <v>0</v>
      </c>
      <c r="HJU66" s="956">
        <f>MIN(HJU60*$C$65,Application!$AO$636-SUM('15 Year Pro Forma'!$E$66:HJT$66))</f>
        <v>0</v>
      </c>
      <c r="HJW66" s="956">
        <f>MIN(HJW60*$C$65,Application!$AO$636-SUM('15 Year Pro Forma'!$E$66:HJV$66))</f>
        <v>0</v>
      </c>
      <c r="HJY66" s="956">
        <f>MIN(HJY60*$C$65,Application!$AO$636-SUM('15 Year Pro Forma'!$E$66:HJX$66))</f>
        <v>0</v>
      </c>
      <c r="HKA66" s="956">
        <f>MIN(HKA60*$C$65,Application!$AO$636-SUM('15 Year Pro Forma'!$E$66:HJZ$66))</f>
        <v>0</v>
      </c>
      <c r="HKC66" s="956">
        <f>MIN(HKC60*$C$65,Application!$AO$636-SUM('15 Year Pro Forma'!$E$66:HKB$66))</f>
        <v>0</v>
      </c>
      <c r="HKE66" s="956">
        <f>MIN(HKE60*$C$65,Application!$AO$636-SUM('15 Year Pro Forma'!$E$66:HKD$66))</f>
        <v>0</v>
      </c>
      <c r="HKG66" s="956">
        <f>MIN(HKG60*$C$65,Application!$AO$636-SUM('15 Year Pro Forma'!$E$66:HKF$66))</f>
        <v>0</v>
      </c>
      <c r="HKI66" s="956">
        <f>MIN(HKI60*$C$65,Application!$AO$636-SUM('15 Year Pro Forma'!$E$66:HKH$66))</f>
        <v>0</v>
      </c>
      <c r="HKK66" s="956">
        <f>MIN(HKK60*$C$65,Application!$AO$636-SUM('15 Year Pro Forma'!$E$66:HKJ$66))</f>
        <v>0</v>
      </c>
      <c r="HKM66" s="956">
        <f>MIN(HKM60*$C$65,Application!$AO$636-SUM('15 Year Pro Forma'!$E$66:HKL$66))</f>
        <v>0</v>
      </c>
      <c r="HKO66" s="956">
        <f>MIN(HKO60*$C$65,Application!$AO$636-SUM('15 Year Pro Forma'!$E$66:HKN$66))</f>
        <v>0</v>
      </c>
      <c r="HKQ66" s="956">
        <f>MIN(HKQ60*$C$65,Application!$AO$636-SUM('15 Year Pro Forma'!$E$66:HKP$66))</f>
        <v>0</v>
      </c>
      <c r="HKS66" s="956">
        <f>MIN(HKS60*$C$65,Application!$AO$636-SUM('15 Year Pro Forma'!$E$66:HKR$66))</f>
        <v>0</v>
      </c>
      <c r="HKU66" s="956">
        <f>MIN(HKU60*$C$65,Application!$AO$636-SUM('15 Year Pro Forma'!$E$66:HKT$66))</f>
        <v>0</v>
      </c>
      <c r="HKW66" s="956">
        <f>MIN(HKW60*$C$65,Application!$AO$636-SUM('15 Year Pro Forma'!$E$66:HKV$66))</f>
        <v>0</v>
      </c>
      <c r="HKY66" s="956">
        <f>MIN(HKY60*$C$65,Application!$AO$636-SUM('15 Year Pro Forma'!$E$66:HKX$66))</f>
        <v>0</v>
      </c>
      <c r="HLA66" s="956">
        <f>MIN(HLA60*$C$65,Application!$AO$636-SUM('15 Year Pro Forma'!$E$66:HKZ$66))</f>
        <v>0</v>
      </c>
      <c r="HLC66" s="956">
        <f>MIN(HLC60*$C$65,Application!$AO$636-SUM('15 Year Pro Forma'!$E$66:HLB$66))</f>
        <v>0</v>
      </c>
      <c r="HLE66" s="956">
        <f>MIN(HLE60*$C$65,Application!$AO$636-SUM('15 Year Pro Forma'!$E$66:HLD$66))</f>
        <v>0</v>
      </c>
      <c r="HLG66" s="956">
        <f>MIN(HLG60*$C$65,Application!$AO$636-SUM('15 Year Pro Forma'!$E$66:HLF$66))</f>
        <v>0</v>
      </c>
      <c r="HLI66" s="956">
        <f>MIN(HLI60*$C$65,Application!$AO$636-SUM('15 Year Pro Forma'!$E$66:HLH$66))</f>
        <v>0</v>
      </c>
      <c r="HLK66" s="956">
        <f>MIN(HLK60*$C$65,Application!$AO$636-SUM('15 Year Pro Forma'!$E$66:HLJ$66))</f>
        <v>0</v>
      </c>
      <c r="HLM66" s="956">
        <f>MIN(HLM60*$C$65,Application!$AO$636-SUM('15 Year Pro Forma'!$E$66:HLL$66))</f>
        <v>0</v>
      </c>
      <c r="HLO66" s="956">
        <f>MIN(HLO60*$C$65,Application!$AO$636-SUM('15 Year Pro Forma'!$E$66:HLN$66))</f>
        <v>0</v>
      </c>
      <c r="HLQ66" s="956">
        <f>MIN(HLQ60*$C$65,Application!$AO$636-SUM('15 Year Pro Forma'!$E$66:HLP$66))</f>
        <v>0</v>
      </c>
      <c r="HLS66" s="956">
        <f>MIN(HLS60*$C$65,Application!$AO$636-SUM('15 Year Pro Forma'!$E$66:HLR$66))</f>
        <v>0</v>
      </c>
      <c r="HLU66" s="956">
        <f>MIN(HLU60*$C$65,Application!$AO$636-SUM('15 Year Pro Forma'!$E$66:HLT$66))</f>
        <v>0</v>
      </c>
      <c r="HLW66" s="956">
        <f>MIN(HLW60*$C$65,Application!$AO$636-SUM('15 Year Pro Forma'!$E$66:HLV$66))</f>
        <v>0</v>
      </c>
      <c r="HLY66" s="956">
        <f>MIN(HLY60*$C$65,Application!$AO$636-SUM('15 Year Pro Forma'!$E$66:HLX$66))</f>
        <v>0</v>
      </c>
      <c r="HMA66" s="956">
        <f>MIN(HMA60*$C$65,Application!$AO$636-SUM('15 Year Pro Forma'!$E$66:HLZ$66))</f>
        <v>0</v>
      </c>
      <c r="HMC66" s="956">
        <f>MIN(HMC60*$C$65,Application!$AO$636-SUM('15 Year Pro Forma'!$E$66:HMB$66))</f>
        <v>0</v>
      </c>
      <c r="HME66" s="956">
        <f>MIN(HME60*$C$65,Application!$AO$636-SUM('15 Year Pro Forma'!$E$66:HMD$66))</f>
        <v>0</v>
      </c>
      <c r="HMG66" s="956">
        <f>MIN(HMG60*$C$65,Application!$AO$636-SUM('15 Year Pro Forma'!$E$66:HMF$66))</f>
        <v>0</v>
      </c>
      <c r="HMI66" s="956">
        <f>MIN(HMI60*$C$65,Application!$AO$636-SUM('15 Year Pro Forma'!$E$66:HMH$66))</f>
        <v>0</v>
      </c>
      <c r="HMK66" s="956">
        <f>MIN(HMK60*$C$65,Application!$AO$636-SUM('15 Year Pro Forma'!$E$66:HMJ$66))</f>
        <v>0</v>
      </c>
      <c r="HMM66" s="956">
        <f>MIN(HMM60*$C$65,Application!$AO$636-SUM('15 Year Pro Forma'!$E$66:HML$66))</f>
        <v>0</v>
      </c>
      <c r="HMO66" s="956">
        <f>MIN(HMO60*$C$65,Application!$AO$636-SUM('15 Year Pro Forma'!$E$66:HMN$66))</f>
        <v>0</v>
      </c>
      <c r="HMQ66" s="956">
        <f>MIN(HMQ60*$C$65,Application!$AO$636-SUM('15 Year Pro Forma'!$E$66:HMP$66))</f>
        <v>0</v>
      </c>
      <c r="HMS66" s="956">
        <f>MIN(HMS60*$C$65,Application!$AO$636-SUM('15 Year Pro Forma'!$E$66:HMR$66))</f>
        <v>0</v>
      </c>
      <c r="HMU66" s="956">
        <f>MIN(HMU60*$C$65,Application!$AO$636-SUM('15 Year Pro Forma'!$E$66:HMT$66))</f>
        <v>0</v>
      </c>
      <c r="HMW66" s="956">
        <f>MIN(HMW60*$C$65,Application!$AO$636-SUM('15 Year Pro Forma'!$E$66:HMV$66))</f>
        <v>0</v>
      </c>
      <c r="HMY66" s="956">
        <f>MIN(HMY60*$C$65,Application!$AO$636-SUM('15 Year Pro Forma'!$E$66:HMX$66))</f>
        <v>0</v>
      </c>
      <c r="HNA66" s="956">
        <f>MIN(HNA60*$C$65,Application!$AO$636-SUM('15 Year Pro Forma'!$E$66:HMZ$66))</f>
        <v>0</v>
      </c>
      <c r="HNC66" s="956">
        <f>MIN(HNC60*$C$65,Application!$AO$636-SUM('15 Year Pro Forma'!$E$66:HNB$66))</f>
        <v>0</v>
      </c>
      <c r="HNE66" s="956">
        <f>MIN(HNE60*$C$65,Application!$AO$636-SUM('15 Year Pro Forma'!$E$66:HND$66))</f>
        <v>0</v>
      </c>
      <c r="HNG66" s="956">
        <f>MIN(HNG60*$C$65,Application!$AO$636-SUM('15 Year Pro Forma'!$E$66:HNF$66))</f>
        <v>0</v>
      </c>
      <c r="HNI66" s="956">
        <f>MIN(HNI60*$C$65,Application!$AO$636-SUM('15 Year Pro Forma'!$E$66:HNH$66))</f>
        <v>0</v>
      </c>
      <c r="HNK66" s="956">
        <f>MIN(HNK60*$C$65,Application!$AO$636-SUM('15 Year Pro Forma'!$E$66:HNJ$66))</f>
        <v>0</v>
      </c>
      <c r="HNM66" s="956">
        <f>MIN(HNM60*$C$65,Application!$AO$636-SUM('15 Year Pro Forma'!$E$66:HNL$66))</f>
        <v>0</v>
      </c>
      <c r="HNO66" s="956">
        <f>MIN(HNO60*$C$65,Application!$AO$636-SUM('15 Year Pro Forma'!$E$66:HNN$66))</f>
        <v>0</v>
      </c>
      <c r="HNQ66" s="956">
        <f>MIN(HNQ60*$C$65,Application!$AO$636-SUM('15 Year Pro Forma'!$E$66:HNP$66))</f>
        <v>0</v>
      </c>
      <c r="HNS66" s="956">
        <f>MIN(HNS60*$C$65,Application!$AO$636-SUM('15 Year Pro Forma'!$E$66:HNR$66))</f>
        <v>0</v>
      </c>
      <c r="HNU66" s="956">
        <f>MIN(HNU60*$C$65,Application!$AO$636-SUM('15 Year Pro Forma'!$E$66:HNT$66))</f>
        <v>0</v>
      </c>
      <c r="HNW66" s="956">
        <f>MIN(HNW60*$C$65,Application!$AO$636-SUM('15 Year Pro Forma'!$E$66:HNV$66))</f>
        <v>0</v>
      </c>
      <c r="HNY66" s="956">
        <f>MIN(HNY60*$C$65,Application!$AO$636-SUM('15 Year Pro Forma'!$E$66:HNX$66))</f>
        <v>0</v>
      </c>
      <c r="HOA66" s="956">
        <f>MIN(HOA60*$C$65,Application!$AO$636-SUM('15 Year Pro Forma'!$E$66:HNZ$66))</f>
        <v>0</v>
      </c>
      <c r="HOC66" s="956">
        <f>MIN(HOC60*$C$65,Application!$AO$636-SUM('15 Year Pro Forma'!$E$66:HOB$66))</f>
        <v>0</v>
      </c>
      <c r="HOE66" s="956">
        <f>MIN(HOE60*$C$65,Application!$AO$636-SUM('15 Year Pro Forma'!$E$66:HOD$66))</f>
        <v>0</v>
      </c>
      <c r="HOG66" s="956">
        <f>MIN(HOG60*$C$65,Application!$AO$636-SUM('15 Year Pro Forma'!$E$66:HOF$66))</f>
        <v>0</v>
      </c>
      <c r="HOI66" s="956">
        <f>MIN(HOI60*$C$65,Application!$AO$636-SUM('15 Year Pro Forma'!$E$66:HOH$66))</f>
        <v>0</v>
      </c>
      <c r="HOK66" s="956">
        <f>MIN(HOK60*$C$65,Application!$AO$636-SUM('15 Year Pro Forma'!$E$66:HOJ$66))</f>
        <v>0</v>
      </c>
      <c r="HOM66" s="956">
        <f>MIN(HOM60*$C$65,Application!$AO$636-SUM('15 Year Pro Forma'!$E$66:HOL$66))</f>
        <v>0</v>
      </c>
      <c r="HOO66" s="956">
        <f>MIN(HOO60*$C$65,Application!$AO$636-SUM('15 Year Pro Forma'!$E$66:HON$66))</f>
        <v>0</v>
      </c>
      <c r="HOQ66" s="956">
        <f>MIN(HOQ60*$C$65,Application!$AO$636-SUM('15 Year Pro Forma'!$E$66:HOP$66))</f>
        <v>0</v>
      </c>
      <c r="HOS66" s="956">
        <f>MIN(HOS60*$C$65,Application!$AO$636-SUM('15 Year Pro Forma'!$E$66:HOR$66))</f>
        <v>0</v>
      </c>
      <c r="HOU66" s="956">
        <f>MIN(HOU60*$C$65,Application!$AO$636-SUM('15 Year Pro Forma'!$E$66:HOT$66))</f>
        <v>0</v>
      </c>
      <c r="HOW66" s="956">
        <f>MIN(HOW60*$C$65,Application!$AO$636-SUM('15 Year Pro Forma'!$E$66:HOV$66))</f>
        <v>0</v>
      </c>
      <c r="HOY66" s="956">
        <f>MIN(HOY60*$C$65,Application!$AO$636-SUM('15 Year Pro Forma'!$E$66:HOX$66))</f>
        <v>0</v>
      </c>
      <c r="HPA66" s="956">
        <f>MIN(HPA60*$C$65,Application!$AO$636-SUM('15 Year Pro Forma'!$E$66:HOZ$66))</f>
        <v>0</v>
      </c>
      <c r="HPC66" s="956">
        <f>MIN(HPC60*$C$65,Application!$AO$636-SUM('15 Year Pro Forma'!$E$66:HPB$66))</f>
        <v>0</v>
      </c>
      <c r="HPE66" s="956">
        <f>MIN(HPE60*$C$65,Application!$AO$636-SUM('15 Year Pro Forma'!$E$66:HPD$66))</f>
        <v>0</v>
      </c>
      <c r="HPG66" s="956">
        <f>MIN(HPG60*$C$65,Application!$AO$636-SUM('15 Year Pro Forma'!$E$66:HPF$66))</f>
        <v>0</v>
      </c>
      <c r="HPI66" s="956">
        <f>MIN(HPI60*$C$65,Application!$AO$636-SUM('15 Year Pro Forma'!$E$66:HPH$66))</f>
        <v>0</v>
      </c>
      <c r="HPK66" s="956">
        <f>MIN(HPK60*$C$65,Application!$AO$636-SUM('15 Year Pro Forma'!$E$66:HPJ$66))</f>
        <v>0</v>
      </c>
      <c r="HPM66" s="956">
        <f>MIN(HPM60*$C$65,Application!$AO$636-SUM('15 Year Pro Forma'!$E$66:HPL$66))</f>
        <v>0</v>
      </c>
      <c r="HPO66" s="956">
        <f>MIN(HPO60*$C$65,Application!$AO$636-SUM('15 Year Pro Forma'!$E$66:HPN$66))</f>
        <v>0</v>
      </c>
      <c r="HPQ66" s="956">
        <f>MIN(HPQ60*$C$65,Application!$AO$636-SUM('15 Year Pro Forma'!$E$66:HPP$66))</f>
        <v>0</v>
      </c>
      <c r="HPS66" s="956">
        <f>MIN(HPS60*$C$65,Application!$AO$636-SUM('15 Year Pro Forma'!$E$66:HPR$66))</f>
        <v>0</v>
      </c>
      <c r="HPU66" s="956">
        <f>MIN(HPU60*$C$65,Application!$AO$636-SUM('15 Year Pro Forma'!$E$66:HPT$66))</f>
        <v>0</v>
      </c>
      <c r="HPW66" s="956">
        <f>MIN(HPW60*$C$65,Application!$AO$636-SUM('15 Year Pro Forma'!$E$66:HPV$66))</f>
        <v>0</v>
      </c>
      <c r="HPY66" s="956">
        <f>MIN(HPY60*$C$65,Application!$AO$636-SUM('15 Year Pro Forma'!$E$66:HPX$66))</f>
        <v>0</v>
      </c>
      <c r="HQA66" s="956">
        <f>MIN(HQA60*$C$65,Application!$AO$636-SUM('15 Year Pro Forma'!$E$66:HPZ$66))</f>
        <v>0</v>
      </c>
      <c r="HQC66" s="956">
        <f>MIN(HQC60*$C$65,Application!$AO$636-SUM('15 Year Pro Forma'!$E$66:HQB$66))</f>
        <v>0</v>
      </c>
      <c r="HQE66" s="956">
        <f>MIN(HQE60*$C$65,Application!$AO$636-SUM('15 Year Pro Forma'!$E$66:HQD$66))</f>
        <v>0</v>
      </c>
      <c r="HQG66" s="956">
        <f>MIN(HQG60*$C$65,Application!$AO$636-SUM('15 Year Pro Forma'!$E$66:HQF$66))</f>
        <v>0</v>
      </c>
      <c r="HQI66" s="956">
        <f>MIN(HQI60*$C$65,Application!$AO$636-SUM('15 Year Pro Forma'!$E$66:HQH$66))</f>
        <v>0</v>
      </c>
      <c r="HQK66" s="956">
        <f>MIN(HQK60*$C$65,Application!$AO$636-SUM('15 Year Pro Forma'!$E$66:HQJ$66))</f>
        <v>0</v>
      </c>
      <c r="HQM66" s="956">
        <f>MIN(HQM60*$C$65,Application!$AO$636-SUM('15 Year Pro Forma'!$E$66:HQL$66))</f>
        <v>0</v>
      </c>
      <c r="HQO66" s="956">
        <f>MIN(HQO60*$C$65,Application!$AO$636-SUM('15 Year Pro Forma'!$E$66:HQN$66))</f>
        <v>0</v>
      </c>
      <c r="HQQ66" s="956">
        <f>MIN(HQQ60*$C$65,Application!$AO$636-SUM('15 Year Pro Forma'!$E$66:HQP$66))</f>
        <v>0</v>
      </c>
      <c r="HQS66" s="956">
        <f>MIN(HQS60*$C$65,Application!$AO$636-SUM('15 Year Pro Forma'!$E$66:HQR$66))</f>
        <v>0</v>
      </c>
      <c r="HQU66" s="956">
        <f>MIN(HQU60*$C$65,Application!$AO$636-SUM('15 Year Pro Forma'!$E$66:HQT$66))</f>
        <v>0</v>
      </c>
      <c r="HQW66" s="956">
        <f>MIN(HQW60*$C$65,Application!$AO$636-SUM('15 Year Pro Forma'!$E$66:HQV$66))</f>
        <v>0</v>
      </c>
      <c r="HQY66" s="956">
        <f>MIN(HQY60*$C$65,Application!$AO$636-SUM('15 Year Pro Forma'!$E$66:HQX$66))</f>
        <v>0</v>
      </c>
      <c r="HRA66" s="956">
        <f>MIN(HRA60*$C$65,Application!$AO$636-SUM('15 Year Pro Forma'!$E$66:HQZ$66))</f>
        <v>0</v>
      </c>
      <c r="HRC66" s="956">
        <f>MIN(HRC60*$C$65,Application!$AO$636-SUM('15 Year Pro Forma'!$E$66:HRB$66))</f>
        <v>0</v>
      </c>
      <c r="HRE66" s="956">
        <f>MIN(HRE60*$C$65,Application!$AO$636-SUM('15 Year Pro Forma'!$E$66:HRD$66))</f>
        <v>0</v>
      </c>
      <c r="HRG66" s="956">
        <f>MIN(HRG60*$C$65,Application!$AO$636-SUM('15 Year Pro Forma'!$E$66:HRF$66))</f>
        <v>0</v>
      </c>
      <c r="HRI66" s="956">
        <f>MIN(HRI60*$C$65,Application!$AO$636-SUM('15 Year Pro Forma'!$E$66:HRH$66))</f>
        <v>0</v>
      </c>
      <c r="HRK66" s="956">
        <f>MIN(HRK60*$C$65,Application!$AO$636-SUM('15 Year Pro Forma'!$E$66:HRJ$66))</f>
        <v>0</v>
      </c>
      <c r="HRM66" s="956">
        <f>MIN(HRM60*$C$65,Application!$AO$636-SUM('15 Year Pro Forma'!$E$66:HRL$66))</f>
        <v>0</v>
      </c>
      <c r="HRO66" s="956">
        <f>MIN(HRO60*$C$65,Application!$AO$636-SUM('15 Year Pro Forma'!$E$66:HRN$66))</f>
        <v>0</v>
      </c>
      <c r="HRQ66" s="956">
        <f>MIN(HRQ60*$C$65,Application!$AO$636-SUM('15 Year Pro Forma'!$E$66:HRP$66))</f>
        <v>0</v>
      </c>
      <c r="HRS66" s="956">
        <f>MIN(HRS60*$C$65,Application!$AO$636-SUM('15 Year Pro Forma'!$E$66:HRR$66))</f>
        <v>0</v>
      </c>
      <c r="HRU66" s="956">
        <f>MIN(HRU60*$C$65,Application!$AO$636-SUM('15 Year Pro Forma'!$E$66:HRT$66))</f>
        <v>0</v>
      </c>
      <c r="HRW66" s="956">
        <f>MIN(HRW60*$C$65,Application!$AO$636-SUM('15 Year Pro Forma'!$E$66:HRV$66))</f>
        <v>0</v>
      </c>
      <c r="HRY66" s="956">
        <f>MIN(HRY60*$C$65,Application!$AO$636-SUM('15 Year Pro Forma'!$E$66:HRX$66))</f>
        <v>0</v>
      </c>
      <c r="HSA66" s="956">
        <f>MIN(HSA60*$C$65,Application!$AO$636-SUM('15 Year Pro Forma'!$E$66:HRZ$66))</f>
        <v>0</v>
      </c>
      <c r="HSC66" s="956">
        <f>MIN(HSC60*$C$65,Application!$AO$636-SUM('15 Year Pro Forma'!$E$66:HSB$66))</f>
        <v>0</v>
      </c>
      <c r="HSE66" s="956">
        <f>MIN(HSE60*$C$65,Application!$AO$636-SUM('15 Year Pro Forma'!$E$66:HSD$66))</f>
        <v>0</v>
      </c>
      <c r="HSG66" s="956">
        <f>MIN(HSG60*$C$65,Application!$AO$636-SUM('15 Year Pro Forma'!$E$66:HSF$66))</f>
        <v>0</v>
      </c>
      <c r="HSI66" s="956">
        <f>MIN(HSI60*$C$65,Application!$AO$636-SUM('15 Year Pro Forma'!$E$66:HSH$66))</f>
        <v>0</v>
      </c>
      <c r="HSK66" s="956">
        <f>MIN(HSK60*$C$65,Application!$AO$636-SUM('15 Year Pro Forma'!$E$66:HSJ$66))</f>
        <v>0</v>
      </c>
      <c r="HSM66" s="956">
        <f>MIN(HSM60*$C$65,Application!$AO$636-SUM('15 Year Pro Forma'!$E$66:HSL$66))</f>
        <v>0</v>
      </c>
      <c r="HSO66" s="956">
        <f>MIN(HSO60*$C$65,Application!$AO$636-SUM('15 Year Pro Forma'!$E$66:HSN$66))</f>
        <v>0</v>
      </c>
      <c r="HSQ66" s="956">
        <f>MIN(HSQ60*$C$65,Application!$AO$636-SUM('15 Year Pro Forma'!$E$66:HSP$66))</f>
        <v>0</v>
      </c>
      <c r="HSS66" s="956">
        <f>MIN(HSS60*$C$65,Application!$AO$636-SUM('15 Year Pro Forma'!$E$66:HSR$66))</f>
        <v>0</v>
      </c>
      <c r="HSU66" s="956">
        <f>MIN(HSU60*$C$65,Application!$AO$636-SUM('15 Year Pro Forma'!$E$66:HST$66))</f>
        <v>0</v>
      </c>
      <c r="HSW66" s="956">
        <f>MIN(HSW60*$C$65,Application!$AO$636-SUM('15 Year Pro Forma'!$E$66:HSV$66))</f>
        <v>0</v>
      </c>
      <c r="HSY66" s="956">
        <f>MIN(HSY60*$C$65,Application!$AO$636-SUM('15 Year Pro Forma'!$E$66:HSX$66))</f>
        <v>0</v>
      </c>
      <c r="HTA66" s="956">
        <f>MIN(HTA60*$C$65,Application!$AO$636-SUM('15 Year Pro Forma'!$E$66:HSZ$66))</f>
        <v>0</v>
      </c>
      <c r="HTC66" s="956">
        <f>MIN(HTC60*$C$65,Application!$AO$636-SUM('15 Year Pro Forma'!$E$66:HTB$66))</f>
        <v>0</v>
      </c>
      <c r="HTE66" s="956">
        <f>MIN(HTE60*$C$65,Application!$AO$636-SUM('15 Year Pro Forma'!$E$66:HTD$66))</f>
        <v>0</v>
      </c>
      <c r="HTG66" s="956">
        <f>MIN(HTG60*$C$65,Application!$AO$636-SUM('15 Year Pro Forma'!$E$66:HTF$66))</f>
        <v>0</v>
      </c>
      <c r="HTI66" s="956">
        <f>MIN(HTI60*$C$65,Application!$AO$636-SUM('15 Year Pro Forma'!$E$66:HTH$66))</f>
        <v>0</v>
      </c>
      <c r="HTK66" s="956">
        <f>MIN(HTK60*$C$65,Application!$AO$636-SUM('15 Year Pro Forma'!$E$66:HTJ$66))</f>
        <v>0</v>
      </c>
      <c r="HTM66" s="956">
        <f>MIN(HTM60*$C$65,Application!$AO$636-SUM('15 Year Pro Forma'!$E$66:HTL$66))</f>
        <v>0</v>
      </c>
      <c r="HTO66" s="956">
        <f>MIN(HTO60*$C$65,Application!$AO$636-SUM('15 Year Pro Forma'!$E$66:HTN$66))</f>
        <v>0</v>
      </c>
      <c r="HTQ66" s="956">
        <f>MIN(HTQ60*$C$65,Application!$AO$636-SUM('15 Year Pro Forma'!$E$66:HTP$66))</f>
        <v>0</v>
      </c>
      <c r="HTS66" s="956">
        <f>MIN(HTS60*$C$65,Application!$AO$636-SUM('15 Year Pro Forma'!$E$66:HTR$66))</f>
        <v>0</v>
      </c>
      <c r="HTU66" s="956">
        <f>MIN(HTU60*$C$65,Application!$AO$636-SUM('15 Year Pro Forma'!$E$66:HTT$66))</f>
        <v>0</v>
      </c>
      <c r="HTW66" s="956">
        <f>MIN(HTW60*$C$65,Application!$AO$636-SUM('15 Year Pro Forma'!$E$66:HTV$66))</f>
        <v>0</v>
      </c>
      <c r="HTY66" s="956">
        <f>MIN(HTY60*$C$65,Application!$AO$636-SUM('15 Year Pro Forma'!$E$66:HTX$66))</f>
        <v>0</v>
      </c>
      <c r="HUA66" s="956">
        <f>MIN(HUA60*$C$65,Application!$AO$636-SUM('15 Year Pro Forma'!$E$66:HTZ$66))</f>
        <v>0</v>
      </c>
      <c r="HUC66" s="956">
        <f>MIN(HUC60*$C$65,Application!$AO$636-SUM('15 Year Pro Forma'!$E$66:HUB$66))</f>
        <v>0</v>
      </c>
      <c r="HUE66" s="956">
        <f>MIN(HUE60*$C$65,Application!$AO$636-SUM('15 Year Pro Forma'!$E$66:HUD$66))</f>
        <v>0</v>
      </c>
      <c r="HUG66" s="956">
        <f>MIN(HUG60*$C$65,Application!$AO$636-SUM('15 Year Pro Forma'!$E$66:HUF$66))</f>
        <v>0</v>
      </c>
      <c r="HUI66" s="956">
        <f>MIN(HUI60*$C$65,Application!$AO$636-SUM('15 Year Pro Forma'!$E$66:HUH$66))</f>
        <v>0</v>
      </c>
      <c r="HUK66" s="956">
        <f>MIN(HUK60*$C$65,Application!$AO$636-SUM('15 Year Pro Forma'!$E$66:HUJ$66))</f>
        <v>0</v>
      </c>
      <c r="HUM66" s="956">
        <f>MIN(HUM60*$C$65,Application!$AO$636-SUM('15 Year Pro Forma'!$E$66:HUL$66))</f>
        <v>0</v>
      </c>
      <c r="HUO66" s="956">
        <f>MIN(HUO60*$C$65,Application!$AO$636-SUM('15 Year Pro Forma'!$E$66:HUN$66))</f>
        <v>0</v>
      </c>
      <c r="HUQ66" s="956">
        <f>MIN(HUQ60*$C$65,Application!$AO$636-SUM('15 Year Pro Forma'!$E$66:HUP$66))</f>
        <v>0</v>
      </c>
      <c r="HUS66" s="956">
        <f>MIN(HUS60*$C$65,Application!$AO$636-SUM('15 Year Pro Forma'!$E$66:HUR$66))</f>
        <v>0</v>
      </c>
      <c r="HUU66" s="956">
        <f>MIN(HUU60*$C$65,Application!$AO$636-SUM('15 Year Pro Forma'!$E$66:HUT$66))</f>
        <v>0</v>
      </c>
      <c r="HUW66" s="956">
        <f>MIN(HUW60*$C$65,Application!$AO$636-SUM('15 Year Pro Forma'!$E$66:HUV$66))</f>
        <v>0</v>
      </c>
      <c r="HUY66" s="956">
        <f>MIN(HUY60*$C$65,Application!$AO$636-SUM('15 Year Pro Forma'!$E$66:HUX$66))</f>
        <v>0</v>
      </c>
      <c r="HVA66" s="956">
        <f>MIN(HVA60*$C$65,Application!$AO$636-SUM('15 Year Pro Forma'!$E$66:HUZ$66))</f>
        <v>0</v>
      </c>
      <c r="HVC66" s="956">
        <f>MIN(HVC60*$C$65,Application!$AO$636-SUM('15 Year Pro Forma'!$E$66:HVB$66))</f>
        <v>0</v>
      </c>
      <c r="HVE66" s="956">
        <f>MIN(HVE60*$C$65,Application!$AO$636-SUM('15 Year Pro Forma'!$E$66:HVD$66))</f>
        <v>0</v>
      </c>
      <c r="HVG66" s="956">
        <f>MIN(HVG60*$C$65,Application!$AO$636-SUM('15 Year Pro Forma'!$E$66:HVF$66))</f>
        <v>0</v>
      </c>
      <c r="HVI66" s="956">
        <f>MIN(HVI60*$C$65,Application!$AO$636-SUM('15 Year Pro Forma'!$E$66:HVH$66))</f>
        <v>0</v>
      </c>
      <c r="HVK66" s="956">
        <f>MIN(HVK60*$C$65,Application!$AO$636-SUM('15 Year Pro Forma'!$E$66:HVJ$66))</f>
        <v>0</v>
      </c>
      <c r="HVM66" s="956">
        <f>MIN(HVM60*$C$65,Application!$AO$636-SUM('15 Year Pro Forma'!$E$66:HVL$66))</f>
        <v>0</v>
      </c>
      <c r="HVO66" s="956">
        <f>MIN(HVO60*$C$65,Application!$AO$636-SUM('15 Year Pro Forma'!$E$66:HVN$66))</f>
        <v>0</v>
      </c>
      <c r="HVQ66" s="956">
        <f>MIN(HVQ60*$C$65,Application!$AO$636-SUM('15 Year Pro Forma'!$E$66:HVP$66))</f>
        <v>0</v>
      </c>
      <c r="HVS66" s="956">
        <f>MIN(HVS60*$C$65,Application!$AO$636-SUM('15 Year Pro Forma'!$E$66:HVR$66))</f>
        <v>0</v>
      </c>
      <c r="HVU66" s="956">
        <f>MIN(HVU60*$C$65,Application!$AO$636-SUM('15 Year Pro Forma'!$E$66:HVT$66))</f>
        <v>0</v>
      </c>
      <c r="HVW66" s="956">
        <f>MIN(HVW60*$C$65,Application!$AO$636-SUM('15 Year Pro Forma'!$E$66:HVV$66))</f>
        <v>0</v>
      </c>
      <c r="HVY66" s="956">
        <f>MIN(HVY60*$C$65,Application!$AO$636-SUM('15 Year Pro Forma'!$E$66:HVX$66))</f>
        <v>0</v>
      </c>
      <c r="HWA66" s="956">
        <f>MIN(HWA60*$C$65,Application!$AO$636-SUM('15 Year Pro Forma'!$E$66:HVZ$66))</f>
        <v>0</v>
      </c>
      <c r="HWC66" s="956">
        <f>MIN(HWC60*$C$65,Application!$AO$636-SUM('15 Year Pro Forma'!$E$66:HWB$66))</f>
        <v>0</v>
      </c>
      <c r="HWE66" s="956">
        <f>MIN(HWE60*$C$65,Application!$AO$636-SUM('15 Year Pro Forma'!$E$66:HWD$66))</f>
        <v>0</v>
      </c>
      <c r="HWG66" s="956">
        <f>MIN(HWG60*$C$65,Application!$AO$636-SUM('15 Year Pro Forma'!$E$66:HWF$66))</f>
        <v>0</v>
      </c>
      <c r="HWI66" s="956">
        <f>MIN(HWI60*$C$65,Application!$AO$636-SUM('15 Year Pro Forma'!$E$66:HWH$66))</f>
        <v>0</v>
      </c>
      <c r="HWK66" s="956">
        <f>MIN(HWK60*$C$65,Application!$AO$636-SUM('15 Year Pro Forma'!$E$66:HWJ$66))</f>
        <v>0</v>
      </c>
      <c r="HWM66" s="956">
        <f>MIN(HWM60*$C$65,Application!$AO$636-SUM('15 Year Pro Forma'!$E$66:HWL$66))</f>
        <v>0</v>
      </c>
      <c r="HWO66" s="956">
        <f>MIN(HWO60*$C$65,Application!$AO$636-SUM('15 Year Pro Forma'!$E$66:HWN$66))</f>
        <v>0</v>
      </c>
      <c r="HWQ66" s="956">
        <f>MIN(HWQ60*$C$65,Application!$AO$636-SUM('15 Year Pro Forma'!$E$66:HWP$66))</f>
        <v>0</v>
      </c>
      <c r="HWS66" s="956">
        <f>MIN(HWS60*$C$65,Application!$AO$636-SUM('15 Year Pro Forma'!$E$66:HWR$66))</f>
        <v>0</v>
      </c>
      <c r="HWU66" s="956">
        <f>MIN(HWU60*$C$65,Application!$AO$636-SUM('15 Year Pro Forma'!$E$66:HWT$66))</f>
        <v>0</v>
      </c>
      <c r="HWW66" s="956">
        <f>MIN(HWW60*$C$65,Application!$AO$636-SUM('15 Year Pro Forma'!$E$66:HWV$66))</f>
        <v>0</v>
      </c>
      <c r="HWY66" s="956">
        <f>MIN(HWY60*$C$65,Application!$AO$636-SUM('15 Year Pro Forma'!$E$66:HWX$66))</f>
        <v>0</v>
      </c>
      <c r="HXA66" s="956">
        <f>MIN(HXA60*$C$65,Application!$AO$636-SUM('15 Year Pro Forma'!$E$66:HWZ$66))</f>
        <v>0</v>
      </c>
      <c r="HXC66" s="956">
        <f>MIN(HXC60*$C$65,Application!$AO$636-SUM('15 Year Pro Forma'!$E$66:HXB$66))</f>
        <v>0</v>
      </c>
      <c r="HXE66" s="956">
        <f>MIN(HXE60*$C$65,Application!$AO$636-SUM('15 Year Pro Forma'!$E$66:HXD$66))</f>
        <v>0</v>
      </c>
      <c r="HXG66" s="956">
        <f>MIN(HXG60*$C$65,Application!$AO$636-SUM('15 Year Pro Forma'!$E$66:HXF$66))</f>
        <v>0</v>
      </c>
      <c r="HXI66" s="956">
        <f>MIN(HXI60*$C$65,Application!$AO$636-SUM('15 Year Pro Forma'!$E$66:HXH$66))</f>
        <v>0</v>
      </c>
      <c r="HXK66" s="956">
        <f>MIN(HXK60*$C$65,Application!$AO$636-SUM('15 Year Pro Forma'!$E$66:HXJ$66))</f>
        <v>0</v>
      </c>
      <c r="HXM66" s="956">
        <f>MIN(HXM60*$C$65,Application!$AO$636-SUM('15 Year Pro Forma'!$E$66:HXL$66))</f>
        <v>0</v>
      </c>
      <c r="HXO66" s="956">
        <f>MIN(HXO60*$C$65,Application!$AO$636-SUM('15 Year Pro Forma'!$E$66:HXN$66))</f>
        <v>0</v>
      </c>
      <c r="HXQ66" s="956">
        <f>MIN(HXQ60*$C$65,Application!$AO$636-SUM('15 Year Pro Forma'!$E$66:HXP$66))</f>
        <v>0</v>
      </c>
      <c r="HXS66" s="956">
        <f>MIN(HXS60*$C$65,Application!$AO$636-SUM('15 Year Pro Forma'!$E$66:HXR$66))</f>
        <v>0</v>
      </c>
      <c r="HXU66" s="956">
        <f>MIN(HXU60*$C$65,Application!$AO$636-SUM('15 Year Pro Forma'!$E$66:HXT$66))</f>
        <v>0</v>
      </c>
      <c r="HXW66" s="956">
        <f>MIN(HXW60*$C$65,Application!$AO$636-SUM('15 Year Pro Forma'!$E$66:HXV$66))</f>
        <v>0</v>
      </c>
      <c r="HXY66" s="956">
        <f>MIN(HXY60*$C$65,Application!$AO$636-SUM('15 Year Pro Forma'!$E$66:HXX$66))</f>
        <v>0</v>
      </c>
      <c r="HYA66" s="956">
        <f>MIN(HYA60*$C$65,Application!$AO$636-SUM('15 Year Pro Forma'!$E$66:HXZ$66))</f>
        <v>0</v>
      </c>
      <c r="HYC66" s="956">
        <f>MIN(HYC60*$C$65,Application!$AO$636-SUM('15 Year Pro Forma'!$E$66:HYB$66))</f>
        <v>0</v>
      </c>
      <c r="HYE66" s="956">
        <f>MIN(HYE60*$C$65,Application!$AO$636-SUM('15 Year Pro Forma'!$E$66:HYD$66))</f>
        <v>0</v>
      </c>
      <c r="HYG66" s="956">
        <f>MIN(HYG60*$C$65,Application!$AO$636-SUM('15 Year Pro Forma'!$E$66:HYF$66))</f>
        <v>0</v>
      </c>
      <c r="HYI66" s="956">
        <f>MIN(HYI60*$C$65,Application!$AO$636-SUM('15 Year Pro Forma'!$E$66:HYH$66))</f>
        <v>0</v>
      </c>
      <c r="HYK66" s="956">
        <f>MIN(HYK60*$C$65,Application!$AO$636-SUM('15 Year Pro Forma'!$E$66:HYJ$66))</f>
        <v>0</v>
      </c>
      <c r="HYM66" s="956">
        <f>MIN(HYM60*$C$65,Application!$AO$636-SUM('15 Year Pro Forma'!$E$66:HYL$66))</f>
        <v>0</v>
      </c>
      <c r="HYO66" s="956">
        <f>MIN(HYO60*$C$65,Application!$AO$636-SUM('15 Year Pro Forma'!$E$66:HYN$66))</f>
        <v>0</v>
      </c>
      <c r="HYQ66" s="956">
        <f>MIN(HYQ60*$C$65,Application!$AO$636-SUM('15 Year Pro Forma'!$E$66:HYP$66))</f>
        <v>0</v>
      </c>
      <c r="HYS66" s="956">
        <f>MIN(HYS60*$C$65,Application!$AO$636-SUM('15 Year Pro Forma'!$E$66:HYR$66))</f>
        <v>0</v>
      </c>
      <c r="HYU66" s="956">
        <f>MIN(HYU60*$C$65,Application!$AO$636-SUM('15 Year Pro Forma'!$E$66:HYT$66))</f>
        <v>0</v>
      </c>
      <c r="HYW66" s="956">
        <f>MIN(HYW60*$C$65,Application!$AO$636-SUM('15 Year Pro Forma'!$E$66:HYV$66))</f>
        <v>0</v>
      </c>
      <c r="HYY66" s="956">
        <f>MIN(HYY60*$C$65,Application!$AO$636-SUM('15 Year Pro Forma'!$E$66:HYX$66))</f>
        <v>0</v>
      </c>
      <c r="HZA66" s="956">
        <f>MIN(HZA60*$C$65,Application!$AO$636-SUM('15 Year Pro Forma'!$E$66:HYZ$66))</f>
        <v>0</v>
      </c>
      <c r="HZC66" s="956">
        <f>MIN(HZC60*$C$65,Application!$AO$636-SUM('15 Year Pro Forma'!$E$66:HZB$66))</f>
        <v>0</v>
      </c>
      <c r="HZE66" s="956">
        <f>MIN(HZE60*$C$65,Application!$AO$636-SUM('15 Year Pro Forma'!$E$66:HZD$66))</f>
        <v>0</v>
      </c>
      <c r="HZG66" s="956">
        <f>MIN(HZG60*$C$65,Application!$AO$636-SUM('15 Year Pro Forma'!$E$66:HZF$66))</f>
        <v>0</v>
      </c>
      <c r="HZI66" s="956">
        <f>MIN(HZI60*$C$65,Application!$AO$636-SUM('15 Year Pro Forma'!$E$66:HZH$66))</f>
        <v>0</v>
      </c>
      <c r="HZK66" s="956">
        <f>MIN(HZK60*$C$65,Application!$AO$636-SUM('15 Year Pro Forma'!$E$66:HZJ$66))</f>
        <v>0</v>
      </c>
      <c r="HZM66" s="956">
        <f>MIN(HZM60*$C$65,Application!$AO$636-SUM('15 Year Pro Forma'!$E$66:HZL$66))</f>
        <v>0</v>
      </c>
      <c r="HZO66" s="956">
        <f>MIN(HZO60*$C$65,Application!$AO$636-SUM('15 Year Pro Forma'!$E$66:HZN$66))</f>
        <v>0</v>
      </c>
      <c r="HZQ66" s="956">
        <f>MIN(HZQ60*$C$65,Application!$AO$636-SUM('15 Year Pro Forma'!$E$66:HZP$66))</f>
        <v>0</v>
      </c>
      <c r="HZS66" s="956">
        <f>MIN(HZS60*$C$65,Application!$AO$636-SUM('15 Year Pro Forma'!$E$66:HZR$66))</f>
        <v>0</v>
      </c>
      <c r="HZU66" s="956">
        <f>MIN(HZU60*$C$65,Application!$AO$636-SUM('15 Year Pro Forma'!$E$66:HZT$66))</f>
        <v>0</v>
      </c>
      <c r="HZW66" s="956">
        <f>MIN(HZW60*$C$65,Application!$AO$636-SUM('15 Year Pro Forma'!$E$66:HZV$66))</f>
        <v>0</v>
      </c>
      <c r="HZY66" s="956">
        <f>MIN(HZY60*$C$65,Application!$AO$636-SUM('15 Year Pro Forma'!$E$66:HZX$66))</f>
        <v>0</v>
      </c>
      <c r="IAA66" s="956">
        <f>MIN(IAA60*$C$65,Application!$AO$636-SUM('15 Year Pro Forma'!$E$66:HZZ$66))</f>
        <v>0</v>
      </c>
      <c r="IAC66" s="956">
        <f>MIN(IAC60*$C$65,Application!$AO$636-SUM('15 Year Pro Forma'!$E$66:IAB$66))</f>
        <v>0</v>
      </c>
      <c r="IAE66" s="956">
        <f>MIN(IAE60*$C$65,Application!$AO$636-SUM('15 Year Pro Forma'!$E$66:IAD$66))</f>
        <v>0</v>
      </c>
      <c r="IAG66" s="956">
        <f>MIN(IAG60*$C$65,Application!$AO$636-SUM('15 Year Pro Forma'!$E$66:IAF$66))</f>
        <v>0</v>
      </c>
      <c r="IAI66" s="956">
        <f>MIN(IAI60*$C$65,Application!$AO$636-SUM('15 Year Pro Forma'!$E$66:IAH$66))</f>
        <v>0</v>
      </c>
      <c r="IAK66" s="956">
        <f>MIN(IAK60*$C$65,Application!$AO$636-SUM('15 Year Pro Forma'!$E$66:IAJ$66))</f>
        <v>0</v>
      </c>
      <c r="IAM66" s="956">
        <f>MIN(IAM60*$C$65,Application!$AO$636-SUM('15 Year Pro Forma'!$E$66:IAL$66))</f>
        <v>0</v>
      </c>
      <c r="IAO66" s="956">
        <f>MIN(IAO60*$C$65,Application!$AO$636-SUM('15 Year Pro Forma'!$E$66:IAN$66))</f>
        <v>0</v>
      </c>
      <c r="IAQ66" s="956">
        <f>MIN(IAQ60*$C$65,Application!$AO$636-SUM('15 Year Pro Forma'!$E$66:IAP$66))</f>
        <v>0</v>
      </c>
      <c r="IAS66" s="956">
        <f>MIN(IAS60*$C$65,Application!$AO$636-SUM('15 Year Pro Forma'!$E$66:IAR$66))</f>
        <v>0</v>
      </c>
      <c r="IAU66" s="956">
        <f>MIN(IAU60*$C$65,Application!$AO$636-SUM('15 Year Pro Forma'!$E$66:IAT$66))</f>
        <v>0</v>
      </c>
      <c r="IAW66" s="956">
        <f>MIN(IAW60*$C$65,Application!$AO$636-SUM('15 Year Pro Forma'!$E$66:IAV$66))</f>
        <v>0</v>
      </c>
      <c r="IAY66" s="956">
        <f>MIN(IAY60*$C$65,Application!$AO$636-SUM('15 Year Pro Forma'!$E$66:IAX$66))</f>
        <v>0</v>
      </c>
      <c r="IBA66" s="956">
        <f>MIN(IBA60*$C$65,Application!$AO$636-SUM('15 Year Pro Forma'!$E$66:IAZ$66))</f>
        <v>0</v>
      </c>
      <c r="IBC66" s="956">
        <f>MIN(IBC60*$C$65,Application!$AO$636-SUM('15 Year Pro Forma'!$E$66:IBB$66))</f>
        <v>0</v>
      </c>
      <c r="IBE66" s="956">
        <f>MIN(IBE60*$C$65,Application!$AO$636-SUM('15 Year Pro Forma'!$E$66:IBD$66))</f>
        <v>0</v>
      </c>
      <c r="IBG66" s="956">
        <f>MIN(IBG60*$C$65,Application!$AO$636-SUM('15 Year Pro Forma'!$E$66:IBF$66))</f>
        <v>0</v>
      </c>
      <c r="IBI66" s="956">
        <f>MIN(IBI60*$C$65,Application!$AO$636-SUM('15 Year Pro Forma'!$E$66:IBH$66))</f>
        <v>0</v>
      </c>
      <c r="IBK66" s="956">
        <f>MIN(IBK60*$C$65,Application!$AO$636-SUM('15 Year Pro Forma'!$E$66:IBJ$66))</f>
        <v>0</v>
      </c>
      <c r="IBM66" s="956">
        <f>MIN(IBM60*$C$65,Application!$AO$636-SUM('15 Year Pro Forma'!$E$66:IBL$66))</f>
        <v>0</v>
      </c>
      <c r="IBO66" s="956">
        <f>MIN(IBO60*$C$65,Application!$AO$636-SUM('15 Year Pro Forma'!$E$66:IBN$66))</f>
        <v>0</v>
      </c>
      <c r="IBQ66" s="956">
        <f>MIN(IBQ60*$C$65,Application!$AO$636-SUM('15 Year Pro Forma'!$E$66:IBP$66))</f>
        <v>0</v>
      </c>
      <c r="IBS66" s="956">
        <f>MIN(IBS60*$C$65,Application!$AO$636-SUM('15 Year Pro Forma'!$E$66:IBR$66))</f>
        <v>0</v>
      </c>
      <c r="IBU66" s="956">
        <f>MIN(IBU60*$C$65,Application!$AO$636-SUM('15 Year Pro Forma'!$E$66:IBT$66))</f>
        <v>0</v>
      </c>
      <c r="IBW66" s="956">
        <f>MIN(IBW60*$C$65,Application!$AO$636-SUM('15 Year Pro Forma'!$E$66:IBV$66))</f>
        <v>0</v>
      </c>
      <c r="IBY66" s="956">
        <f>MIN(IBY60*$C$65,Application!$AO$636-SUM('15 Year Pro Forma'!$E$66:IBX$66))</f>
        <v>0</v>
      </c>
      <c r="ICA66" s="956">
        <f>MIN(ICA60*$C$65,Application!$AO$636-SUM('15 Year Pro Forma'!$E$66:IBZ$66))</f>
        <v>0</v>
      </c>
      <c r="ICC66" s="956">
        <f>MIN(ICC60*$C$65,Application!$AO$636-SUM('15 Year Pro Forma'!$E$66:ICB$66))</f>
        <v>0</v>
      </c>
      <c r="ICE66" s="956">
        <f>MIN(ICE60*$C$65,Application!$AO$636-SUM('15 Year Pro Forma'!$E$66:ICD$66))</f>
        <v>0</v>
      </c>
      <c r="ICG66" s="956">
        <f>MIN(ICG60*$C$65,Application!$AO$636-SUM('15 Year Pro Forma'!$E$66:ICF$66))</f>
        <v>0</v>
      </c>
      <c r="ICI66" s="956">
        <f>MIN(ICI60*$C$65,Application!$AO$636-SUM('15 Year Pro Forma'!$E$66:ICH$66))</f>
        <v>0</v>
      </c>
      <c r="ICK66" s="956">
        <f>MIN(ICK60*$C$65,Application!$AO$636-SUM('15 Year Pro Forma'!$E$66:ICJ$66))</f>
        <v>0</v>
      </c>
      <c r="ICM66" s="956">
        <f>MIN(ICM60*$C$65,Application!$AO$636-SUM('15 Year Pro Forma'!$E$66:ICL$66))</f>
        <v>0</v>
      </c>
      <c r="ICO66" s="956">
        <f>MIN(ICO60*$C$65,Application!$AO$636-SUM('15 Year Pro Forma'!$E$66:ICN$66))</f>
        <v>0</v>
      </c>
      <c r="ICQ66" s="956">
        <f>MIN(ICQ60*$C$65,Application!$AO$636-SUM('15 Year Pro Forma'!$E$66:ICP$66))</f>
        <v>0</v>
      </c>
      <c r="ICS66" s="956">
        <f>MIN(ICS60*$C$65,Application!$AO$636-SUM('15 Year Pro Forma'!$E$66:ICR$66))</f>
        <v>0</v>
      </c>
      <c r="ICU66" s="956">
        <f>MIN(ICU60*$C$65,Application!$AO$636-SUM('15 Year Pro Forma'!$E$66:ICT$66))</f>
        <v>0</v>
      </c>
      <c r="ICW66" s="956">
        <f>MIN(ICW60*$C$65,Application!$AO$636-SUM('15 Year Pro Forma'!$E$66:ICV$66))</f>
        <v>0</v>
      </c>
      <c r="ICY66" s="956">
        <f>MIN(ICY60*$C$65,Application!$AO$636-SUM('15 Year Pro Forma'!$E$66:ICX$66))</f>
        <v>0</v>
      </c>
      <c r="IDA66" s="956">
        <f>MIN(IDA60*$C$65,Application!$AO$636-SUM('15 Year Pro Forma'!$E$66:ICZ$66))</f>
        <v>0</v>
      </c>
      <c r="IDC66" s="956">
        <f>MIN(IDC60*$C$65,Application!$AO$636-SUM('15 Year Pro Forma'!$E$66:IDB$66))</f>
        <v>0</v>
      </c>
      <c r="IDE66" s="956">
        <f>MIN(IDE60*$C$65,Application!$AO$636-SUM('15 Year Pro Forma'!$E$66:IDD$66))</f>
        <v>0</v>
      </c>
      <c r="IDG66" s="956">
        <f>MIN(IDG60*$C$65,Application!$AO$636-SUM('15 Year Pro Forma'!$E$66:IDF$66))</f>
        <v>0</v>
      </c>
      <c r="IDI66" s="956">
        <f>MIN(IDI60*$C$65,Application!$AO$636-SUM('15 Year Pro Forma'!$E$66:IDH$66))</f>
        <v>0</v>
      </c>
      <c r="IDK66" s="956">
        <f>MIN(IDK60*$C$65,Application!$AO$636-SUM('15 Year Pro Forma'!$E$66:IDJ$66))</f>
        <v>0</v>
      </c>
      <c r="IDM66" s="956">
        <f>MIN(IDM60*$C$65,Application!$AO$636-SUM('15 Year Pro Forma'!$E$66:IDL$66))</f>
        <v>0</v>
      </c>
      <c r="IDO66" s="956">
        <f>MIN(IDO60*$C$65,Application!$AO$636-SUM('15 Year Pro Forma'!$E$66:IDN$66))</f>
        <v>0</v>
      </c>
      <c r="IDQ66" s="956">
        <f>MIN(IDQ60*$C$65,Application!$AO$636-SUM('15 Year Pro Forma'!$E$66:IDP$66))</f>
        <v>0</v>
      </c>
      <c r="IDS66" s="956">
        <f>MIN(IDS60*$C$65,Application!$AO$636-SUM('15 Year Pro Forma'!$E$66:IDR$66))</f>
        <v>0</v>
      </c>
      <c r="IDU66" s="956">
        <f>MIN(IDU60*$C$65,Application!$AO$636-SUM('15 Year Pro Forma'!$E$66:IDT$66))</f>
        <v>0</v>
      </c>
      <c r="IDW66" s="956">
        <f>MIN(IDW60*$C$65,Application!$AO$636-SUM('15 Year Pro Forma'!$E$66:IDV$66))</f>
        <v>0</v>
      </c>
      <c r="IDY66" s="956">
        <f>MIN(IDY60*$C$65,Application!$AO$636-SUM('15 Year Pro Forma'!$E$66:IDX$66))</f>
        <v>0</v>
      </c>
      <c r="IEA66" s="956">
        <f>MIN(IEA60*$C$65,Application!$AO$636-SUM('15 Year Pro Forma'!$E$66:IDZ$66))</f>
        <v>0</v>
      </c>
      <c r="IEC66" s="956">
        <f>MIN(IEC60*$C$65,Application!$AO$636-SUM('15 Year Pro Forma'!$E$66:IEB$66))</f>
        <v>0</v>
      </c>
      <c r="IEE66" s="956">
        <f>MIN(IEE60*$C$65,Application!$AO$636-SUM('15 Year Pro Forma'!$E$66:IED$66))</f>
        <v>0</v>
      </c>
      <c r="IEG66" s="956">
        <f>MIN(IEG60*$C$65,Application!$AO$636-SUM('15 Year Pro Forma'!$E$66:IEF$66))</f>
        <v>0</v>
      </c>
      <c r="IEI66" s="956">
        <f>MIN(IEI60*$C$65,Application!$AO$636-SUM('15 Year Pro Forma'!$E$66:IEH$66))</f>
        <v>0</v>
      </c>
      <c r="IEK66" s="956">
        <f>MIN(IEK60*$C$65,Application!$AO$636-SUM('15 Year Pro Forma'!$E$66:IEJ$66))</f>
        <v>0</v>
      </c>
      <c r="IEM66" s="956">
        <f>MIN(IEM60*$C$65,Application!$AO$636-SUM('15 Year Pro Forma'!$E$66:IEL$66))</f>
        <v>0</v>
      </c>
      <c r="IEO66" s="956">
        <f>MIN(IEO60*$C$65,Application!$AO$636-SUM('15 Year Pro Forma'!$E$66:IEN$66))</f>
        <v>0</v>
      </c>
      <c r="IEQ66" s="956">
        <f>MIN(IEQ60*$C$65,Application!$AO$636-SUM('15 Year Pro Forma'!$E$66:IEP$66))</f>
        <v>0</v>
      </c>
      <c r="IES66" s="956">
        <f>MIN(IES60*$C$65,Application!$AO$636-SUM('15 Year Pro Forma'!$E$66:IER$66))</f>
        <v>0</v>
      </c>
      <c r="IEU66" s="956">
        <f>MIN(IEU60*$C$65,Application!$AO$636-SUM('15 Year Pro Forma'!$E$66:IET$66))</f>
        <v>0</v>
      </c>
      <c r="IEW66" s="956">
        <f>MIN(IEW60*$C$65,Application!$AO$636-SUM('15 Year Pro Forma'!$E$66:IEV$66))</f>
        <v>0</v>
      </c>
      <c r="IEY66" s="956">
        <f>MIN(IEY60*$C$65,Application!$AO$636-SUM('15 Year Pro Forma'!$E$66:IEX$66))</f>
        <v>0</v>
      </c>
      <c r="IFA66" s="956">
        <f>MIN(IFA60*$C$65,Application!$AO$636-SUM('15 Year Pro Forma'!$E$66:IEZ$66))</f>
        <v>0</v>
      </c>
      <c r="IFC66" s="956">
        <f>MIN(IFC60*$C$65,Application!$AO$636-SUM('15 Year Pro Forma'!$E$66:IFB$66))</f>
        <v>0</v>
      </c>
      <c r="IFE66" s="956">
        <f>MIN(IFE60*$C$65,Application!$AO$636-SUM('15 Year Pro Forma'!$E$66:IFD$66))</f>
        <v>0</v>
      </c>
      <c r="IFG66" s="956">
        <f>MIN(IFG60*$C$65,Application!$AO$636-SUM('15 Year Pro Forma'!$E$66:IFF$66))</f>
        <v>0</v>
      </c>
      <c r="IFI66" s="956">
        <f>MIN(IFI60*$C$65,Application!$AO$636-SUM('15 Year Pro Forma'!$E$66:IFH$66))</f>
        <v>0</v>
      </c>
      <c r="IFK66" s="956">
        <f>MIN(IFK60*$C$65,Application!$AO$636-SUM('15 Year Pro Forma'!$E$66:IFJ$66))</f>
        <v>0</v>
      </c>
      <c r="IFM66" s="956">
        <f>MIN(IFM60*$C$65,Application!$AO$636-SUM('15 Year Pro Forma'!$E$66:IFL$66))</f>
        <v>0</v>
      </c>
      <c r="IFO66" s="956">
        <f>MIN(IFO60*$C$65,Application!$AO$636-SUM('15 Year Pro Forma'!$E$66:IFN$66))</f>
        <v>0</v>
      </c>
      <c r="IFQ66" s="956">
        <f>MIN(IFQ60*$C$65,Application!$AO$636-SUM('15 Year Pro Forma'!$E$66:IFP$66))</f>
        <v>0</v>
      </c>
      <c r="IFS66" s="956">
        <f>MIN(IFS60*$C$65,Application!$AO$636-SUM('15 Year Pro Forma'!$E$66:IFR$66))</f>
        <v>0</v>
      </c>
      <c r="IFU66" s="956">
        <f>MIN(IFU60*$C$65,Application!$AO$636-SUM('15 Year Pro Forma'!$E$66:IFT$66))</f>
        <v>0</v>
      </c>
      <c r="IFW66" s="956">
        <f>MIN(IFW60*$C$65,Application!$AO$636-SUM('15 Year Pro Forma'!$E$66:IFV$66))</f>
        <v>0</v>
      </c>
      <c r="IFY66" s="956">
        <f>MIN(IFY60*$C$65,Application!$AO$636-SUM('15 Year Pro Forma'!$E$66:IFX$66))</f>
        <v>0</v>
      </c>
      <c r="IGA66" s="956">
        <f>MIN(IGA60*$C$65,Application!$AO$636-SUM('15 Year Pro Forma'!$E$66:IFZ$66))</f>
        <v>0</v>
      </c>
      <c r="IGC66" s="956">
        <f>MIN(IGC60*$C$65,Application!$AO$636-SUM('15 Year Pro Forma'!$E$66:IGB$66))</f>
        <v>0</v>
      </c>
      <c r="IGE66" s="956">
        <f>MIN(IGE60*$C$65,Application!$AO$636-SUM('15 Year Pro Forma'!$E$66:IGD$66))</f>
        <v>0</v>
      </c>
      <c r="IGG66" s="956">
        <f>MIN(IGG60*$C$65,Application!$AO$636-SUM('15 Year Pro Forma'!$E$66:IGF$66))</f>
        <v>0</v>
      </c>
      <c r="IGI66" s="956">
        <f>MIN(IGI60*$C$65,Application!$AO$636-SUM('15 Year Pro Forma'!$E$66:IGH$66))</f>
        <v>0</v>
      </c>
      <c r="IGK66" s="956">
        <f>MIN(IGK60*$C$65,Application!$AO$636-SUM('15 Year Pro Forma'!$E$66:IGJ$66))</f>
        <v>0</v>
      </c>
      <c r="IGM66" s="956">
        <f>MIN(IGM60*$C$65,Application!$AO$636-SUM('15 Year Pro Forma'!$E$66:IGL$66))</f>
        <v>0</v>
      </c>
      <c r="IGO66" s="956">
        <f>MIN(IGO60*$C$65,Application!$AO$636-SUM('15 Year Pro Forma'!$E$66:IGN$66))</f>
        <v>0</v>
      </c>
      <c r="IGQ66" s="956">
        <f>MIN(IGQ60*$C$65,Application!$AO$636-SUM('15 Year Pro Forma'!$E$66:IGP$66))</f>
        <v>0</v>
      </c>
      <c r="IGS66" s="956">
        <f>MIN(IGS60*$C$65,Application!$AO$636-SUM('15 Year Pro Forma'!$E$66:IGR$66))</f>
        <v>0</v>
      </c>
      <c r="IGU66" s="956">
        <f>MIN(IGU60*$C$65,Application!$AO$636-SUM('15 Year Pro Forma'!$E$66:IGT$66))</f>
        <v>0</v>
      </c>
      <c r="IGW66" s="956">
        <f>MIN(IGW60*$C$65,Application!$AO$636-SUM('15 Year Pro Forma'!$E$66:IGV$66))</f>
        <v>0</v>
      </c>
      <c r="IGY66" s="956">
        <f>MIN(IGY60*$C$65,Application!$AO$636-SUM('15 Year Pro Forma'!$E$66:IGX$66))</f>
        <v>0</v>
      </c>
      <c r="IHA66" s="956">
        <f>MIN(IHA60*$C$65,Application!$AO$636-SUM('15 Year Pro Forma'!$E$66:IGZ$66))</f>
        <v>0</v>
      </c>
      <c r="IHC66" s="956">
        <f>MIN(IHC60*$C$65,Application!$AO$636-SUM('15 Year Pro Forma'!$E$66:IHB$66))</f>
        <v>0</v>
      </c>
      <c r="IHE66" s="956">
        <f>MIN(IHE60*$C$65,Application!$AO$636-SUM('15 Year Pro Forma'!$E$66:IHD$66))</f>
        <v>0</v>
      </c>
      <c r="IHG66" s="956">
        <f>MIN(IHG60*$C$65,Application!$AO$636-SUM('15 Year Pro Forma'!$E$66:IHF$66))</f>
        <v>0</v>
      </c>
      <c r="IHI66" s="956">
        <f>MIN(IHI60*$C$65,Application!$AO$636-SUM('15 Year Pro Forma'!$E$66:IHH$66))</f>
        <v>0</v>
      </c>
      <c r="IHK66" s="956">
        <f>MIN(IHK60*$C$65,Application!$AO$636-SUM('15 Year Pro Forma'!$E$66:IHJ$66))</f>
        <v>0</v>
      </c>
      <c r="IHM66" s="956">
        <f>MIN(IHM60*$C$65,Application!$AO$636-SUM('15 Year Pro Forma'!$E$66:IHL$66))</f>
        <v>0</v>
      </c>
      <c r="IHO66" s="956">
        <f>MIN(IHO60*$C$65,Application!$AO$636-SUM('15 Year Pro Forma'!$E$66:IHN$66))</f>
        <v>0</v>
      </c>
      <c r="IHQ66" s="956">
        <f>MIN(IHQ60*$C$65,Application!$AO$636-SUM('15 Year Pro Forma'!$E$66:IHP$66))</f>
        <v>0</v>
      </c>
      <c r="IHS66" s="956">
        <f>MIN(IHS60*$C$65,Application!$AO$636-SUM('15 Year Pro Forma'!$E$66:IHR$66))</f>
        <v>0</v>
      </c>
      <c r="IHU66" s="956">
        <f>MIN(IHU60*$C$65,Application!$AO$636-SUM('15 Year Pro Forma'!$E$66:IHT$66))</f>
        <v>0</v>
      </c>
      <c r="IHW66" s="956">
        <f>MIN(IHW60*$C$65,Application!$AO$636-SUM('15 Year Pro Forma'!$E$66:IHV$66))</f>
        <v>0</v>
      </c>
      <c r="IHY66" s="956">
        <f>MIN(IHY60*$C$65,Application!$AO$636-SUM('15 Year Pro Forma'!$E$66:IHX$66))</f>
        <v>0</v>
      </c>
      <c r="IIA66" s="956">
        <f>MIN(IIA60*$C$65,Application!$AO$636-SUM('15 Year Pro Forma'!$E$66:IHZ$66))</f>
        <v>0</v>
      </c>
      <c r="IIC66" s="956">
        <f>MIN(IIC60*$C$65,Application!$AO$636-SUM('15 Year Pro Forma'!$E$66:IIB$66))</f>
        <v>0</v>
      </c>
      <c r="IIE66" s="956">
        <f>MIN(IIE60*$C$65,Application!$AO$636-SUM('15 Year Pro Forma'!$E$66:IID$66))</f>
        <v>0</v>
      </c>
      <c r="IIG66" s="956">
        <f>MIN(IIG60*$C$65,Application!$AO$636-SUM('15 Year Pro Forma'!$E$66:IIF$66))</f>
        <v>0</v>
      </c>
      <c r="III66" s="956">
        <f>MIN(III60*$C$65,Application!$AO$636-SUM('15 Year Pro Forma'!$E$66:IIH$66))</f>
        <v>0</v>
      </c>
      <c r="IIK66" s="956">
        <f>MIN(IIK60*$C$65,Application!$AO$636-SUM('15 Year Pro Forma'!$E$66:IIJ$66))</f>
        <v>0</v>
      </c>
      <c r="IIM66" s="956">
        <f>MIN(IIM60*$C$65,Application!$AO$636-SUM('15 Year Pro Forma'!$E$66:IIL$66))</f>
        <v>0</v>
      </c>
      <c r="IIO66" s="956">
        <f>MIN(IIO60*$C$65,Application!$AO$636-SUM('15 Year Pro Forma'!$E$66:IIN$66))</f>
        <v>0</v>
      </c>
      <c r="IIQ66" s="956">
        <f>MIN(IIQ60*$C$65,Application!$AO$636-SUM('15 Year Pro Forma'!$E$66:IIP$66))</f>
        <v>0</v>
      </c>
      <c r="IIS66" s="956">
        <f>MIN(IIS60*$C$65,Application!$AO$636-SUM('15 Year Pro Forma'!$E$66:IIR$66))</f>
        <v>0</v>
      </c>
      <c r="IIU66" s="956">
        <f>MIN(IIU60*$C$65,Application!$AO$636-SUM('15 Year Pro Forma'!$E$66:IIT$66))</f>
        <v>0</v>
      </c>
      <c r="IIW66" s="956">
        <f>MIN(IIW60*$C$65,Application!$AO$636-SUM('15 Year Pro Forma'!$E$66:IIV$66))</f>
        <v>0</v>
      </c>
      <c r="IIY66" s="956">
        <f>MIN(IIY60*$C$65,Application!$AO$636-SUM('15 Year Pro Forma'!$E$66:IIX$66))</f>
        <v>0</v>
      </c>
      <c r="IJA66" s="956">
        <f>MIN(IJA60*$C$65,Application!$AO$636-SUM('15 Year Pro Forma'!$E$66:IIZ$66))</f>
        <v>0</v>
      </c>
      <c r="IJC66" s="956">
        <f>MIN(IJC60*$C$65,Application!$AO$636-SUM('15 Year Pro Forma'!$E$66:IJB$66))</f>
        <v>0</v>
      </c>
      <c r="IJE66" s="956">
        <f>MIN(IJE60*$C$65,Application!$AO$636-SUM('15 Year Pro Forma'!$E$66:IJD$66))</f>
        <v>0</v>
      </c>
      <c r="IJG66" s="956">
        <f>MIN(IJG60*$C$65,Application!$AO$636-SUM('15 Year Pro Forma'!$E$66:IJF$66))</f>
        <v>0</v>
      </c>
      <c r="IJI66" s="956">
        <f>MIN(IJI60*$C$65,Application!$AO$636-SUM('15 Year Pro Forma'!$E$66:IJH$66))</f>
        <v>0</v>
      </c>
      <c r="IJK66" s="956">
        <f>MIN(IJK60*$C$65,Application!$AO$636-SUM('15 Year Pro Forma'!$E$66:IJJ$66))</f>
        <v>0</v>
      </c>
      <c r="IJM66" s="956">
        <f>MIN(IJM60*$C$65,Application!$AO$636-SUM('15 Year Pro Forma'!$E$66:IJL$66))</f>
        <v>0</v>
      </c>
      <c r="IJO66" s="956">
        <f>MIN(IJO60*$C$65,Application!$AO$636-SUM('15 Year Pro Forma'!$E$66:IJN$66))</f>
        <v>0</v>
      </c>
      <c r="IJQ66" s="956">
        <f>MIN(IJQ60*$C$65,Application!$AO$636-SUM('15 Year Pro Forma'!$E$66:IJP$66))</f>
        <v>0</v>
      </c>
      <c r="IJS66" s="956">
        <f>MIN(IJS60*$C$65,Application!$AO$636-SUM('15 Year Pro Forma'!$E$66:IJR$66))</f>
        <v>0</v>
      </c>
      <c r="IJU66" s="956">
        <f>MIN(IJU60*$C$65,Application!$AO$636-SUM('15 Year Pro Forma'!$E$66:IJT$66))</f>
        <v>0</v>
      </c>
      <c r="IJW66" s="956">
        <f>MIN(IJW60*$C$65,Application!$AO$636-SUM('15 Year Pro Forma'!$E$66:IJV$66))</f>
        <v>0</v>
      </c>
      <c r="IJY66" s="956">
        <f>MIN(IJY60*$C$65,Application!$AO$636-SUM('15 Year Pro Forma'!$E$66:IJX$66))</f>
        <v>0</v>
      </c>
      <c r="IKA66" s="956">
        <f>MIN(IKA60*$C$65,Application!$AO$636-SUM('15 Year Pro Forma'!$E$66:IJZ$66))</f>
        <v>0</v>
      </c>
      <c r="IKC66" s="956">
        <f>MIN(IKC60*$C$65,Application!$AO$636-SUM('15 Year Pro Forma'!$E$66:IKB$66))</f>
        <v>0</v>
      </c>
      <c r="IKE66" s="956">
        <f>MIN(IKE60*$C$65,Application!$AO$636-SUM('15 Year Pro Forma'!$E$66:IKD$66))</f>
        <v>0</v>
      </c>
      <c r="IKG66" s="956">
        <f>MIN(IKG60*$C$65,Application!$AO$636-SUM('15 Year Pro Forma'!$E$66:IKF$66))</f>
        <v>0</v>
      </c>
      <c r="IKI66" s="956">
        <f>MIN(IKI60*$C$65,Application!$AO$636-SUM('15 Year Pro Forma'!$E$66:IKH$66))</f>
        <v>0</v>
      </c>
      <c r="IKK66" s="956">
        <f>MIN(IKK60*$C$65,Application!$AO$636-SUM('15 Year Pro Forma'!$E$66:IKJ$66))</f>
        <v>0</v>
      </c>
      <c r="IKM66" s="956">
        <f>MIN(IKM60*$C$65,Application!$AO$636-SUM('15 Year Pro Forma'!$E$66:IKL$66))</f>
        <v>0</v>
      </c>
      <c r="IKO66" s="956">
        <f>MIN(IKO60*$C$65,Application!$AO$636-SUM('15 Year Pro Forma'!$E$66:IKN$66))</f>
        <v>0</v>
      </c>
      <c r="IKQ66" s="956">
        <f>MIN(IKQ60*$C$65,Application!$AO$636-SUM('15 Year Pro Forma'!$E$66:IKP$66))</f>
        <v>0</v>
      </c>
      <c r="IKS66" s="956">
        <f>MIN(IKS60*$C$65,Application!$AO$636-SUM('15 Year Pro Forma'!$E$66:IKR$66))</f>
        <v>0</v>
      </c>
      <c r="IKU66" s="956">
        <f>MIN(IKU60*$C$65,Application!$AO$636-SUM('15 Year Pro Forma'!$E$66:IKT$66))</f>
        <v>0</v>
      </c>
      <c r="IKW66" s="956">
        <f>MIN(IKW60*$C$65,Application!$AO$636-SUM('15 Year Pro Forma'!$E$66:IKV$66))</f>
        <v>0</v>
      </c>
      <c r="IKY66" s="956">
        <f>MIN(IKY60*$C$65,Application!$AO$636-SUM('15 Year Pro Forma'!$E$66:IKX$66))</f>
        <v>0</v>
      </c>
      <c r="ILA66" s="956">
        <f>MIN(ILA60*$C$65,Application!$AO$636-SUM('15 Year Pro Forma'!$E$66:IKZ$66))</f>
        <v>0</v>
      </c>
      <c r="ILC66" s="956">
        <f>MIN(ILC60*$C$65,Application!$AO$636-SUM('15 Year Pro Forma'!$E$66:ILB$66))</f>
        <v>0</v>
      </c>
      <c r="ILE66" s="956">
        <f>MIN(ILE60*$C$65,Application!$AO$636-SUM('15 Year Pro Forma'!$E$66:ILD$66))</f>
        <v>0</v>
      </c>
      <c r="ILG66" s="956">
        <f>MIN(ILG60*$C$65,Application!$AO$636-SUM('15 Year Pro Forma'!$E$66:ILF$66))</f>
        <v>0</v>
      </c>
      <c r="ILI66" s="956">
        <f>MIN(ILI60*$C$65,Application!$AO$636-SUM('15 Year Pro Forma'!$E$66:ILH$66))</f>
        <v>0</v>
      </c>
      <c r="ILK66" s="956">
        <f>MIN(ILK60*$C$65,Application!$AO$636-SUM('15 Year Pro Forma'!$E$66:ILJ$66))</f>
        <v>0</v>
      </c>
      <c r="ILM66" s="956">
        <f>MIN(ILM60*$C$65,Application!$AO$636-SUM('15 Year Pro Forma'!$E$66:ILL$66))</f>
        <v>0</v>
      </c>
      <c r="ILO66" s="956">
        <f>MIN(ILO60*$C$65,Application!$AO$636-SUM('15 Year Pro Forma'!$E$66:ILN$66))</f>
        <v>0</v>
      </c>
      <c r="ILQ66" s="956">
        <f>MIN(ILQ60*$C$65,Application!$AO$636-SUM('15 Year Pro Forma'!$E$66:ILP$66))</f>
        <v>0</v>
      </c>
      <c r="ILS66" s="956">
        <f>MIN(ILS60*$C$65,Application!$AO$636-SUM('15 Year Pro Forma'!$E$66:ILR$66))</f>
        <v>0</v>
      </c>
      <c r="ILU66" s="956">
        <f>MIN(ILU60*$C$65,Application!$AO$636-SUM('15 Year Pro Forma'!$E$66:ILT$66))</f>
        <v>0</v>
      </c>
      <c r="ILW66" s="956">
        <f>MIN(ILW60*$C$65,Application!$AO$636-SUM('15 Year Pro Forma'!$E$66:ILV$66))</f>
        <v>0</v>
      </c>
      <c r="ILY66" s="956">
        <f>MIN(ILY60*$C$65,Application!$AO$636-SUM('15 Year Pro Forma'!$E$66:ILX$66))</f>
        <v>0</v>
      </c>
      <c r="IMA66" s="956">
        <f>MIN(IMA60*$C$65,Application!$AO$636-SUM('15 Year Pro Forma'!$E$66:ILZ$66))</f>
        <v>0</v>
      </c>
      <c r="IMC66" s="956">
        <f>MIN(IMC60*$C$65,Application!$AO$636-SUM('15 Year Pro Forma'!$E$66:IMB$66))</f>
        <v>0</v>
      </c>
      <c r="IME66" s="956">
        <f>MIN(IME60*$C$65,Application!$AO$636-SUM('15 Year Pro Forma'!$E$66:IMD$66))</f>
        <v>0</v>
      </c>
      <c r="IMG66" s="956">
        <f>MIN(IMG60*$C$65,Application!$AO$636-SUM('15 Year Pro Forma'!$E$66:IMF$66))</f>
        <v>0</v>
      </c>
      <c r="IMI66" s="956">
        <f>MIN(IMI60*$C$65,Application!$AO$636-SUM('15 Year Pro Forma'!$E$66:IMH$66))</f>
        <v>0</v>
      </c>
      <c r="IMK66" s="956">
        <f>MIN(IMK60*$C$65,Application!$AO$636-SUM('15 Year Pro Forma'!$E$66:IMJ$66))</f>
        <v>0</v>
      </c>
      <c r="IMM66" s="956">
        <f>MIN(IMM60*$C$65,Application!$AO$636-SUM('15 Year Pro Forma'!$E$66:IML$66))</f>
        <v>0</v>
      </c>
      <c r="IMO66" s="956">
        <f>MIN(IMO60*$C$65,Application!$AO$636-SUM('15 Year Pro Forma'!$E$66:IMN$66))</f>
        <v>0</v>
      </c>
      <c r="IMQ66" s="956">
        <f>MIN(IMQ60*$C$65,Application!$AO$636-SUM('15 Year Pro Forma'!$E$66:IMP$66))</f>
        <v>0</v>
      </c>
      <c r="IMS66" s="956">
        <f>MIN(IMS60*$C$65,Application!$AO$636-SUM('15 Year Pro Forma'!$E$66:IMR$66))</f>
        <v>0</v>
      </c>
      <c r="IMU66" s="956">
        <f>MIN(IMU60*$C$65,Application!$AO$636-SUM('15 Year Pro Forma'!$E$66:IMT$66))</f>
        <v>0</v>
      </c>
      <c r="IMW66" s="956">
        <f>MIN(IMW60*$C$65,Application!$AO$636-SUM('15 Year Pro Forma'!$E$66:IMV$66))</f>
        <v>0</v>
      </c>
      <c r="IMY66" s="956">
        <f>MIN(IMY60*$C$65,Application!$AO$636-SUM('15 Year Pro Forma'!$E$66:IMX$66))</f>
        <v>0</v>
      </c>
      <c r="INA66" s="956">
        <f>MIN(INA60*$C$65,Application!$AO$636-SUM('15 Year Pro Forma'!$E$66:IMZ$66))</f>
        <v>0</v>
      </c>
      <c r="INC66" s="956">
        <f>MIN(INC60*$C$65,Application!$AO$636-SUM('15 Year Pro Forma'!$E$66:INB$66))</f>
        <v>0</v>
      </c>
      <c r="INE66" s="956">
        <f>MIN(INE60*$C$65,Application!$AO$636-SUM('15 Year Pro Forma'!$E$66:IND$66))</f>
        <v>0</v>
      </c>
      <c r="ING66" s="956">
        <f>MIN(ING60*$C$65,Application!$AO$636-SUM('15 Year Pro Forma'!$E$66:INF$66))</f>
        <v>0</v>
      </c>
      <c r="INI66" s="956">
        <f>MIN(INI60*$C$65,Application!$AO$636-SUM('15 Year Pro Forma'!$E$66:INH$66))</f>
        <v>0</v>
      </c>
      <c r="INK66" s="956">
        <f>MIN(INK60*$C$65,Application!$AO$636-SUM('15 Year Pro Forma'!$E$66:INJ$66))</f>
        <v>0</v>
      </c>
      <c r="INM66" s="956">
        <f>MIN(INM60*$C$65,Application!$AO$636-SUM('15 Year Pro Forma'!$E$66:INL$66))</f>
        <v>0</v>
      </c>
      <c r="INO66" s="956">
        <f>MIN(INO60*$C$65,Application!$AO$636-SUM('15 Year Pro Forma'!$E$66:INN$66))</f>
        <v>0</v>
      </c>
      <c r="INQ66" s="956">
        <f>MIN(INQ60*$C$65,Application!$AO$636-SUM('15 Year Pro Forma'!$E$66:INP$66))</f>
        <v>0</v>
      </c>
      <c r="INS66" s="956">
        <f>MIN(INS60*$C$65,Application!$AO$636-SUM('15 Year Pro Forma'!$E$66:INR$66))</f>
        <v>0</v>
      </c>
      <c r="INU66" s="956">
        <f>MIN(INU60*$C$65,Application!$AO$636-SUM('15 Year Pro Forma'!$E$66:INT$66))</f>
        <v>0</v>
      </c>
      <c r="INW66" s="956">
        <f>MIN(INW60*$C$65,Application!$AO$636-SUM('15 Year Pro Forma'!$E$66:INV$66))</f>
        <v>0</v>
      </c>
      <c r="INY66" s="956">
        <f>MIN(INY60*$C$65,Application!$AO$636-SUM('15 Year Pro Forma'!$E$66:INX$66))</f>
        <v>0</v>
      </c>
      <c r="IOA66" s="956">
        <f>MIN(IOA60*$C$65,Application!$AO$636-SUM('15 Year Pro Forma'!$E$66:INZ$66))</f>
        <v>0</v>
      </c>
      <c r="IOC66" s="956">
        <f>MIN(IOC60*$C$65,Application!$AO$636-SUM('15 Year Pro Forma'!$E$66:IOB$66))</f>
        <v>0</v>
      </c>
      <c r="IOE66" s="956">
        <f>MIN(IOE60*$C$65,Application!$AO$636-SUM('15 Year Pro Forma'!$E$66:IOD$66))</f>
        <v>0</v>
      </c>
      <c r="IOG66" s="956">
        <f>MIN(IOG60*$C$65,Application!$AO$636-SUM('15 Year Pro Forma'!$E$66:IOF$66))</f>
        <v>0</v>
      </c>
      <c r="IOI66" s="956">
        <f>MIN(IOI60*$C$65,Application!$AO$636-SUM('15 Year Pro Forma'!$E$66:IOH$66))</f>
        <v>0</v>
      </c>
      <c r="IOK66" s="956">
        <f>MIN(IOK60*$C$65,Application!$AO$636-SUM('15 Year Pro Forma'!$E$66:IOJ$66))</f>
        <v>0</v>
      </c>
      <c r="IOM66" s="956">
        <f>MIN(IOM60*$C$65,Application!$AO$636-SUM('15 Year Pro Forma'!$E$66:IOL$66))</f>
        <v>0</v>
      </c>
      <c r="IOO66" s="956">
        <f>MIN(IOO60*$C$65,Application!$AO$636-SUM('15 Year Pro Forma'!$E$66:ION$66))</f>
        <v>0</v>
      </c>
      <c r="IOQ66" s="956">
        <f>MIN(IOQ60*$C$65,Application!$AO$636-SUM('15 Year Pro Forma'!$E$66:IOP$66))</f>
        <v>0</v>
      </c>
      <c r="IOS66" s="956">
        <f>MIN(IOS60*$C$65,Application!$AO$636-SUM('15 Year Pro Forma'!$E$66:IOR$66))</f>
        <v>0</v>
      </c>
      <c r="IOU66" s="956">
        <f>MIN(IOU60*$C$65,Application!$AO$636-SUM('15 Year Pro Forma'!$E$66:IOT$66))</f>
        <v>0</v>
      </c>
      <c r="IOW66" s="956">
        <f>MIN(IOW60*$C$65,Application!$AO$636-SUM('15 Year Pro Forma'!$E$66:IOV$66))</f>
        <v>0</v>
      </c>
      <c r="IOY66" s="956">
        <f>MIN(IOY60*$C$65,Application!$AO$636-SUM('15 Year Pro Forma'!$E$66:IOX$66))</f>
        <v>0</v>
      </c>
      <c r="IPA66" s="956">
        <f>MIN(IPA60*$C$65,Application!$AO$636-SUM('15 Year Pro Forma'!$E$66:IOZ$66))</f>
        <v>0</v>
      </c>
      <c r="IPC66" s="956">
        <f>MIN(IPC60*$C$65,Application!$AO$636-SUM('15 Year Pro Forma'!$E$66:IPB$66))</f>
        <v>0</v>
      </c>
      <c r="IPE66" s="956">
        <f>MIN(IPE60*$C$65,Application!$AO$636-SUM('15 Year Pro Forma'!$E$66:IPD$66))</f>
        <v>0</v>
      </c>
      <c r="IPG66" s="956">
        <f>MIN(IPG60*$C$65,Application!$AO$636-SUM('15 Year Pro Forma'!$E$66:IPF$66))</f>
        <v>0</v>
      </c>
      <c r="IPI66" s="956">
        <f>MIN(IPI60*$C$65,Application!$AO$636-SUM('15 Year Pro Forma'!$E$66:IPH$66))</f>
        <v>0</v>
      </c>
      <c r="IPK66" s="956">
        <f>MIN(IPK60*$C$65,Application!$AO$636-SUM('15 Year Pro Forma'!$E$66:IPJ$66))</f>
        <v>0</v>
      </c>
      <c r="IPM66" s="956">
        <f>MIN(IPM60*$C$65,Application!$AO$636-SUM('15 Year Pro Forma'!$E$66:IPL$66))</f>
        <v>0</v>
      </c>
      <c r="IPO66" s="956">
        <f>MIN(IPO60*$C$65,Application!$AO$636-SUM('15 Year Pro Forma'!$E$66:IPN$66))</f>
        <v>0</v>
      </c>
      <c r="IPQ66" s="956">
        <f>MIN(IPQ60*$C$65,Application!$AO$636-SUM('15 Year Pro Forma'!$E$66:IPP$66))</f>
        <v>0</v>
      </c>
      <c r="IPS66" s="956">
        <f>MIN(IPS60*$C$65,Application!$AO$636-SUM('15 Year Pro Forma'!$E$66:IPR$66))</f>
        <v>0</v>
      </c>
      <c r="IPU66" s="956">
        <f>MIN(IPU60*$C$65,Application!$AO$636-SUM('15 Year Pro Forma'!$E$66:IPT$66))</f>
        <v>0</v>
      </c>
      <c r="IPW66" s="956">
        <f>MIN(IPW60*$C$65,Application!$AO$636-SUM('15 Year Pro Forma'!$E$66:IPV$66))</f>
        <v>0</v>
      </c>
      <c r="IPY66" s="956">
        <f>MIN(IPY60*$C$65,Application!$AO$636-SUM('15 Year Pro Forma'!$E$66:IPX$66))</f>
        <v>0</v>
      </c>
      <c r="IQA66" s="956">
        <f>MIN(IQA60*$C$65,Application!$AO$636-SUM('15 Year Pro Forma'!$E$66:IPZ$66))</f>
        <v>0</v>
      </c>
      <c r="IQC66" s="956">
        <f>MIN(IQC60*$C$65,Application!$AO$636-SUM('15 Year Pro Forma'!$E$66:IQB$66))</f>
        <v>0</v>
      </c>
      <c r="IQE66" s="956">
        <f>MIN(IQE60*$C$65,Application!$AO$636-SUM('15 Year Pro Forma'!$E$66:IQD$66))</f>
        <v>0</v>
      </c>
      <c r="IQG66" s="956">
        <f>MIN(IQG60*$C$65,Application!$AO$636-SUM('15 Year Pro Forma'!$E$66:IQF$66))</f>
        <v>0</v>
      </c>
      <c r="IQI66" s="956">
        <f>MIN(IQI60*$C$65,Application!$AO$636-SUM('15 Year Pro Forma'!$E$66:IQH$66))</f>
        <v>0</v>
      </c>
      <c r="IQK66" s="956">
        <f>MIN(IQK60*$C$65,Application!$AO$636-SUM('15 Year Pro Forma'!$E$66:IQJ$66))</f>
        <v>0</v>
      </c>
      <c r="IQM66" s="956">
        <f>MIN(IQM60*$C$65,Application!$AO$636-SUM('15 Year Pro Forma'!$E$66:IQL$66))</f>
        <v>0</v>
      </c>
      <c r="IQO66" s="956">
        <f>MIN(IQO60*$C$65,Application!$AO$636-SUM('15 Year Pro Forma'!$E$66:IQN$66))</f>
        <v>0</v>
      </c>
      <c r="IQQ66" s="956">
        <f>MIN(IQQ60*$C$65,Application!$AO$636-SUM('15 Year Pro Forma'!$E$66:IQP$66))</f>
        <v>0</v>
      </c>
      <c r="IQS66" s="956">
        <f>MIN(IQS60*$C$65,Application!$AO$636-SUM('15 Year Pro Forma'!$E$66:IQR$66))</f>
        <v>0</v>
      </c>
      <c r="IQU66" s="956">
        <f>MIN(IQU60*$C$65,Application!$AO$636-SUM('15 Year Pro Forma'!$E$66:IQT$66))</f>
        <v>0</v>
      </c>
      <c r="IQW66" s="956">
        <f>MIN(IQW60*$C$65,Application!$AO$636-SUM('15 Year Pro Forma'!$E$66:IQV$66))</f>
        <v>0</v>
      </c>
      <c r="IQY66" s="956">
        <f>MIN(IQY60*$C$65,Application!$AO$636-SUM('15 Year Pro Forma'!$E$66:IQX$66))</f>
        <v>0</v>
      </c>
      <c r="IRA66" s="956">
        <f>MIN(IRA60*$C$65,Application!$AO$636-SUM('15 Year Pro Forma'!$E$66:IQZ$66))</f>
        <v>0</v>
      </c>
      <c r="IRC66" s="956">
        <f>MIN(IRC60*$C$65,Application!$AO$636-SUM('15 Year Pro Forma'!$E$66:IRB$66))</f>
        <v>0</v>
      </c>
      <c r="IRE66" s="956">
        <f>MIN(IRE60*$C$65,Application!$AO$636-SUM('15 Year Pro Forma'!$E$66:IRD$66))</f>
        <v>0</v>
      </c>
      <c r="IRG66" s="956">
        <f>MIN(IRG60*$C$65,Application!$AO$636-SUM('15 Year Pro Forma'!$E$66:IRF$66))</f>
        <v>0</v>
      </c>
      <c r="IRI66" s="956">
        <f>MIN(IRI60*$C$65,Application!$AO$636-SUM('15 Year Pro Forma'!$E$66:IRH$66))</f>
        <v>0</v>
      </c>
      <c r="IRK66" s="956">
        <f>MIN(IRK60*$C$65,Application!$AO$636-SUM('15 Year Pro Forma'!$E$66:IRJ$66))</f>
        <v>0</v>
      </c>
      <c r="IRM66" s="956">
        <f>MIN(IRM60*$C$65,Application!$AO$636-SUM('15 Year Pro Forma'!$E$66:IRL$66))</f>
        <v>0</v>
      </c>
      <c r="IRO66" s="956">
        <f>MIN(IRO60*$C$65,Application!$AO$636-SUM('15 Year Pro Forma'!$E$66:IRN$66))</f>
        <v>0</v>
      </c>
      <c r="IRQ66" s="956">
        <f>MIN(IRQ60*$C$65,Application!$AO$636-SUM('15 Year Pro Forma'!$E$66:IRP$66))</f>
        <v>0</v>
      </c>
      <c r="IRS66" s="956">
        <f>MIN(IRS60*$C$65,Application!$AO$636-SUM('15 Year Pro Forma'!$E$66:IRR$66))</f>
        <v>0</v>
      </c>
      <c r="IRU66" s="956">
        <f>MIN(IRU60*$C$65,Application!$AO$636-SUM('15 Year Pro Forma'!$E$66:IRT$66))</f>
        <v>0</v>
      </c>
      <c r="IRW66" s="956">
        <f>MIN(IRW60*$C$65,Application!$AO$636-SUM('15 Year Pro Forma'!$E$66:IRV$66))</f>
        <v>0</v>
      </c>
      <c r="IRY66" s="956">
        <f>MIN(IRY60*$C$65,Application!$AO$636-SUM('15 Year Pro Forma'!$E$66:IRX$66))</f>
        <v>0</v>
      </c>
      <c r="ISA66" s="956">
        <f>MIN(ISA60*$C$65,Application!$AO$636-SUM('15 Year Pro Forma'!$E$66:IRZ$66))</f>
        <v>0</v>
      </c>
      <c r="ISC66" s="956">
        <f>MIN(ISC60*$C$65,Application!$AO$636-SUM('15 Year Pro Forma'!$E$66:ISB$66))</f>
        <v>0</v>
      </c>
      <c r="ISE66" s="956">
        <f>MIN(ISE60*$C$65,Application!$AO$636-SUM('15 Year Pro Forma'!$E$66:ISD$66))</f>
        <v>0</v>
      </c>
      <c r="ISG66" s="956">
        <f>MIN(ISG60*$C$65,Application!$AO$636-SUM('15 Year Pro Forma'!$E$66:ISF$66))</f>
        <v>0</v>
      </c>
      <c r="ISI66" s="956">
        <f>MIN(ISI60*$C$65,Application!$AO$636-SUM('15 Year Pro Forma'!$E$66:ISH$66))</f>
        <v>0</v>
      </c>
      <c r="ISK66" s="956">
        <f>MIN(ISK60*$C$65,Application!$AO$636-SUM('15 Year Pro Forma'!$E$66:ISJ$66))</f>
        <v>0</v>
      </c>
      <c r="ISM66" s="956">
        <f>MIN(ISM60*$C$65,Application!$AO$636-SUM('15 Year Pro Forma'!$E$66:ISL$66))</f>
        <v>0</v>
      </c>
      <c r="ISO66" s="956">
        <f>MIN(ISO60*$C$65,Application!$AO$636-SUM('15 Year Pro Forma'!$E$66:ISN$66))</f>
        <v>0</v>
      </c>
      <c r="ISQ66" s="956">
        <f>MIN(ISQ60*$C$65,Application!$AO$636-SUM('15 Year Pro Forma'!$E$66:ISP$66))</f>
        <v>0</v>
      </c>
      <c r="ISS66" s="956">
        <f>MIN(ISS60*$C$65,Application!$AO$636-SUM('15 Year Pro Forma'!$E$66:ISR$66))</f>
        <v>0</v>
      </c>
      <c r="ISU66" s="956">
        <f>MIN(ISU60*$C$65,Application!$AO$636-SUM('15 Year Pro Forma'!$E$66:IST$66))</f>
        <v>0</v>
      </c>
      <c r="ISW66" s="956">
        <f>MIN(ISW60*$C$65,Application!$AO$636-SUM('15 Year Pro Forma'!$E$66:ISV$66))</f>
        <v>0</v>
      </c>
      <c r="ISY66" s="956">
        <f>MIN(ISY60*$C$65,Application!$AO$636-SUM('15 Year Pro Forma'!$E$66:ISX$66))</f>
        <v>0</v>
      </c>
      <c r="ITA66" s="956">
        <f>MIN(ITA60*$C$65,Application!$AO$636-SUM('15 Year Pro Forma'!$E$66:ISZ$66))</f>
        <v>0</v>
      </c>
      <c r="ITC66" s="956">
        <f>MIN(ITC60*$C$65,Application!$AO$636-SUM('15 Year Pro Forma'!$E$66:ITB$66))</f>
        <v>0</v>
      </c>
      <c r="ITE66" s="956">
        <f>MIN(ITE60*$C$65,Application!$AO$636-SUM('15 Year Pro Forma'!$E$66:ITD$66))</f>
        <v>0</v>
      </c>
      <c r="ITG66" s="956">
        <f>MIN(ITG60*$C$65,Application!$AO$636-SUM('15 Year Pro Forma'!$E$66:ITF$66))</f>
        <v>0</v>
      </c>
      <c r="ITI66" s="956">
        <f>MIN(ITI60*$C$65,Application!$AO$636-SUM('15 Year Pro Forma'!$E$66:ITH$66))</f>
        <v>0</v>
      </c>
      <c r="ITK66" s="956">
        <f>MIN(ITK60*$C$65,Application!$AO$636-SUM('15 Year Pro Forma'!$E$66:ITJ$66))</f>
        <v>0</v>
      </c>
      <c r="ITM66" s="956">
        <f>MIN(ITM60*$C$65,Application!$AO$636-SUM('15 Year Pro Forma'!$E$66:ITL$66))</f>
        <v>0</v>
      </c>
      <c r="ITO66" s="956">
        <f>MIN(ITO60*$C$65,Application!$AO$636-SUM('15 Year Pro Forma'!$E$66:ITN$66))</f>
        <v>0</v>
      </c>
      <c r="ITQ66" s="956">
        <f>MIN(ITQ60*$C$65,Application!$AO$636-SUM('15 Year Pro Forma'!$E$66:ITP$66))</f>
        <v>0</v>
      </c>
      <c r="ITS66" s="956">
        <f>MIN(ITS60*$C$65,Application!$AO$636-SUM('15 Year Pro Forma'!$E$66:ITR$66))</f>
        <v>0</v>
      </c>
      <c r="ITU66" s="956">
        <f>MIN(ITU60*$C$65,Application!$AO$636-SUM('15 Year Pro Forma'!$E$66:ITT$66))</f>
        <v>0</v>
      </c>
      <c r="ITW66" s="956">
        <f>MIN(ITW60*$C$65,Application!$AO$636-SUM('15 Year Pro Forma'!$E$66:ITV$66))</f>
        <v>0</v>
      </c>
      <c r="ITY66" s="956">
        <f>MIN(ITY60*$C$65,Application!$AO$636-SUM('15 Year Pro Forma'!$E$66:ITX$66))</f>
        <v>0</v>
      </c>
      <c r="IUA66" s="956">
        <f>MIN(IUA60*$C$65,Application!$AO$636-SUM('15 Year Pro Forma'!$E$66:ITZ$66))</f>
        <v>0</v>
      </c>
      <c r="IUC66" s="956">
        <f>MIN(IUC60*$C$65,Application!$AO$636-SUM('15 Year Pro Forma'!$E$66:IUB$66))</f>
        <v>0</v>
      </c>
      <c r="IUE66" s="956">
        <f>MIN(IUE60*$C$65,Application!$AO$636-SUM('15 Year Pro Forma'!$E$66:IUD$66))</f>
        <v>0</v>
      </c>
      <c r="IUG66" s="956">
        <f>MIN(IUG60*$C$65,Application!$AO$636-SUM('15 Year Pro Forma'!$E$66:IUF$66))</f>
        <v>0</v>
      </c>
      <c r="IUI66" s="956">
        <f>MIN(IUI60*$C$65,Application!$AO$636-SUM('15 Year Pro Forma'!$E$66:IUH$66))</f>
        <v>0</v>
      </c>
      <c r="IUK66" s="956">
        <f>MIN(IUK60*$C$65,Application!$AO$636-SUM('15 Year Pro Forma'!$E$66:IUJ$66))</f>
        <v>0</v>
      </c>
      <c r="IUM66" s="956">
        <f>MIN(IUM60*$C$65,Application!$AO$636-SUM('15 Year Pro Forma'!$E$66:IUL$66))</f>
        <v>0</v>
      </c>
      <c r="IUO66" s="956">
        <f>MIN(IUO60*$C$65,Application!$AO$636-SUM('15 Year Pro Forma'!$E$66:IUN$66))</f>
        <v>0</v>
      </c>
      <c r="IUQ66" s="956">
        <f>MIN(IUQ60*$C$65,Application!$AO$636-SUM('15 Year Pro Forma'!$E$66:IUP$66))</f>
        <v>0</v>
      </c>
      <c r="IUS66" s="956">
        <f>MIN(IUS60*$C$65,Application!$AO$636-SUM('15 Year Pro Forma'!$E$66:IUR$66))</f>
        <v>0</v>
      </c>
      <c r="IUU66" s="956">
        <f>MIN(IUU60*$C$65,Application!$AO$636-SUM('15 Year Pro Forma'!$E$66:IUT$66))</f>
        <v>0</v>
      </c>
      <c r="IUW66" s="956">
        <f>MIN(IUW60*$C$65,Application!$AO$636-SUM('15 Year Pro Forma'!$E$66:IUV$66))</f>
        <v>0</v>
      </c>
      <c r="IUY66" s="956">
        <f>MIN(IUY60*$C$65,Application!$AO$636-SUM('15 Year Pro Forma'!$E$66:IUX$66))</f>
        <v>0</v>
      </c>
      <c r="IVA66" s="956">
        <f>MIN(IVA60*$C$65,Application!$AO$636-SUM('15 Year Pro Forma'!$E$66:IUZ$66))</f>
        <v>0</v>
      </c>
      <c r="IVC66" s="956">
        <f>MIN(IVC60*$C$65,Application!$AO$636-SUM('15 Year Pro Forma'!$E$66:IVB$66))</f>
        <v>0</v>
      </c>
      <c r="IVE66" s="956">
        <f>MIN(IVE60*$C$65,Application!$AO$636-SUM('15 Year Pro Forma'!$E$66:IVD$66))</f>
        <v>0</v>
      </c>
      <c r="IVG66" s="956">
        <f>MIN(IVG60*$C$65,Application!$AO$636-SUM('15 Year Pro Forma'!$E$66:IVF$66))</f>
        <v>0</v>
      </c>
      <c r="IVI66" s="956">
        <f>MIN(IVI60*$C$65,Application!$AO$636-SUM('15 Year Pro Forma'!$E$66:IVH$66))</f>
        <v>0</v>
      </c>
      <c r="IVK66" s="956">
        <f>MIN(IVK60*$C$65,Application!$AO$636-SUM('15 Year Pro Forma'!$E$66:IVJ$66))</f>
        <v>0</v>
      </c>
      <c r="IVM66" s="956">
        <f>MIN(IVM60*$C$65,Application!$AO$636-SUM('15 Year Pro Forma'!$E$66:IVL$66))</f>
        <v>0</v>
      </c>
      <c r="IVO66" s="956">
        <f>MIN(IVO60*$C$65,Application!$AO$636-SUM('15 Year Pro Forma'!$E$66:IVN$66))</f>
        <v>0</v>
      </c>
      <c r="IVQ66" s="956">
        <f>MIN(IVQ60*$C$65,Application!$AO$636-SUM('15 Year Pro Forma'!$E$66:IVP$66))</f>
        <v>0</v>
      </c>
      <c r="IVS66" s="956">
        <f>MIN(IVS60*$C$65,Application!$AO$636-SUM('15 Year Pro Forma'!$E$66:IVR$66))</f>
        <v>0</v>
      </c>
      <c r="IVU66" s="956">
        <f>MIN(IVU60*$C$65,Application!$AO$636-SUM('15 Year Pro Forma'!$E$66:IVT$66))</f>
        <v>0</v>
      </c>
      <c r="IVW66" s="956">
        <f>MIN(IVW60*$C$65,Application!$AO$636-SUM('15 Year Pro Forma'!$E$66:IVV$66))</f>
        <v>0</v>
      </c>
      <c r="IVY66" s="956">
        <f>MIN(IVY60*$C$65,Application!$AO$636-SUM('15 Year Pro Forma'!$E$66:IVX$66))</f>
        <v>0</v>
      </c>
      <c r="IWA66" s="956">
        <f>MIN(IWA60*$C$65,Application!$AO$636-SUM('15 Year Pro Forma'!$E$66:IVZ$66))</f>
        <v>0</v>
      </c>
      <c r="IWC66" s="956">
        <f>MIN(IWC60*$C$65,Application!$AO$636-SUM('15 Year Pro Forma'!$E$66:IWB$66))</f>
        <v>0</v>
      </c>
      <c r="IWE66" s="956">
        <f>MIN(IWE60*$C$65,Application!$AO$636-SUM('15 Year Pro Forma'!$E$66:IWD$66))</f>
        <v>0</v>
      </c>
      <c r="IWG66" s="956">
        <f>MIN(IWG60*$C$65,Application!$AO$636-SUM('15 Year Pro Forma'!$E$66:IWF$66))</f>
        <v>0</v>
      </c>
      <c r="IWI66" s="956">
        <f>MIN(IWI60*$C$65,Application!$AO$636-SUM('15 Year Pro Forma'!$E$66:IWH$66))</f>
        <v>0</v>
      </c>
      <c r="IWK66" s="956">
        <f>MIN(IWK60*$C$65,Application!$AO$636-SUM('15 Year Pro Forma'!$E$66:IWJ$66))</f>
        <v>0</v>
      </c>
      <c r="IWM66" s="956">
        <f>MIN(IWM60*$C$65,Application!$AO$636-SUM('15 Year Pro Forma'!$E$66:IWL$66))</f>
        <v>0</v>
      </c>
      <c r="IWO66" s="956">
        <f>MIN(IWO60*$C$65,Application!$AO$636-SUM('15 Year Pro Forma'!$E$66:IWN$66))</f>
        <v>0</v>
      </c>
      <c r="IWQ66" s="956">
        <f>MIN(IWQ60*$C$65,Application!$AO$636-SUM('15 Year Pro Forma'!$E$66:IWP$66))</f>
        <v>0</v>
      </c>
      <c r="IWS66" s="956">
        <f>MIN(IWS60*$C$65,Application!$AO$636-SUM('15 Year Pro Forma'!$E$66:IWR$66))</f>
        <v>0</v>
      </c>
      <c r="IWU66" s="956">
        <f>MIN(IWU60*$C$65,Application!$AO$636-SUM('15 Year Pro Forma'!$E$66:IWT$66))</f>
        <v>0</v>
      </c>
      <c r="IWW66" s="956">
        <f>MIN(IWW60*$C$65,Application!$AO$636-SUM('15 Year Pro Forma'!$E$66:IWV$66))</f>
        <v>0</v>
      </c>
      <c r="IWY66" s="956">
        <f>MIN(IWY60*$C$65,Application!$AO$636-SUM('15 Year Pro Forma'!$E$66:IWX$66))</f>
        <v>0</v>
      </c>
      <c r="IXA66" s="956">
        <f>MIN(IXA60*$C$65,Application!$AO$636-SUM('15 Year Pro Forma'!$E$66:IWZ$66))</f>
        <v>0</v>
      </c>
      <c r="IXC66" s="956">
        <f>MIN(IXC60*$C$65,Application!$AO$636-SUM('15 Year Pro Forma'!$E$66:IXB$66))</f>
        <v>0</v>
      </c>
      <c r="IXE66" s="956">
        <f>MIN(IXE60*$C$65,Application!$AO$636-SUM('15 Year Pro Forma'!$E$66:IXD$66))</f>
        <v>0</v>
      </c>
      <c r="IXG66" s="956">
        <f>MIN(IXG60*$C$65,Application!$AO$636-SUM('15 Year Pro Forma'!$E$66:IXF$66))</f>
        <v>0</v>
      </c>
      <c r="IXI66" s="956">
        <f>MIN(IXI60*$C$65,Application!$AO$636-SUM('15 Year Pro Forma'!$E$66:IXH$66))</f>
        <v>0</v>
      </c>
      <c r="IXK66" s="956">
        <f>MIN(IXK60*$C$65,Application!$AO$636-SUM('15 Year Pro Forma'!$E$66:IXJ$66))</f>
        <v>0</v>
      </c>
      <c r="IXM66" s="956">
        <f>MIN(IXM60*$C$65,Application!$AO$636-SUM('15 Year Pro Forma'!$E$66:IXL$66))</f>
        <v>0</v>
      </c>
      <c r="IXO66" s="956">
        <f>MIN(IXO60*$C$65,Application!$AO$636-SUM('15 Year Pro Forma'!$E$66:IXN$66))</f>
        <v>0</v>
      </c>
      <c r="IXQ66" s="956">
        <f>MIN(IXQ60*$C$65,Application!$AO$636-SUM('15 Year Pro Forma'!$E$66:IXP$66))</f>
        <v>0</v>
      </c>
      <c r="IXS66" s="956">
        <f>MIN(IXS60*$C$65,Application!$AO$636-SUM('15 Year Pro Forma'!$E$66:IXR$66))</f>
        <v>0</v>
      </c>
      <c r="IXU66" s="956">
        <f>MIN(IXU60*$C$65,Application!$AO$636-SUM('15 Year Pro Forma'!$E$66:IXT$66))</f>
        <v>0</v>
      </c>
      <c r="IXW66" s="956">
        <f>MIN(IXW60*$C$65,Application!$AO$636-SUM('15 Year Pro Forma'!$E$66:IXV$66))</f>
        <v>0</v>
      </c>
      <c r="IXY66" s="956">
        <f>MIN(IXY60*$C$65,Application!$AO$636-SUM('15 Year Pro Forma'!$E$66:IXX$66))</f>
        <v>0</v>
      </c>
      <c r="IYA66" s="956">
        <f>MIN(IYA60*$C$65,Application!$AO$636-SUM('15 Year Pro Forma'!$E$66:IXZ$66))</f>
        <v>0</v>
      </c>
      <c r="IYC66" s="956">
        <f>MIN(IYC60*$C$65,Application!$AO$636-SUM('15 Year Pro Forma'!$E$66:IYB$66))</f>
        <v>0</v>
      </c>
      <c r="IYE66" s="956">
        <f>MIN(IYE60*$C$65,Application!$AO$636-SUM('15 Year Pro Forma'!$E$66:IYD$66))</f>
        <v>0</v>
      </c>
      <c r="IYG66" s="956">
        <f>MIN(IYG60*$C$65,Application!$AO$636-SUM('15 Year Pro Forma'!$E$66:IYF$66))</f>
        <v>0</v>
      </c>
      <c r="IYI66" s="956">
        <f>MIN(IYI60*$C$65,Application!$AO$636-SUM('15 Year Pro Forma'!$E$66:IYH$66))</f>
        <v>0</v>
      </c>
      <c r="IYK66" s="956">
        <f>MIN(IYK60*$C$65,Application!$AO$636-SUM('15 Year Pro Forma'!$E$66:IYJ$66))</f>
        <v>0</v>
      </c>
      <c r="IYM66" s="956">
        <f>MIN(IYM60*$C$65,Application!$AO$636-SUM('15 Year Pro Forma'!$E$66:IYL$66))</f>
        <v>0</v>
      </c>
      <c r="IYO66" s="956">
        <f>MIN(IYO60*$C$65,Application!$AO$636-SUM('15 Year Pro Forma'!$E$66:IYN$66))</f>
        <v>0</v>
      </c>
      <c r="IYQ66" s="956">
        <f>MIN(IYQ60*$C$65,Application!$AO$636-SUM('15 Year Pro Forma'!$E$66:IYP$66))</f>
        <v>0</v>
      </c>
      <c r="IYS66" s="956">
        <f>MIN(IYS60*$C$65,Application!$AO$636-SUM('15 Year Pro Forma'!$E$66:IYR$66))</f>
        <v>0</v>
      </c>
      <c r="IYU66" s="956">
        <f>MIN(IYU60*$C$65,Application!$AO$636-SUM('15 Year Pro Forma'!$E$66:IYT$66))</f>
        <v>0</v>
      </c>
      <c r="IYW66" s="956">
        <f>MIN(IYW60*$C$65,Application!$AO$636-SUM('15 Year Pro Forma'!$E$66:IYV$66))</f>
        <v>0</v>
      </c>
      <c r="IYY66" s="956">
        <f>MIN(IYY60*$C$65,Application!$AO$636-SUM('15 Year Pro Forma'!$E$66:IYX$66))</f>
        <v>0</v>
      </c>
      <c r="IZA66" s="956">
        <f>MIN(IZA60*$C$65,Application!$AO$636-SUM('15 Year Pro Forma'!$E$66:IYZ$66))</f>
        <v>0</v>
      </c>
      <c r="IZC66" s="956">
        <f>MIN(IZC60*$C$65,Application!$AO$636-SUM('15 Year Pro Forma'!$E$66:IZB$66))</f>
        <v>0</v>
      </c>
      <c r="IZE66" s="956">
        <f>MIN(IZE60*$C$65,Application!$AO$636-SUM('15 Year Pro Forma'!$E$66:IZD$66))</f>
        <v>0</v>
      </c>
      <c r="IZG66" s="956">
        <f>MIN(IZG60*$C$65,Application!$AO$636-SUM('15 Year Pro Forma'!$E$66:IZF$66))</f>
        <v>0</v>
      </c>
      <c r="IZI66" s="956">
        <f>MIN(IZI60*$C$65,Application!$AO$636-SUM('15 Year Pro Forma'!$E$66:IZH$66))</f>
        <v>0</v>
      </c>
      <c r="IZK66" s="956">
        <f>MIN(IZK60*$C$65,Application!$AO$636-SUM('15 Year Pro Forma'!$E$66:IZJ$66))</f>
        <v>0</v>
      </c>
      <c r="IZM66" s="956">
        <f>MIN(IZM60*$C$65,Application!$AO$636-SUM('15 Year Pro Forma'!$E$66:IZL$66))</f>
        <v>0</v>
      </c>
      <c r="IZO66" s="956">
        <f>MIN(IZO60*$C$65,Application!$AO$636-SUM('15 Year Pro Forma'!$E$66:IZN$66))</f>
        <v>0</v>
      </c>
      <c r="IZQ66" s="956">
        <f>MIN(IZQ60*$C$65,Application!$AO$636-SUM('15 Year Pro Forma'!$E$66:IZP$66))</f>
        <v>0</v>
      </c>
      <c r="IZS66" s="956">
        <f>MIN(IZS60*$C$65,Application!$AO$636-SUM('15 Year Pro Forma'!$E$66:IZR$66))</f>
        <v>0</v>
      </c>
      <c r="IZU66" s="956">
        <f>MIN(IZU60*$C$65,Application!$AO$636-SUM('15 Year Pro Forma'!$E$66:IZT$66))</f>
        <v>0</v>
      </c>
      <c r="IZW66" s="956">
        <f>MIN(IZW60*$C$65,Application!$AO$636-SUM('15 Year Pro Forma'!$E$66:IZV$66))</f>
        <v>0</v>
      </c>
      <c r="IZY66" s="956">
        <f>MIN(IZY60*$C$65,Application!$AO$636-SUM('15 Year Pro Forma'!$E$66:IZX$66))</f>
        <v>0</v>
      </c>
      <c r="JAA66" s="956">
        <f>MIN(JAA60*$C$65,Application!$AO$636-SUM('15 Year Pro Forma'!$E$66:IZZ$66))</f>
        <v>0</v>
      </c>
      <c r="JAC66" s="956">
        <f>MIN(JAC60*$C$65,Application!$AO$636-SUM('15 Year Pro Forma'!$E$66:JAB$66))</f>
        <v>0</v>
      </c>
      <c r="JAE66" s="956">
        <f>MIN(JAE60*$C$65,Application!$AO$636-SUM('15 Year Pro Forma'!$E$66:JAD$66))</f>
        <v>0</v>
      </c>
      <c r="JAG66" s="956">
        <f>MIN(JAG60*$C$65,Application!$AO$636-SUM('15 Year Pro Forma'!$E$66:JAF$66))</f>
        <v>0</v>
      </c>
      <c r="JAI66" s="956">
        <f>MIN(JAI60*$C$65,Application!$AO$636-SUM('15 Year Pro Forma'!$E$66:JAH$66))</f>
        <v>0</v>
      </c>
      <c r="JAK66" s="956">
        <f>MIN(JAK60*$C$65,Application!$AO$636-SUM('15 Year Pro Forma'!$E$66:JAJ$66))</f>
        <v>0</v>
      </c>
      <c r="JAM66" s="956">
        <f>MIN(JAM60*$C$65,Application!$AO$636-SUM('15 Year Pro Forma'!$E$66:JAL$66))</f>
        <v>0</v>
      </c>
      <c r="JAO66" s="956">
        <f>MIN(JAO60*$C$65,Application!$AO$636-SUM('15 Year Pro Forma'!$E$66:JAN$66))</f>
        <v>0</v>
      </c>
      <c r="JAQ66" s="956">
        <f>MIN(JAQ60*$C$65,Application!$AO$636-SUM('15 Year Pro Forma'!$E$66:JAP$66))</f>
        <v>0</v>
      </c>
      <c r="JAS66" s="956">
        <f>MIN(JAS60*$C$65,Application!$AO$636-SUM('15 Year Pro Forma'!$E$66:JAR$66))</f>
        <v>0</v>
      </c>
      <c r="JAU66" s="956">
        <f>MIN(JAU60*$C$65,Application!$AO$636-SUM('15 Year Pro Forma'!$E$66:JAT$66))</f>
        <v>0</v>
      </c>
      <c r="JAW66" s="956">
        <f>MIN(JAW60*$C$65,Application!$AO$636-SUM('15 Year Pro Forma'!$E$66:JAV$66))</f>
        <v>0</v>
      </c>
      <c r="JAY66" s="956">
        <f>MIN(JAY60*$C$65,Application!$AO$636-SUM('15 Year Pro Forma'!$E$66:JAX$66))</f>
        <v>0</v>
      </c>
      <c r="JBA66" s="956">
        <f>MIN(JBA60*$C$65,Application!$AO$636-SUM('15 Year Pro Forma'!$E$66:JAZ$66))</f>
        <v>0</v>
      </c>
      <c r="JBC66" s="956">
        <f>MIN(JBC60*$C$65,Application!$AO$636-SUM('15 Year Pro Forma'!$E$66:JBB$66))</f>
        <v>0</v>
      </c>
      <c r="JBE66" s="956">
        <f>MIN(JBE60*$C$65,Application!$AO$636-SUM('15 Year Pro Forma'!$E$66:JBD$66))</f>
        <v>0</v>
      </c>
      <c r="JBG66" s="956">
        <f>MIN(JBG60*$C$65,Application!$AO$636-SUM('15 Year Pro Forma'!$E$66:JBF$66))</f>
        <v>0</v>
      </c>
      <c r="JBI66" s="956">
        <f>MIN(JBI60*$C$65,Application!$AO$636-SUM('15 Year Pro Forma'!$E$66:JBH$66))</f>
        <v>0</v>
      </c>
      <c r="JBK66" s="956">
        <f>MIN(JBK60*$C$65,Application!$AO$636-SUM('15 Year Pro Forma'!$E$66:JBJ$66))</f>
        <v>0</v>
      </c>
      <c r="JBM66" s="956">
        <f>MIN(JBM60*$C$65,Application!$AO$636-SUM('15 Year Pro Forma'!$E$66:JBL$66))</f>
        <v>0</v>
      </c>
      <c r="JBO66" s="956">
        <f>MIN(JBO60*$C$65,Application!$AO$636-SUM('15 Year Pro Forma'!$E$66:JBN$66))</f>
        <v>0</v>
      </c>
      <c r="JBQ66" s="956">
        <f>MIN(JBQ60*$C$65,Application!$AO$636-SUM('15 Year Pro Forma'!$E$66:JBP$66))</f>
        <v>0</v>
      </c>
      <c r="JBS66" s="956">
        <f>MIN(JBS60*$C$65,Application!$AO$636-SUM('15 Year Pro Forma'!$E$66:JBR$66))</f>
        <v>0</v>
      </c>
      <c r="JBU66" s="956">
        <f>MIN(JBU60*$C$65,Application!$AO$636-SUM('15 Year Pro Forma'!$E$66:JBT$66))</f>
        <v>0</v>
      </c>
      <c r="JBW66" s="956">
        <f>MIN(JBW60*$C$65,Application!$AO$636-SUM('15 Year Pro Forma'!$E$66:JBV$66))</f>
        <v>0</v>
      </c>
      <c r="JBY66" s="956">
        <f>MIN(JBY60*$C$65,Application!$AO$636-SUM('15 Year Pro Forma'!$E$66:JBX$66))</f>
        <v>0</v>
      </c>
      <c r="JCA66" s="956">
        <f>MIN(JCA60*$C$65,Application!$AO$636-SUM('15 Year Pro Forma'!$E$66:JBZ$66))</f>
        <v>0</v>
      </c>
      <c r="JCC66" s="956">
        <f>MIN(JCC60*$C$65,Application!$AO$636-SUM('15 Year Pro Forma'!$E$66:JCB$66))</f>
        <v>0</v>
      </c>
      <c r="JCE66" s="956">
        <f>MIN(JCE60*$C$65,Application!$AO$636-SUM('15 Year Pro Forma'!$E$66:JCD$66))</f>
        <v>0</v>
      </c>
      <c r="JCG66" s="956">
        <f>MIN(JCG60*$C$65,Application!$AO$636-SUM('15 Year Pro Forma'!$E$66:JCF$66))</f>
        <v>0</v>
      </c>
      <c r="JCI66" s="956">
        <f>MIN(JCI60*$C$65,Application!$AO$636-SUM('15 Year Pro Forma'!$E$66:JCH$66))</f>
        <v>0</v>
      </c>
      <c r="JCK66" s="956">
        <f>MIN(JCK60*$C$65,Application!$AO$636-SUM('15 Year Pro Forma'!$E$66:JCJ$66))</f>
        <v>0</v>
      </c>
      <c r="JCM66" s="956">
        <f>MIN(JCM60*$C$65,Application!$AO$636-SUM('15 Year Pro Forma'!$E$66:JCL$66))</f>
        <v>0</v>
      </c>
      <c r="JCO66" s="956">
        <f>MIN(JCO60*$C$65,Application!$AO$636-SUM('15 Year Pro Forma'!$E$66:JCN$66))</f>
        <v>0</v>
      </c>
      <c r="JCQ66" s="956">
        <f>MIN(JCQ60*$C$65,Application!$AO$636-SUM('15 Year Pro Forma'!$E$66:JCP$66))</f>
        <v>0</v>
      </c>
      <c r="JCS66" s="956">
        <f>MIN(JCS60*$C$65,Application!$AO$636-SUM('15 Year Pro Forma'!$E$66:JCR$66))</f>
        <v>0</v>
      </c>
      <c r="JCU66" s="956">
        <f>MIN(JCU60*$C$65,Application!$AO$636-SUM('15 Year Pro Forma'!$E$66:JCT$66))</f>
        <v>0</v>
      </c>
      <c r="JCW66" s="956">
        <f>MIN(JCW60*$C$65,Application!$AO$636-SUM('15 Year Pro Forma'!$E$66:JCV$66))</f>
        <v>0</v>
      </c>
      <c r="JCY66" s="956">
        <f>MIN(JCY60*$C$65,Application!$AO$636-SUM('15 Year Pro Forma'!$E$66:JCX$66))</f>
        <v>0</v>
      </c>
      <c r="JDA66" s="956">
        <f>MIN(JDA60*$C$65,Application!$AO$636-SUM('15 Year Pro Forma'!$E$66:JCZ$66))</f>
        <v>0</v>
      </c>
      <c r="JDC66" s="956">
        <f>MIN(JDC60*$C$65,Application!$AO$636-SUM('15 Year Pro Forma'!$E$66:JDB$66))</f>
        <v>0</v>
      </c>
      <c r="JDE66" s="956">
        <f>MIN(JDE60*$C$65,Application!$AO$636-SUM('15 Year Pro Forma'!$E$66:JDD$66))</f>
        <v>0</v>
      </c>
      <c r="JDG66" s="956">
        <f>MIN(JDG60*$C$65,Application!$AO$636-SUM('15 Year Pro Forma'!$E$66:JDF$66))</f>
        <v>0</v>
      </c>
      <c r="JDI66" s="956">
        <f>MIN(JDI60*$C$65,Application!$AO$636-SUM('15 Year Pro Forma'!$E$66:JDH$66))</f>
        <v>0</v>
      </c>
      <c r="JDK66" s="956">
        <f>MIN(JDK60*$C$65,Application!$AO$636-SUM('15 Year Pro Forma'!$E$66:JDJ$66))</f>
        <v>0</v>
      </c>
      <c r="JDM66" s="956">
        <f>MIN(JDM60*$C$65,Application!$AO$636-SUM('15 Year Pro Forma'!$E$66:JDL$66))</f>
        <v>0</v>
      </c>
      <c r="JDO66" s="956">
        <f>MIN(JDO60*$C$65,Application!$AO$636-SUM('15 Year Pro Forma'!$E$66:JDN$66))</f>
        <v>0</v>
      </c>
      <c r="JDQ66" s="956">
        <f>MIN(JDQ60*$C$65,Application!$AO$636-SUM('15 Year Pro Forma'!$E$66:JDP$66))</f>
        <v>0</v>
      </c>
      <c r="JDS66" s="956">
        <f>MIN(JDS60*$C$65,Application!$AO$636-SUM('15 Year Pro Forma'!$E$66:JDR$66))</f>
        <v>0</v>
      </c>
      <c r="JDU66" s="956">
        <f>MIN(JDU60*$C$65,Application!$AO$636-SUM('15 Year Pro Forma'!$E$66:JDT$66))</f>
        <v>0</v>
      </c>
      <c r="JDW66" s="956">
        <f>MIN(JDW60*$C$65,Application!$AO$636-SUM('15 Year Pro Forma'!$E$66:JDV$66))</f>
        <v>0</v>
      </c>
      <c r="JDY66" s="956">
        <f>MIN(JDY60*$C$65,Application!$AO$636-SUM('15 Year Pro Forma'!$E$66:JDX$66))</f>
        <v>0</v>
      </c>
      <c r="JEA66" s="956">
        <f>MIN(JEA60*$C$65,Application!$AO$636-SUM('15 Year Pro Forma'!$E$66:JDZ$66))</f>
        <v>0</v>
      </c>
      <c r="JEC66" s="956">
        <f>MIN(JEC60*$C$65,Application!$AO$636-SUM('15 Year Pro Forma'!$E$66:JEB$66))</f>
        <v>0</v>
      </c>
      <c r="JEE66" s="956">
        <f>MIN(JEE60*$C$65,Application!$AO$636-SUM('15 Year Pro Forma'!$E$66:JED$66))</f>
        <v>0</v>
      </c>
      <c r="JEG66" s="956">
        <f>MIN(JEG60*$C$65,Application!$AO$636-SUM('15 Year Pro Forma'!$E$66:JEF$66))</f>
        <v>0</v>
      </c>
      <c r="JEI66" s="956">
        <f>MIN(JEI60*$C$65,Application!$AO$636-SUM('15 Year Pro Forma'!$E$66:JEH$66))</f>
        <v>0</v>
      </c>
      <c r="JEK66" s="956">
        <f>MIN(JEK60*$C$65,Application!$AO$636-SUM('15 Year Pro Forma'!$E$66:JEJ$66))</f>
        <v>0</v>
      </c>
      <c r="JEM66" s="956">
        <f>MIN(JEM60*$C$65,Application!$AO$636-SUM('15 Year Pro Forma'!$E$66:JEL$66))</f>
        <v>0</v>
      </c>
      <c r="JEO66" s="956">
        <f>MIN(JEO60*$C$65,Application!$AO$636-SUM('15 Year Pro Forma'!$E$66:JEN$66))</f>
        <v>0</v>
      </c>
      <c r="JEQ66" s="956">
        <f>MIN(JEQ60*$C$65,Application!$AO$636-SUM('15 Year Pro Forma'!$E$66:JEP$66))</f>
        <v>0</v>
      </c>
      <c r="JES66" s="956">
        <f>MIN(JES60*$C$65,Application!$AO$636-SUM('15 Year Pro Forma'!$E$66:JER$66))</f>
        <v>0</v>
      </c>
      <c r="JEU66" s="956">
        <f>MIN(JEU60*$C$65,Application!$AO$636-SUM('15 Year Pro Forma'!$E$66:JET$66))</f>
        <v>0</v>
      </c>
      <c r="JEW66" s="956">
        <f>MIN(JEW60*$C$65,Application!$AO$636-SUM('15 Year Pro Forma'!$E$66:JEV$66))</f>
        <v>0</v>
      </c>
      <c r="JEY66" s="956">
        <f>MIN(JEY60*$C$65,Application!$AO$636-SUM('15 Year Pro Forma'!$E$66:JEX$66))</f>
        <v>0</v>
      </c>
      <c r="JFA66" s="956">
        <f>MIN(JFA60*$C$65,Application!$AO$636-SUM('15 Year Pro Forma'!$E$66:JEZ$66))</f>
        <v>0</v>
      </c>
      <c r="JFC66" s="956">
        <f>MIN(JFC60*$C$65,Application!$AO$636-SUM('15 Year Pro Forma'!$E$66:JFB$66))</f>
        <v>0</v>
      </c>
      <c r="JFE66" s="956">
        <f>MIN(JFE60*$C$65,Application!$AO$636-SUM('15 Year Pro Forma'!$E$66:JFD$66))</f>
        <v>0</v>
      </c>
      <c r="JFG66" s="956">
        <f>MIN(JFG60*$C$65,Application!$AO$636-SUM('15 Year Pro Forma'!$E$66:JFF$66))</f>
        <v>0</v>
      </c>
      <c r="JFI66" s="956">
        <f>MIN(JFI60*$C$65,Application!$AO$636-SUM('15 Year Pro Forma'!$E$66:JFH$66))</f>
        <v>0</v>
      </c>
      <c r="JFK66" s="956">
        <f>MIN(JFK60*$C$65,Application!$AO$636-SUM('15 Year Pro Forma'!$E$66:JFJ$66))</f>
        <v>0</v>
      </c>
      <c r="JFM66" s="956">
        <f>MIN(JFM60*$C$65,Application!$AO$636-SUM('15 Year Pro Forma'!$E$66:JFL$66))</f>
        <v>0</v>
      </c>
      <c r="JFO66" s="956">
        <f>MIN(JFO60*$C$65,Application!$AO$636-SUM('15 Year Pro Forma'!$E$66:JFN$66))</f>
        <v>0</v>
      </c>
      <c r="JFQ66" s="956">
        <f>MIN(JFQ60*$C$65,Application!$AO$636-SUM('15 Year Pro Forma'!$E$66:JFP$66))</f>
        <v>0</v>
      </c>
      <c r="JFS66" s="956">
        <f>MIN(JFS60*$C$65,Application!$AO$636-SUM('15 Year Pro Forma'!$E$66:JFR$66))</f>
        <v>0</v>
      </c>
      <c r="JFU66" s="956">
        <f>MIN(JFU60*$C$65,Application!$AO$636-SUM('15 Year Pro Forma'!$E$66:JFT$66))</f>
        <v>0</v>
      </c>
      <c r="JFW66" s="956">
        <f>MIN(JFW60*$C$65,Application!$AO$636-SUM('15 Year Pro Forma'!$E$66:JFV$66))</f>
        <v>0</v>
      </c>
      <c r="JFY66" s="956">
        <f>MIN(JFY60*$C$65,Application!$AO$636-SUM('15 Year Pro Forma'!$E$66:JFX$66))</f>
        <v>0</v>
      </c>
      <c r="JGA66" s="956">
        <f>MIN(JGA60*$C$65,Application!$AO$636-SUM('15 Year Pro Forma'!$E$66:JFZ$66))</f>
        <v>0</v>
      </c>
      <c r="JGC66" s="956">
        <f>MIN(JGC60*$C$65,Application!$AO$636-SUM('15 Year Pro Forma'!$E$66:JGB$66))</f>
        <v>0</v>
      </c>
      <c r="JGE66" s="956">
        <f>MIN(JGE60*$C$65,Application!$AO$636-SUM('15 Year Pro Forma'!$E$66:JGD$66))</f>
        <v>0</v>
      </c>
      <c r="JGG66" s="956">
        <f>MIN(JGG60*$C$65,Application!$AO$636-SUM('15 Year Pro Forma'!$E$66:JGF$66))</f>
        <v>0</v>
      </c>
      <c r="JGI66" s="956">
        <f>MIN(JGI60*$C$65,Application!$AO$636-SUM('15 Year Pro Forma'!$E$66:JGH$66))</f>
        <v>0</v>
      </c>
      <c r="JGK66" s="956">
        <f>MIN(JGK60*$C$65,Application!$AO$636-SUM('15 Year Pro Forma'!$E$66:JGJ$66))</f>
        <v>0</v>
      </c>
      <c r="JGM66" s="956">
        <f>MIN(JGM60*$C$65,Application!$AO$636-SUM('15 Year Pro Forma'!$E$66:JGL$66))</f>
        <v>0</v>
      </c>
      <c r="JGO66" s="956">
        <f>MIN(JGO60*$C$65,Application!$AO$636-SUM('15 Year Pro Forma'!$E$66:JGN$66))</f>
        <v>0</v>
      </c>
      <c r="JGQ66" s="956">
        <f>MIN(JGQ60*$C$65,Application!$AO$636-SUM('15 Year Pro Forma'!$E$66:JGP$66))</f>
        <v>0</v>
      </c>
      <c r="JGS66" s="956">
        <f>MIN(JGS60*$C$65,Application!$AO$636-SUM('15 Year Pro Forma'!$E$66:JGR$66))</f>
        <v>0</v>
      </c>
      <c r="JGU66" s="956">
        <f>MIN(JGU60*$C$65,Application!$AO$636-SUM('15 Year Pro Forma'!$E$66:JGT$66))</f>
        <v>0</v>
      </c>
      <c r="JGW66" s="956">
        <f>MIN(JGW60*$C$65,Application!$AO$636-SUM('15 Year Pro Forma'!$E$66:JGV$66))</f>
        <v>0</v>
      </c>
      <c r="JGY66" s="956">
        <f>MIN(JGY60*$C$65,Application!$AO$636-SUM('15 Year Pro Forma'!$E$66:JGX$66))</f>
        <v>0</v>
      </c>
      <c r="JHA66" s="956">
        <f>MIN(JHA60*$C$65,Application!$AO$636-SUM('15 Year Pro Forma'!$E$66:JGZ$66))</f>
        <v>0</v>
      </c>
      <c r="JHC66" s="956">
        <f>MIN(JHC60*$C$65,Application!$AO$636-SUM('15 Year Pro Forma'!$E$66:JHB$66))</f>
        <v>0</v>
      </c>
      <c r="JHE66" s="956">
        <f>MIN(JHE60*$C$65,Application!$AO$636-SUM('15 Year Pro Forma'!$E$66:JHD$66))</f>
        <v>0</v>
      </c>
      <c r="JHG66" s="956">
        <f>MIN(JHG60*$C$65,Application!$AO$636-SUM('15 Year Pro Forma'!$E$66:JHF$66))</f>
        <v>0</v>
      </c>
      <c r="JHI66" s="956">
        <f>MIN(JHI60*$C$65,Application!$AO$636-SUM('15 Year Pro Forma'!$E$66:JHH$66))</f>
        <v>0</v>
      </c>
      <c r="JHK66" s="956">
        <f>MIN(JHK60*$C$65,Application!$AO$636-SUM('15 Year Pro Forma'!$E$66:JHJ$66))</f>
        <v>0</v>
      </c>
      <c r="JHM66" s="956">
        <f>MIN(JHM60*$C$65,Application!$AO$636-SUM('15 Year Pro Forma'!$E$66:JHL$66))</f>
        <v>0</v>
      </c>
      <c r="JHO66" s="956">
        <f>MIN(JHO60*$C$65,Application!$AO$636-SUM('15 Year Pro Forma'!$E$66:JHN$66))</f>
        <v>0</v>
      </c>
      <c r="JHQ66" s="956">
        <f>MIN(JHQ60*$C$65,Application!$AO$636-SUM('15 Year Pro Forma'!$E$66:JHP$66))</f>
        <v>0</v>
      </c>
      <c r="JHS66" s="956">
        <f>MIN(JHS60*$C$65,Application!$AO$636-SUM('15 Year Pro Forma'!$E$66:JHR$66))</f>
        <v>0</v>
      </c>
      <c r="JHU66" s="956">
        <f>MIN(JHU60*$C$65,Application!$AO$636-SUM('15 Year Pro Forma'!$E$66:JHT$66))</f>
        <v>0</v>
      </c>
      <c r="JHW66" s="956">
        <f>MIN(JHW60*$C$65,Application!$AO$636-SUM('15 Year Pro Forma'!$E$66:JHV$66))</f>
        <v>0</v>
      </c>
      <c r="JHY66" s="956">
        <f>MIN(JHY60*$C$65,Application!$AO$636-SUM('15 Year Pro Forma'!$E$66:JHX$66))</f>
        <v>0</v>
      </c>
      <c r="JIA66" s="956">
        <f>MIN(JIA60*$C$65,Application!$AO$636-SUM('15 Year Pro Forma'!$E$66:JHZ$66))</f>
        <v>0</v>
      </c>
      <c r="JIC66" s="956">
        <f>MIN(JIC60*$C$65,Application!$AO$636-SUM('15 Year Pro Forma'!$E$66:JIB$66))</f>
        <v>0</v>
      </c>
      <c r="JIE66" s="956">
        <f>MIN(JIE60*$C$65,Application!$AO$636-SUM('15 Year Pro Forma'!$E$66:JID$66))</f>
        <v>0</v>
      </c>
      <c r="JIG66" s="956">
        <f>MIN(JIG60*$C$65,Application!$AO$636-SUM('15 Year Pro Forma'!$E$66:JIF$66))</f>
        <v>0</v>
      </c>
      <c r="JII66" s="956">
        <f>MIN(JII60*$C$65,Application!$AO$636-SUM('15 Year Pro Forma'!$E$66:JIH$66))</f>
        <v>0</v>
      </c>
      <c r="JIK66" s="956">
        <f>MIN(JIK60*$C$65,Application!$AO$636-SUM('15 Year Pro Forma'!$E$66:JIJ$66))</f>
        <v>0</v>
      </c>
      <c r="JIM66" s="956">
        <f>MIN(JIM60*$C$65,Application!$AO$636-SUM('15 Year Pro Forma'!$E$66:JIL$66))</f>
        <v>0</v>
      </c>
      <c r="JIO66" s="956">
        <f>MIN(JIO60*$C$65,Application!$AO$636-SUM('15 Year Pro Forma'!$E$66:JIN$66))</f>
        <v>0</v>
      </c>
      <c r="JIQ66" s="956">
        <f>MIN(JIQ60*$C$65,Application!$AO$636-SUM('15 Year Pro Forma'!$E$66:JIP$66))</f>
        <v>0</v>
      </c>
      <c r="JIS66" s="956">
        <f>MIN(JIS60*$C$65,Application!$AO$636-SUM('15 Year Pro Forma'!$E$66:JIR$66))</f>
        <v>0</v>
      </c>
      <c r="JIU66" s="956">
        <f>MIN(JIU60*$C$65,Application!$AO$636-SUM('15 Year Pro Forma'!$E$66:JIT$66))</f>
        <v>0</v>
      </c>
      <c r="JIW66" s="956">
        <f>MIN(JIW60*$C$65,Application!$AO$636-SUM('15 Year Pro Forma'!$E$66:JIV$66))</f>
        <v>0</v>
      </c>
      <c r="JIY66" s="956">
        <f>MIN(JIY60*$C$65,Application!$AO$636-SUM('15 Year Pro Forma'!$E$66:JIX$66))</f>
        <v>0</v>
      </c>
      <c r="JJA66" s="956">
        <f>MIN(JJA60*$C$65,Application!$AO$636-SUM('15 Year Pro Forma'!$E$66:JIZ$66))</f>
        <v>0</v>
      </c>
      <c r="JJC66" s="956">
        <f>MIN(JJC60*$C$65,Application!$AO$636-SUM('15 Year Pro Forma'!$E$66:JJB$66))</f>
        <v>0</v>
      </c>
      <c r="JJE66" s="956">
        <f>MIN(JJE60*$C$65,Application!$AO$636-SUM('15 Year Pro Forma'!$E$66:JJD$66))</f>
        <v>0</v>
      </c>
      <c r="JJG66" s="956">
        <f>MIN(JJG60*$C$65,Application!$AO$636-SUM('15 Year Pro Forma'!$E$66:JJF$66))</f>
        <v>0</v>
      </c>
      <c r="JJI66" s="956">
        <f>MIN(JJI60*$C$65,Application!$AO$636-SUM('15 Year Pro Forma'!$E$66:JJH$66))</f>
        <v>0</v>
      </c>
      <c r="JJK66" s="956">
        <f>MIN(JJK60*$C$65,Application!$AO$636-SUM('15 Year Pro Forma'!$E$66:JJJ$66))</f>
        <v>0</v>
      </c>
      <c r="JJM66" s="956">
        <f>MIN(JJM60*$C$65,Application!$AO$636-SUM('15 Year Pro Forma'!$E$66:JJL$66))</f>
        <v>0</v>
      </c>
      <c r="JJO66" s="956">
        <f>MIN(JJO60*$C$65,Application!$AO$636-SUM('15 Year Pro Forma'!$E$66:JJN$66))</f>
        <v>0</v>
      </c>
      <c r="JJQ66" s="956">
        <f>MIN(JJQ60*$C$65,Application!$AO$636-SUM('15 Year Pro Forma'!$E$66:JJP$66))</f>
        <v>0</v>
      </c>
      <c r="JJS66" s="956">
        <f>MIN(JJS60*$C$65,Application!$AO$636-SUM('15 Year Pro Forma'!$E$66:JJR$66))</f>
        <v>0</v>
      </c>
      <c r="JJU66" s="956">
        <f>MIN(JJU60*$C$65,Application!$AO$636-SUM('15 Year Pro Forma'!$E$66:JJT$66))</f>
        <v>0</v>
      </c>
      <c r="JJW66" s="956">
        <f>MIN(JJW60*$C$65,Application!$AO$636-SUM('15 Year Pro Forma'!$E$66:JJV$66))</f>
        <v>0</v>
      </c>
      <c r="JJY66" s="956">
        <f>MIN(JJY60*$C$65,Application!$AO$636-SUM('15 Year Pro Forma'!$E$66:JJX$66))</f>
        <v>0</v>
      </c>
      <c r="JKA66" s="956">
        <f>MIN(JKA60*$C$65,Application!$AO$636-SUM('15 Year Pro Forma'!$E$66:JJZ$66))</f>
        <v>0</v>
      </c>
      <c r="JKC66" s="956">
        <f>MIN(JKC60*$C$65,Application!$AO$636-SUM('15 Year Pro Forma'!$E$66:JKB$66))</f>
        <v>0</v>
      </c>
      <c r="JKE66" s="956">
        <f>MIN(JKE60*$C$65,Application!$AO$636-SUM('15 Year Pro Forma'!$E$66:JKD$66))</f>
        <v>0</v>
      </c>
      <c r="JKG66" s="956">
        <f>MIN(JKG60*$C$65,Application!$AO$636-SUM('15 Year Pro Forma'!$E$66:JKF$66))</f>
        <v>0</v>
      </c>
      <c r="JKI66" s="956">
        <f>MIN(JKI60*$C$65,Application!$AO$636-SUM('15 Year Pro Forma'!$E$66:JKH$66))</f>
        <v>0</v>
      </c>
      <c r="JKK66" s="956">
        <f>MIN(JKK60*$C$65,Application!$AO$636-SUM('15 Year Pro Forma'!$E$66:JKJ$66))</f>
        <v>0</v>
      </c>
      <c r="JKM66" s="956">
        <f>MIN(JKM60*$C$65,Application!$AO$636-SUM('15 Year Pro Forma'!$E$66:JKL$66))</f>
        <v>0</v>
      </c>
      <c r="JKO66" s="956">
        <f>MIN(JKO60*$C$65,Application!$AO$636-SUM('15 Year Pro Forma'!$E$66:JKN$66))</f>
        <v>0</v>
      </c>
      <c r="JKQ66" s="956">
        <f>MIN(JKQ60*$C$65,Application!$AO$636-SUM('15 Year Pro Forma'!$E$66:JKP$66))</f>
        <v>0</v>
      </c>
      <c r="JKS66" s="956">
        <f>MIN(JKS60*$C$65,Application!$AO$636-SUM('15 Year Pro Forma'!$E$66:JKR$66))</f>
        <v>0</v>
      </c>
      <c r="JKU66" s="956">
        <f>MIN(JKU60*$C$65,Application!$AO$636-SUM('15 Year Pro Forma'!$E$66:JKT$66))</f>
        <v>0</v>
      </c>
      <c r="JKW66" s="956">
        <f>MIN(JKW60*$C$65,Application!$AO$636-SUM('15 Year Pro Forma'!$E$66:JKV$66))</f>
        <v>0</v>
      </c>
      <c r="JKY66" s="956">
        <f>MIN(JKY60*$C$65,Application!$AO$636-SUM('15 Year Pro Forma'!$E$66:JKX$66))</f>
        <v>0</v>
      </c>
      <c r="JLA66" s="956">
        <f>MIN(JLA60*$C$65,Application!$AO$636-SUM('15 Year Pro Forma'!$E$66:JKZ$66))</f>
        <v>0</v>
      </c>
      <c r="JLC66" s="956">
        <f>MIN(JLC60*$C$65,Application!$AO$636-SUM('15 Year Pro Forma'!$E$66:JLB$66))</f>
        <v>0</v>
      </c>
      <c r="JLE66" s="956">
        <f>MIN(JLE60*$C$65,Application!$AO$636-SUM('15 Year Pro Forma'!$E$66:JLD$66))</f>
        <v>0</v>
      </c>
      <c r="JLG66" s="956">
        <f>MIN(JLG60*$C$65,Application!$AO$636-SUM('15 Year Pro Forma'!$E$66:JLF$66))</f>
        <v>0</v>
      </c>
      <c r="JLI66" s="956">
        <f>MIN(JLI60*$C$65,Application!$AO$636-SUM('15 Year Pro Forma'!$E$66:JLH$66))</f>
        <v>0</v>
      </c>
      <c r="JLK66" s="956">
        <f>MIN(JLK60*$C$65,Application!$AO$636-SUM('15 Year Pro Forma'!$E$66:JLJ$66))</f>
        <v>0</v>
      </c>
      <c r="JLM66" s="956">
        <f>MIN(JLM60*$C$65,Application!$AO$636-SUM('15 Year Pro Forma'!$E$66:JLL$66))</f>
        <v>0</v>
      </c>
      <c r="JLO66" s="956">
        <f>MIN(JLO60*$C$65,Application!$AO$636-SUM('15 Year Pro Forma'!$E$66:JLN$66))</f>
        <v>0</v>
      </c>
      <c r="JLQ66" s="956">
        <f>MIN(JLQ60*$C$65,Application!$AO$636-SUM('15 Year Pro Forma'!$E$66:JLP$66))</f>
        <v>0</v>
      </c>
      <c r="JLS66" s="956">
        <f>MIN(JLS60*$C$65,Application!$AO$636-SUM('15 Year Pro Forma'!$E$66:JLR$66))</f>
        <v>0</v>
      </c>
      <c r="JLU66" s="956">
        <f>MIN(JLU60*$C$65,Application!$AO$636-SUM('15 Year Pro Forma'!$E$66:JLT$66))</f>
        <v>0</v>
      </c>
      <c r="JLW66" s="956">
        <f>MIN(JLW60*$C$65,Application!$AO$636-SUM('15 Year Pro Forma'!$E$66:JLV$66))</f>
        <v>0</v>
      </c>
      <c r="JLY66" s="956">
        <f>MIN(JLY60*$C$65,Application!$AO$636-SUM('15 Year Pro Forma'!$E$66:JLX$66))</f>
        <v>0</v>
      </c>
      <c r="JMA66" s="956">
        <f>MIN(JMA60*$C$65,Application!$AO$636-SUM('15 Year Pro Forma'!$E$66:JLZ$66))</f>
        <v>0</v>
      </c>
      <c r="JMC66" s="956">
        <f>MIN(JMC60*$C$65,Application!$AO$636-SUM('15 Year Pro Forma'!$E$66:JMB$66))</f>
        <v>0</v>
      </c>
      <c r="JME66" s="956">
        <f>MIN(JME60*$C$65,Application!$AO$636-SUM('15 Year Pro Forma'!$E$66:JMD$66))</f>
        <v>0</v>
      </c>
      <c r="JMG66" s="956">
        <f>MIN(JMG60*$C$65,Application!$AO$636-SUM('15 Year Pro Forma'!$E$66:JMF$66))</f>
        <v>0</v>
      </c>
      <c r="JMI66" s="956">
        <f>MIN(JMI60*$C$65,Application!$AO$636-SUM('15 Year Pro Forma'!$E$66:JMH$66))</f>
        <v>0</v>
      </c>
      <c r="JMK66" s="956">
        <f>MIN(JMK60*$C$65,Application!$AO$636-SUM('15 Year Pro Forma'!$E$66:JMJ$66))</f>
        <v>0</v>
      </c>
      <c r="JMM66" s="956">
        <f>MIN(JMM60*$C$65,Application!$AO$636-SUM('15 Year Pro Forma'!$E$66:JML$66))</f>
        <v>0</v>
      </c>
      <c r="JMO66" s="956">
        <f>MIN(JMO60*$C$65,Application!$AO$636-SUM('15 Year Pro Forma'!$E$66:JMN$66))</f>
        <v>0</v>
      </c>
      <c r="JMQ66" s="956">
        <f>MIN(JMQ60*$C$65,Application!$AO$636-SUM('15 Year Pro Forma'!$E$66:JMP$66))</f>
        <v>0</v>
      </c>
      <c r="JMS66" s="956">
        <f>MIN(JMS60*$C$65,Application!$AO$636-SUM('15 Year Pro Forma'!$E$66:JMR$66))</f>
        <v>0</v>
      </c>
      <c r="JMU66" s="956">
        <f>MIN(JMU60*$C$65,Application!$AO$636-SUM('15 Year Pro Forma'!$E$66:JMT$66))</f>
        <v>0</v>
      </c>
      <c r="JMW66" s="956">
        <f>MIN(JMW60*$C$65,Application!$AO$636-SUM('15 Year Pro Forma'!$E$66:JMV$66))</f>
        <v>0</v>
      </c>
      <c r="JMY66" s="956">
        <f>MIN(JMY60*$C$65,Application!$AO$636-SUM('15 Year Pro Forma'!$E$66:JMX$66))</f>
        <v>0</v>
      </c>
      <c r="JNA66" s="956">
        <f>MIN(JNA60*$C$65,Application!$AO$636-SUM('15 Year Pro Forma'!$E$66:JMZ$66))</f>
        <v>0</v>
      </c>
      <c r="JNC66" s="956">
        <f>MIN(JNC60*$C$65,Application!$AO$636-SUM('15 Year Pro Forma'!$E$66:JNB$66))</f>
        <v>0</v>
      </c>
      <c r="JNE66" s="956">
        <f>MIN(JNE60*$C$65,Application!$AO$636-SUM('15 Year Pro Forma'!$E$66:JND$66))</f>
        <v>0</v>
      </c>
      <c r="JNG66" s="956">
        <f>MIN(JNG60*$C$65,Application!$AO$636-SUM('15 Year Pro Forma'!$E$66:JNF$66))</f>
        <v>0</v>
      </c>
      <c r="JNI66" s="956">
        <f>MIN(JNI60*$C$65,Application!$AO$636-SUM('15 Year Pro Forma'!$E$66:JNH$66))</f>
        <v>0</v>
      </c>
      <c r="JNK66" s="956">
        <f>MIN(JNK60*$C$65,Application!$AO$636-SUM('15 Year Pro Forma'!$E$66:JNJ$66))</f>
        <v>0</v>
      </c>
      <c r="JNM66" s="956">
        <f>MIN(JNM60*$C$65,Application!$AO$636-SUM('15 Year Pro Forma'!$E$66:JNL$66))</f>
        <v>0</v>
      </c>
      <c r="JNO66" s="956">
        <f>MIN(JNO60*$C$65,Application!$AO$636-SUM('15 Year Pro Forma'!$E$66:JNN$66))</f>
        <v>0</v>
      </c>
      <c r="JNQ66" s="956">
        <f>MIN(JNQ60*$C$65,Application!$AO$636-SUM('15 Year Pro Forma'!$E$66:JNP$66))</f>
        <v>0</v>
      </c>
      <c r="JNS66" s="956">
        <f>MIN(JNS60*$C$65,Application!$AO$636-SUM('15 Year Pro Forma'!$E$66:JNR$66))</f>
        <v>0</v>
      </c>
      <c r="JNU66" s="956">
        <f>MIN(JNU60*$C$65,Application!$AO$636-SUM('15 Year Pro Forma'!$E$66:JNT$66))</f>
        <v>0</v>
      </c>
      <c r="JNW66" s="956">
        <f>MIN(JNW60*$C$65,Application!$AO$636-SUM('15 Year Pro Forma'!$E$66:JNV$66))</f>
        <v>0</v>
      </c>
      <c r="JNY66" s="956">
        <f>MIN(JNY60*$C$65,Application!$AO$636-SUM('15 Year Pro Forma'!$E$66:JNX$66))</f>
        <v>0</v>
      </c>
      <c r="JOA66" s="956">
        <f>MIN(JOA60*$C$65,Application!$AO$636-SUM('15 Year Pro Forma'!$E$66:JNZ$66))</f>
        <v>0</v>
      </c>
      <c r="JOC66" s="956">
        <f>MIN(JOC60*$C$65,Application!$AO$636-SUM('15 Year Pro Forma'!$E$66:JOB$66))</f>
        <v>0</v>
      </c>
      <c r="JOE66" s="956">
        <f>MIN(JOE60*$C$65,Application!$AO$636-SUM('15 Year Pro Forma'!$E$66:JOD$66))</f>
        <v>0</v>
      </c>
      <c r="JOG66" s="956">
        <f>MIN(JOG60*$C$65,Application!$AO$636-SUM('15 Year Pro Forma'!$E$66:JOF$66))</f>
        <v>0</v>
      </c>
      <c r="JOI66" s="956">
        <f>MIN(JOI60*$C$65,Application!$AO$636-SUM('15 Year Pro Forma'!$E$66:JOH$66))</f>
        <v>0</v>
      </c>
      <c r="JOK66" s="956">
        <f>MIN(JOK60*$C$65,Application!$AO$636-SUM('15 Year Pro Forma'!$E$66:JOJ$66))</f>
        <v>0</v>
      </c>
      <c r="JOM66" s="956">
        <f>MIN(JOM60*$C$65,Application!$AO$636-SUM('15 Year Pro Forma'!$E$66:JOL$66))</f>
        <v>0</v>
      </c>
      <c r="JOO66" s="956">
        <f>MIN(JOO60*$C$65,Application!$AO$636-SUM('15 Year Pro Forma'!$E$66:JON$66))</f>
        <v>0</v>
      </c>
      <c r="JOQ66" s="956">
        <f>MIN(JOQ60*$C$65,Application!$AO$636-SUM('15 Year Pro Forma'!$E$66:JOP$66))</f>
        <v>0</v>
      </c>
      <c r="JOS66" s="956">
        <f>MIN(JOS60*$C$65,Application!$AO$636-SUM('15 Year Pro Forma'!$E$66:JOR$66))</f>
        <v>0</v>
      </c>
      <c r="JOU66" s="956">
        <f>MIN(JOU60*$C$65,Application!$AO$636-SUM('15 Year Pro Forma'!$E$66:JOT$66))</f>
        <v>0</v>
      </c>
      <c r="JOW66" s="956">
        <f>MIN(JOW60*$C$65,Application!$AO$636-SUM('15 Year Pro Forma'!$E$66:JOV$66))</f>
        <v>0</v>
      </c>
      <c r="JOY66" s="956">
        <f>MIN(JOY60*$C$65,Application!$AO$636-SUM('15 Year Pro Forma'!$E$66:JOX$66))</f>
        <v>0</v>
      </c>
      <c r="JPA66" s="956">
        <f>MIN(JPA60*$C$65,Application!$AO$636-SUM('15 Year Pro Forma'!$E$66:JOZ$66))</f>
        <v>0</v>
      </c>
      <c r="JPC66" s="956">
        <f>MIN(JPC60*$C$65,Application!$AO$636-SUM('15 Year Pro Forma'!$E$66:JPB$66))</f>
        <v>0</v>
      </c>
      <c r="JPE66" s="956">
        <f>MIN(JPE60*$C$65,Application!$AO$636-SUM('15 Year Pro Forma'!$E$66:JPD$66))</f>
        <v>0</v>
      </c>
      <c r="JPG66" s="956">
        <f>MIN(JPG60*$C$65,Application!$AO$636-SUM('15 Year Pro Forma'!$E$66:JPF$66))</f>
        <v>0</v>
      </c>
      <c r="JPI66" s="956">
        <f>MIN(JPI60*$C$65,Application!$AO$636-SUM('15 Year Pro Forma'!$E$66:JPH$66))</f>
        <v>0</v>
      </c>
      <c r="JPK66" s="956">
        <f>MIN(JPK60*$C$65,Application!$AO$636-SUM('15 Year Pro Forma'!$E$66:JPJ$66))</f>
        <v>0</v>
      </c>
      <c r="JPM66" s="956">
        <f>MIN(JPM60*$C$65,Application!$AO$636-SUM('15 Year Pro Forma'!$E$66:JPL$66))</f>
        <v>0</v>
      </c>
      <c r="JPO66" s="956">
        <f>MIN(JPO60*$C$65,Application!$AO$636-SUM('15 Year Pro Forma'!$E$66:JPN$66))</f>
        <v>0</v>
      </c>
      <c r="JPQ66" s="956">
        <f>MIN(JPQ60*$C$65,Application!$AO$636-SUM('15 Year Pro Forma'!$E$66:JPP$66))</f>
        <v>0</v>
      </c>
      <c r="JPS66" s="956">
        <f>MIN(JPS60*$C$65,Application!$AO$636-SUM('15 Year Pro Forma'!$E$66:JPR$66))</f>
        <v>0</v>
      </c>
      <c r="JPU66" s="956">
        <f>MIN(JPU60*$C$65,Application!$AO$636-SUM('15 Year Pro Forma'!$E$66:JPT$66))</f>
        <v>0</v>
      </c>
      <c r="JPW66" s="956">
        <f>MIN(JPW60*$C$65,Application!$AO$636-SUM('15 Year Pro Forma'!$E$66:JPV$66))</f>
        <v>0</v>
      </c>
      <c r="JPY66" s="956">
        <f>MIN(JPY60*$C$65,Application!$AO$636-SUM('15 Year Pro Forma'!$E$66:JPX$66))</f>
        <v>0</v>
      </c>
      <c r="JQA66" s="956">
        <f>MIN(JQA60*$C$65,Application!$AO$636-SUM('15 Year Pro Forma'!$E$66:JPZ$66))</f>
        <v>0</v>
      </c>
      <c r="JQC66" s="956">
        <f>MIN(JQC60*$C$65,Application!$AO$636-SUM('15 Year Pro Forma'!$E$66:JQB$66))</f>
        <v>0</v>
      </c>
      <c r="JQE66" s="956">
        <f>MIN(JQE60*$C$65,Application!$AO$636-SUM('15 Year Pro Forma'!$E$66:JQD$66))</f>
        <v>0</v>
      </c>
      <c r="JQG66" s="956">
        <f>MIN(JQG60*$C$65,Application!$AO$636-SUM('15 Year Pro Forma'!$E$66:JQF$66))</f>
        <v>0</v>
      </c>
      <c r="JQI66" s="956">
        <f>MIN(JQI60*$C$65,Application!$AO$636-SUM('15 Year Pro Forma'!$E$66:JQH$66))</f>
        <v>0</v>
      </c>
      <c r="JQK66" s="956">
        <f>MIN(JQK60*$C$65,Application!$AO$636-SUM('15 Year Pro Forma'!$E$66:JQJ$66))</f>
        <v>0</v>
      </c>
      <c r="JQM66" s="956">
        <f>MIN(JQM60*$C$65,Application!$AO$636-SUM('15 Year Pro Forma'!$E$66:JQL$66))</f>
        <v>0</v>
      </c>
      <c r="JQO66" s="956">
        <f>MIN(JQO60*$C$65,Application!$AO$636-SUM('15 Year Pro Forma'!$E$66:JQN$66))</f>
        <v>0</v>
      </c>
      <c r="JQQ66" s="956">
        <f>MIN(JQQ60*$C$65,Application!$AO$636-SUM('15 Year Pro Forma'!$E$66:JQP$66))</f>
        <v>0</v>
      </c>
      <c r="JQS66" s="956">
        <f>MIN(JQS60*$C$65,Application!$AO$636-SUM('15 Year Pro Forma'!$E$66:JQR$66))</f>
        <v>0</v>
      </c>
      <c r="JQU66" s="956">
        <f>MIN(JQU60*$C$65,Application!$AO$636-SUM('15 Year Pro Forma'!$E$66:JQT$66))</f>
        <v>0</v>
      </c>
      <c r="JQW66" s="956">
        <f>MIN(JQW60*$C$65,Application!$AO$636-SUM('15 Year Pro Forma'!$E$66:JQV$66))</f>
        <v>0</v>
      </c>
      <c r="JQY66" s="956">
        <f>MIN(JQY60*$C$65,Application!$AO$636-SUM('15 Year Pro Forma'!$E$66:JQX$66))</f>
        <v>0</v>
      </c>
      <c r="JRA66" s="956">
        <f>MIN(JRA60*$C$65,Application!$AO$636-SUM('15 Year Pro Forma'!$E$66:JQZ$66))</f>
        <v>0</v>
      </c>
      <c r="JRC66" s="956">
        <f>MIN(JRC60*$C$65,Application!$AO$636-SUM('15 Year Pro Forma'!$E$66:JRB$66))</f>
        <v>0</v>
      </c>
      <c r="JRE66" s="956">
        <f>MIN(JRE60*$C$65,Application!$AO$636-SUM('15 Year Pro Forma'!$E$66:JRD$66))</f>
        <v>0</v>
      </c>
      <c r="JRG66" s="956">
        <f>MIN(JRG60*$C$65,Application!$AO$636-SUM('15 Year Pro Forma'!$E$66:JRF$66))</f>
        <v>0</v>
      </c>
      <c r="JRI66" s="956">
        <f>MIN(JRI60*$C$65,Application!$AO$636-SUM('15 Year Pro Forma'!$E$66:JRH$66))</f>
        <v>0</v>
      </c>
      <c r="JRK66" s="956">
        <f>MIN(JRK60*$C$65,Application!$AO$636-SUM('15 Year Pro Forma'!$E$66:JRJ$66))</f>
        <v>0</v>
      </c>
      <c r="JRM66" s="956">
        <f>MIN(JRM60*$C$65,Application!$AO$636-SUM('15 Year Pro Forma'!$E$66:JRL$66))</f>
        <v>0</v>
      </c>
      <c r="JRO66" s="956">
        <f>MIN(JRO60*$C$65,Application!$AO$636-SUM('15 Year Pro Forma'!$E$66:JRN$66))</f>
        <v>0</v>
      </c>
      <c r="JRQ66" s="956">
        <f>MIN(JRQ60*$C$65,Application!$AO$636-SUM('15 Year Pro Forma'!$E$66:JRP$66))</f>
        <v>0</v>
      </c>
      <c r="JRS66" s="956">
        <f>MIN(JRS60*$C$65,Application!$AO$636-SUM('15 Year Pro Forma'!$E$66:JRR$66))</f>
        <v>0</v>
      </c>
      <c r="JRU66" s="956">
        <f>MIN(JRU60*$C$65,Application!$AO$636-SUM('15 Year Pro Forma'!$E$66:JRT$66))</f>
        <v>0</v>
      </c>
      <c r="JRW66" s="956">
        <f>MIN(JRW60*$C$65,Application!$AO$636-SUM('15 Year Pro Forma'!$E$66:JRV$66))</f>
        <v>0</v>
      </c>
      <c r="JRY66" s="956">
        <f>MIN(JRY60*$C$65,Application!$AO$636-SUM('15 Year Pro Forma'!$E$66:JRX$66))</f>
        <v>0</v>
      </c>
      <c r="JSA66" s="956">
        <f>MIN(JSA60*$C$65,Application!$AO$636-SUM('15 Year Pro Forma'!$E$66:JRZ$66))</f>
        <v>0</v>
      </c>
      <c r="JSC66" s="956">
        <f>MIN(JSC60*$C$65,Application!$AO$636-SUM('15 Year Pro Forma'!$E$66:JSB$66))</f>
        <v>0</v>
      </c>
      <c r="JSE66" s="956">
        <f>MIN(JSE60*$C$65,Application!$AO$636-SUM('15 Year Pro Forma'!$E$66:JSD$66))</f>
        <v>0</v>
      </c>
      <c r="JSG66" s="956">
        <f>MIN(JSG60*$C$65,Application!$AO$636-SUM('15 Year Pro Forma'!$E$66:JSF$66))</f>
        <v>0</v>
      </c>
      <c r="JSI66" s="956">
        <f>MIN(JSI60*$C$65,Application!$AO$636-SUM('15 Year Pro Forma'!$E$66:JSH$66))</f>
        <v>0</v>
      </c>
      <c r="JSK66" s="956">
        <f>MIN(JSK60*$C$65,Application!$AO$636-SUM('15 Year Pro Forma'!$E$66:JSJ$66))</f>
        <v>0</v>
      </c>
      <c r="JSM66" s="956">
        <f>MIN(JSM60*$C$65,Application!$AO$636-SUM('15 Year Pro Forma'!$E$66:JSL$66))</f>
        <v>0</v>
      </c>
      <c r="JSO66" s="956">
        <f>MIN(JSO60*$C$65,Application!$AO$636-SUM('15 Year Pro Forma'!$E$66:JSN$66))</f>
        <v>0</v>
      </c>
      <c r="JSQ66" s="956">
        <f>MIN(JSQ60*$C$65,Application!$AO$636-SUM('15 Year Pro Forma'!$E$66:JSP$66))</f>
        <v>0</v>
      </c>
      <c r="JSS66" s="956">
        <f>MIN(JSS60*$C$65,Application!$AO$636-SUM('15 Year Pro Forma'!$E$66:JSR$66))</f>
        <v>0</v>
      </c>
      <c r="JSU66" s="956">
        <f>MIN(JSU60*$C$65,Application!$AO$636-SUM('15 Year Pro Forma'!$E$66:JST$66))</f>
        <v>0</v>
      </c>
      <c r="JSW66" s="956">
        <f>MIN(JSW60*$C$65,Application!$AO$636-SUM('15 Year Pro Forma'!$E$66:JSV$66))</f>
        <v>0</v>
      </c>
      <c r="JSY66" s="956">
        <f>MIN(JSY60*$C$65,Application!$AO$636-SUM('15 Year Pro Forma'!$E$66:JSX$66))</f>
        <v>0</v>
      </c>
      <c r="JTA66" s="956">
        <f>MIN(JTA60*$C$65,Application!$AO$636-SUM('15 Year Pro Forma'!$E$66:JSZ$66))</f>
        <v>0</v>
      </c>
      <c r="JTC66" s="956">
        <f>MIN(JTC60*$C$65,Application!$AO$636-SUM('15 Year Pro Forma'!$E$66:JTB$66))</f>
        <v>0</v>
      </c>
      <c r="JTE66" s="956">
        <f>MIN(JTE60*$C$65,Application!$AO$636-SUM('15 Year Pro Forma'!$E$66:JTD$66))</f>
        <v>0</v>
      </c>
      <c r="JTG66" s="956">
        <f>MIN(JTG60*$C$65,Application!$AO$636-SUM('15 Year Pro Forma'!$E$66:JTF$66))</f>
        <v>0</v>
      </c>
      <c r="JTI66" s="956">
        <f>MIN(JTI60*$C$65,Application!$AO$636-SUM('15 Year Pro Forma'!$E$66:JTH$66))</f>
        <v>0</v>
      </c>
      <c r="JTK66" s="956">
        <f>MIN(JTK60*$C$65,Application!$AO$636-SUM('15 Year Pro Forma'!$E$66:JTJ$66))</f>
        <v>0</v>
      </c>
      <c r="JTM66" s="956">
        <f>MIN(JTM60*$C$65,Application!$AO$636-SUM('15 Year Pro Forma'!$E$66:JTL$66))</f>
        <v>0</v>
      </c>
      <c r="JTO66" s="956">
        <f>MIN(JTO60*$C$65,Application!$AO$636-SUM('15 Year Pro Forma'!$E$66:JTN$66))</f>
        <v>0</v>
      </c>
      <c r="JTQ66" s="956">
        <f>MIN(JTQ60*$C$65,Application!$AO$636-SUM('15 Year Pro Forma'!$E$66:JTP$66))</f>
        <v>0</v>
      </c>
      <c r="JTS66" s="956">
        <f>MIN(JTS60*$C$65,Application!$AO$636-SUM('15 Year Pro Forma'!$E$66:JTR$66))</f>
        <v>0</v>
      </c>
      <c r="JTU66" s="956">
        <f>MIN(JTU60*$C$65,Application!$AO$636-SUM('15 Year Pro Forma'!$E$66:JTT$66))</f>
        <v>0</v>
      </c>
      <c r="JTW66" s="956">
        <f>MIN(JTW60*$C$65,Application!$AO$636-SUM('15 Year Pro Forma'!$E$66:JTV$66))</f>
        <v>0</v>
      </c>
      <c r="JTY66" s="956">
        <f>MIN(JTY60*$C$65,Application!$AO$636-SUM('15 Year Pro Forma'!$E$66:JTX$66))</f>
        <v>0</v>
      </c>
      <c r="JUA66" s="956">
        <f>MIN(JUA60*$C$65,Application!$AO$636-SUM('15 Year Pro Forma'!$E$66:JTZ$66))</f>
        <v>0</v>
      </c>
      <c r="JUC66" s="956">
        <f>MIN(JUC60*$C$65,Application!$AO$636-SUM('15 Year Pro Forma'!$E$66:JUB$66))</f>
        <v>0</v>
      </c>
      <c r="JUE66" s="956">
        <f>MIN(JUE60*$C$65,Application!$AO$636-SUM('15 Year Pro Forma'!$E$66:JUD$66))</f>
        <v>0</v>
      </c>
      <c r="JUG66" s="956">
        <f>MIN(JUG60*$C$65,Application!$AO$636-SUM('15 Year Pro Forma'!$E$66:JUF$66))</f>
        <v>0</v>
      </c>
      <c r="JUI66" s="956">
        <f>MIN(JUI60*$C$65,Application!$AO$636-SUM('15 Year Pro Forma'!$E$66:JUH$66))</f>
        <v>0</v>
      </c>
      <c r="JUK66" s="956">
        <f>MIN(JUK60*$C$65,Application!$AO$636-SUM('15 Year Pro Forma'!$E$66:JUJ$66))</f>
        <v>0</v>
      </c>
      <c r="JUM66" s="956">
        <f>MIN(JUM60*$C$65,Application!$AO$636-SUM('15 Year Pro Forma'!$E$66:JUL$66))</f>
        <v>0</v>
      </c>
      <c r="JUO66" s="956">
        <f>MIN(JUO60*$C$65,Application!$AO$636-SUM('15 Year Pro Forma'!$E$66:JUN$66))</f>
        <v>0</v>
      </c>
      <c r="JUQ66" s="956">
        <f>MIN(JUQ60*$C$65,Application!$AO$636-SUM('15 Year Pro Forma'!$E$66:JUP$66))</f>
        <v>0</v>
      </c>
      <c r="JUS66" s="956">
        <f>MIN(JUS60*$C$65,Application!$AO$636-SUM('15 Year Pro Forma'!$E$66:JUR$66))</f>
        <v>0</v>
      </c>
      <c r="JUU66" s="956">
        <f>MIN(JUU60*$C$65,Application!$AO$636-SUM('15 Year Pro Forma'!$E$66:JUT$66))</f>
        <v>0</v>
      </c>
      <c r="JUW66" s="956">
        <f>MIN(JUW60*$C$65,Application!$AO$636-SUM('15 Year Pro Forma'!$E$66:JUV$66))</f>
        <v>0</v>
      </c>
      <c r="JUY66" s="956">
        <f>MIN(JUY60*$C$65,Application!$AO$636-SUM('15 Year Pro Forma'!$E$66:JUX$66))</f>
        <v>0</v>
      </c>
      <c r="JVA66" s="956">
        <f>MIN(JVA60*$C$65,Application!$AO$636-SUM('15 Year Pro Forma'!$E$66:JUZ$66))</f>
        <v>0</v>
      </c>
      <c r="JVC66" s="956">
        <f>MIN(JVC60*$C$65,Application!$AO$636-SUM('15 Year Pro Forma'!$E$66:JVB$66))</f>
        <v>0</v>
      </c>
      <c r="JVE66" s="956">
        <f>MIN(JVE60*$C$65,Application!$AO$636-SUM('15 Year Pro Forma'!$E$66:JVD$66))</f>
        <v>0</v>
      </c>
      <c r="JVG66" s="956">
        <f>MIN(JVG60*$C$65,Application!$AO$636-SUM('15 Year Pro Forma'!$E$66:JVF$66))</f>
        <v>0</v>
      </c>
      <c r="JVI66" s="956">
        <f>MIN(JVI60*$C$65,Application!$AO$636-SUM('15 Year Pro Forma'!$E$66:JVH$66))</f>
        <v>0</v>
      </c>
      <c r="JVK66" s="956">
        <f>MIN(JVK60*$C$65,Application!$AO$636-SUM('15 Year Pro Forma'!$E$66:JVJ$66))</f>
        <v>0</v>
      </c>
      <c r="JVM66" s="956">
        <f>MIN(JVM60*$C$65,Application!$AO$636-SUM('15 Year Pro Forma'!$E$66:JVL$66))</f>
        <v>0</v>
      </c>
      <c r="JVO66" s="956">
        <f>MIN(JVO60*$C$65,Application!$AO$636-SUM('15 Year Pro Forma'!$E$66:JVN$66))</f>
        <v>0</v>
      </c>
      <c r="JVQ66" s="956">
        <f>MIN(JVQ60*$C$65,Application!$AO$636-SUM('15 Year Pro Forma'!$E$66:JVP$66))</f>
        <v>0</v>
      </c>
      <c r="JVS66" s="956">
        <f>MIN(JVS60*$C$65,Application!$AO$636-SUM('15 Year Pro Forma'!$E$66:JVR$66))</f>
        <v>0</v>
      </c>
      <c r="JVU66" s="956">
        <f>MIN(JVU60*$C$65,Application!$AO$636-SUM('15 Year Pro Forma'!$E$66:JVT$66))</f>
        <v>0</v>
      </c>
      <c r="JVW66" s="956">
        <f>MIN(JVW60*$C$65,Application!$AO$636-SUM('15 Year Pro Forma'!$E$66:JVV$66))</f>
        <v>0</v>
      </c>
      <c r="JVY66" s="956">
        <f>MIN(JVY60*$C$65,Application!$AO$636-SUM('15 Year Pro Forma'!$E$66:JVX$66))</f>
        <v>0</v>
      </c>
      <c r="JWA66" s="956">
        <f>MIN(JWA60*$C$65,Application!$AO$636-SUM('15 Year Pro Forma'!$E$66:JVZ$66))</f>
        <v>0</v>
      </c>
      <c r="JWC66" s="956">
        <f>MIN(JWC60*$C$65,Application!$AO$636-SUM('15 Year Pro Forma'!$E$66:JWB$66))</f>
        <v>0</v>
      </c>
      <c r="JWE66" s="956">
        <f>MIN(JWE60*$C$65,Application!$AO$636-SUM('15 Year Pro Forma'!$E$66:JWD$66))</f>
        <v>0</v>
      </c>
      <c r="JWG66" s="956">
        <f>MIN(JWG60*$C$65,Application!$AO$636-SUM('15 Year Pro Forma'!$E$66:JWF$66))</f>
        <v>0</v>
      </c>
      <c r="JWI66" s="956">
        <f>MIN(JWI60*$C$65,Application!$AO$636-SUM('15 Year Pro Forma'!$E$66:JWH$66))</f>
        <v>0</v>
      </c>
      <c r="JWK66" s="956">
        <f>MIN(JWK60*$C$65,Application!$AO$636-SUM('15 Year Pro Forma'!$E$66:JWJ$66))</f>
        <v>0</v>
      </c>
      <c r="JWM66" s="956">
        <f>MIN(JWM60*$C$65,Application!$AO$636-SUM('15 Year Pro Forma'!$E$66:JWL$66))</f>
        <v>0</v>
      </c>
      <c r="JWO66" s="956">
        <f>MIN(JWO60*$C$65,Application!$AO$636-SUM('15 Year Pro Forma'!$E$66:JWN$66))</f>
        <v>0</v>
      </c>
      <c r="JWQ66" s="956">
        <f>MIN(JWQ60*$C$65,Application!$AO$636-SUM('15 Year Pro Forma'!$E$66:JWP$66))</f>
        <v>0</v>
      </c>
      <c r="JWS66" s="956">
        <f>MIN(JWS60*$C$65,Application!$AO$636-SUM('15 Year Pro Forma'!$E$66:JWR$66))</f>
        <v>0</v>
      </c>
      <c r="JWU66" s="956">
        <f>MIN(JWU60*$C$65,Application!$AO$636-SUM('15 Year Pro Forma'!$E$66:JWT$66))</f>
        <v>0</v>
      </c>
      <c r="JWW66" s="956">
        <f>MIN(JWW60*$C$65,Application!$AO$636-SUM('15 Year Pro Forma'!$E$66:JWV$66))</f>
        <v>0</v>
      </c>
      <c r="JWY66" s="956">
        <f>MIN(JWY60*$C$65,Application!$AO$636-SUM('15 Year Pro Forma'!$E$66:JWX$66))</f>
        <v>0</v>
      </c>
      <c r="JXA66" s="956">
        <f>MIN(JXA60*$C$65,Application!$AO$636-SUM('15 Year Pro Forma'!$E$66:JWZ$66))</f>
        <v>0</v>
      </c>
      <c r="JXC66" s="956">
        <f>MIN(JXC60*$C$65,Application!$AO$636-SUM('15 Year Pro Forma'!$E$66:JXB$66))</f>
        <v>0</v>
      </c>
      <c r="JXE66" s="956">
        <f>MIN(JXE60*$C$65,Application!$AO$636-SUM('15 Year Pro Forma'!$E$66:JXD$66))</f>
        <v>0</v>
      </c>
      <c r="JXG66" s="956">
        <f>MIN(JXG60*$C$65,Application!$AO$636-SUM('15 Year Pro Forma'!$E$66:JXF$66))</f>
        <v>0</v>
      </c>
      <c r="JXI66" s="956">
        <f>MIN(JXI60*$C$65,Application!$AO$636-SUM('15 Year Pro Forma'!$E$66:JXH$66))</f>
        <v>0</v>
      </c>
      <c r="JXK66" s="956">
        <f>MIN(JXK60*$C$65,Application!$AO$636-SUM('15 Year Pro Forma'!$E$66:JXJ$66))</f>
        <v>0</v>
      </c>
      <c r="JXM66" s="956">
        <f>MIN(JXM60*$C$65,Application!$AO$636-SUM('15 Year Pro Forma'!$E$66:JXL$66))</f>
        <v>0</v>
      </c>
      <c r="JXO66" s="956">
        <f>MIN(JXO60*$C$65,Application!$AO$636-SUM('15 Year Pro Forma'!$E$66:JXN$66))</f>
        <v>0</v>
      </c>
      <c r="JXQ66" s="956">
        <f>MIN(JXQ60*$C$65,Application!$AO$636-SUM('15 Year Pro Forma'!$E$66:JXP$66))</f>
        <v>0</v>
      </c>
      <c r="JXS66" s="956">
        <f>MIN(JXS60*$C$65,Application!$AO$636-SUM('15 Year Pro Forma'!$E$66:JXR$66))</f>
        <v>0</v>
      </c>
      <c r="JXU66" s="956">
        <f>MIN(JXU60*$C$65,Application!$AO$636-SUM('15 Year Pro Forma'!$E$66:JXT$66))</f>
        <v>0</v>
      </c>
      <c r="JXW66" s="956">
        <f>MIN(JXW60*$C$65,Application!$AO$636-SUM('15 Year Pro Forma'!$E$66:JXV$66))</f>
        <v>0</v>
      </c>
      <c r="JXY66" s="956">
        <f>MIN(JXY60*$C$65,Application!$AO$636-SUM('15 Year Pro Forma'!$E$66:JXX$66))</f>
        <v>0</v>
      </c>
      <c r="JYA66" s="956">
        <f>MIN(JYA60*$C$65,Application!$AO$636-SUM('15 Year Pro Forma'!$E$66:JXZ$66))</f>
        <v>0</v>
      </c>
      <c r="JYC66" s="956">
        <f>MIN(JYC60*$C$65,Application!$AO$636-SUM('15 Year Pro Forma'!$E$66:JYB$66))</f>
        <v>0</v>
      </c>
      <c r="JYE66" s="956">
        <f>MIN(JYE60*$C$65,Application!$AO$636-SUM('15 Year Pro Forma'!$E$66:JYD$66))</f>
        <v>0</v>
      </c>
      <c r="JYG66" s="956">
        <f>MIN(JYG60*$C$65,Application!$AO$636-SUM('15 Year Pro Forma'!$E$66:JYF$66))</f>
        <v>0</v>
      </c>
      <c r="JYI66" s="956">
        <f>MIN(JYI60*$C$65,Application!$AO$636-SUM('15 Year Pro Forma'!$E$66:JYH$66))</f>
        <v>0</v>
      </c>
      <c r="JYK66" s="956">
        <f>MIN(JYK60*$C$65,Application!$AO$636-SUM('15 Year Pro Forma'!$E$66:JYJ$66))</f>
        <v>0</v>
      </c>
      <c r="JYM66" s="956">
        <f>MIN(JYM60*$C$65,Application!$AO$636-SUM('15 Year Pro Forma'!$E$66:JYL$66))</f>
        <v>0</v>
      </c>
      <c r="JYO66" s="956">
        <f>MIN(JYO60*$C$65,Application!$AO$636-SUM('15 Year Pro Forma'!$E$66:JYN$66))</f>
        <v>0</v>
      </c>
      <c r="JYQ66" s="956">
        <f>MIN(JYQ60*$C$65,Application!$AO$636-SUM('15 Year Pro Forma'!$E$66:JYP$66))</f>
        <v>0</v>
      </c>
      <c r="JYS66" s="956">
        <f>MIN(JYS60*$C$65,Application!$AO$636-SUM('15 Year Pro Forma'!$E$66:JYR$66))</f>
        <v>0</v>
      </c>
      <c r="JYU66" s="956">
        <f>MIN(JYU60*$C$65,Application!$AO$636-SUM('15 Year Pro Forma'!$E$66:JYT$66))</f>
        <v>0</v>
      </c>
      <c r="JYW66" s="956">
        <f>MIN(JYW60*$C$65,Application!$AO$636-SUM('15 Year Pro Forma'!$E$66:JYV$66))</f>
        <v>0</v>
      </c>
      <c r="JYY66" s="956">
        <f>MIN(JYY60*$C$65,Application!$AO$636-SUM('15 Year Pro Forma'!$E$66:JYX$66))</f>
        <v>0</v>
      </c>
      <c r="JZA66" s="956">
        <f>MIN(JZA60*$C$65,Application!$AO$636-SUM('15 Year Pro Forma'!$E$66:JYZ$66))</f>
        <v>0</v>
      </c>
      <c r="JZC66" s="956">
        <f>MIN(JZC60*$C$65,Application!$AO$636-SUM('15 Year Pro Forma'!$E$66:JZB$66))</f>
        <v>0</v>
      </c>
      <c r="JZE66" s="956">
        <f>MIN(JZE60*$C$65,Application!$AO$636-SUM('15 Year Pro Forma'!$E$66:JZD$66))</f>
        <v>0</v>
      </c>
      <c r="JZG66" s="956">
        <f>MIN(JZG60*$C$65,Application!$AO$636-SUM('15 Year Pro Forma'!$E$66:JZF$66))</f>
        <v>0</v>
      </c>
      <c r="JZI66" s="956">
        <f>MIN(JZI60*$C$65,Application!$AO$636-SUM('15 Year Pro Forma'!$E$66:JZH$66))</f>
        <v>0</v>
      </c>
      <c r="JZK66" s="956">
        <f>MIN(JZK60*$C$65,Application!$AO$636-SUM('15 Year Pro Forma'!$E$66:JZJ$66))</f>
        <v>0</v>
      </c>
      <c r="JZM66" s="956">
        <f>MIN(JZM60*$C$65,Application!$AO$636-SUM('15 Year Pro Forma'!$E$66:JZL$66))</f>
        <v>0</v>
      </c>
      <c r="JZO66" s="956">
        <f>MIN(JZO60*$C$65,Application!$AO$636-SUM('15 Year Pro Forma'!$E$66:JZN$66))</f>
        <v>0</v>
      </c>
      <c r="JZQ66" s="956">
        <f>MIN(JZQ60*$C$65,Application!$AO$636-SUM('15 Year Pro Forma'!$E$66:JZP$66))</f>
        <v>0</v>
      </c>
      <c r="JZS66" s="956">
        <f>MIN(JZS60*$C$65,Application!$AO$636-SUM('15 Year Pro Forma'!$E$66:JZR$66))</f>
        <v>0</v>
      </c>
      <c r="JZU66" s="956">
        <f>MIN(JZU60*$C$65,Application!$AO$636-SUM('15 Year Pro Forma'!$E$66:JZT$66))</f>
        <v>0</v>
      </c>
      <c r="JZW66" s="956">
        <f>MIN(JZW60*$C$65,Application!$AO$636-SUM('15 Year Pro Forma'!$E$66:JZV$66))</f>
        <v>0</v>
      </c>
      <c r="JZY66" s="956">
        <f>MIN(JZY60*$C$65,Application!$AO$636-SUM('15 Year Pro Forma'!$E$66:JZX$66))</f>
        <v>0</v>
      </c>
      <c r="KAA66" s="956">
        <f>MIN(KAA60*$C$65,Application!$AO$636-SUM('15 Year Pro Forma'!$E$66:JZZ$66))</f>
        <v>0</v>
      </c>
      <c r="KAC66" s="956">
        <f>MIN(KAC60*$C$65,Application!$AO$636-SUM('15 Year Pro Forma'!$E$66:KAB$66))</f>
        <v>0</v>
      </c>
      <c r="KAE66" s="956">
        <f>MIN(KAE60*$C$65,Application!$AO$636-SUM('15 Year Pro Forma'!$E$66:KAD$66))</f>
        <v>0</v>
      </c>
      <c r="KAG66" s="956">
        <f>MIN(KAG60*$C$65,Application!$AO$636-SUM('15 Year Pro Forma'!$E$66:KAF$66))</f>
        <v>0</v>
      </c>
      <c r="KAI66" s="956">
        <f>MIN(KAI60*$C$65,Application!$AO$636-SUM('15 Year Pro Forma'!$E$66:KAH$66))</f>
        <v>0</v>
      </c>
      <c r="KAK66" s="956">
        <f>MIN(KAK60*$C$65,Application!$AO$636-SUM('15 Year Pro Forma'!$E$66:KAJ$66))</f>
        <v>0</v>
      </c>
      <c r="KAM66" s="956">
        <f>MIN(KAM60*$C$65,Application!$AO$636-SUM('15 Year Pro Forma'!$E$66:KAL$66))</f>
        <v>0</v>
      </c>
      <c r="KAO66" s="956">
        <f>MIN(KAO60*$C$65,Application!$AO$636-SUM('15 Year Pro Forma'!$E$66:KAN$66))</f>
        <v>0</v>
      </c>
      <c r="KAQ66" s="956">
        <f>MIN(KAQ60*$C$65,Application!$AO$636-SUM('15 Year Pro Forma'!$E$66:KAP$66))</f>
        <v>0</v>
      </c>
      <c r="KAS66" s="956">
        <f>MIN(KAS60*$C$65,Application!$AO$636-SUM('15 Year Pro Forma'!$E$66:KAR$66))</f>
        <v>0</v>
      </c>
      <c r="KAU66" s="956">
        <f>MIN(KAU60*$C$65,Application!$AO$636-SUM('15 Year Pro Forma'!$E$66:KAT$66))</f>
        <v>0</v>
      </c>
      <c r="KAW66" s="956">
        <f>MIN(KAW60*$C$65,Application!$AO$636-SUM('15 Year Pro Forma'!$E$66:KAV$66))</f>
        <v>0</v>
      </c>
      <c r="KAY66" s="956">
        <f>MIN(KAY60*$C$65,Application!$AO$636-SUM('15 Year Pro Forma'!$E$66:KAX$66))</f>
        <v>0</v>
      </c>
      <c r="KBA66" s="956">
        <f>MIN(KBA60*$C$65,Application!$AO$636-SUM('15 Year Pro Forma'!$E$66:KAZ$66))</f>
        <v>0</v>
      </c>
      <c r="KBC66" s="956">
        <f>MIN(KBC60*$C$65,Application!$AO$636-SUM('15 Year Pro Forma'!$E$66:KBB$66))</f>
        <v>0</v>
      </c>
      <c r="KBE66" s="956">
        <f>MIN(KBE60*$C$65,Application!$AO$636-SUM('15 Year Pro Forma'!$E$66:KBD$66))</f>
        <v>0</v>
      </c>
      <c r="KBG66" s="956">
        <f>MIN(KBG60*$C$65,Application!$AO$636-SUM('15 Year Pro Forma'!$E$66:KBF$66))</f>
        <v>0</v>
      </c>
      <c r="KBI66" s="956">
        <f>MIN(KBI60*$C$65,Application!$AO$636-SUM('15 Year Pro Forma'!$E$66:KBH$66))</f>
        <v>0</v>
      </c>
      <c r="KBK66" s="956">
        <f>MIN(KBK60*$C$65,Application!$AO$636-SUM('15 Year Pro Forma'!$E$66:KBJ$66))</f>
        <v>0</v>
      </c>
      <c r="KBM66" s="956">
        <f>MIN(KBM60*$C$65,Application!$AO$636-SUM('15 Year Pro Forma'!$E$66:KBL$66))</f>
        <v>0</v>
      </c>
      <c r="KBO66" s="956">
        <f>MIN(KBO60*$C$65,Application!$AO$636-SUM('15 Year Pro Forma'!$E$66:KBN$66))</f>
        <v>0</v>
      </c>
      <c r="KBQ66" s="956">
        <f>MIN(KBQ60*$C$65,Application!$AO$636-SUM('15 Year Pro Forma'!$E$66:KBP$66))</f>
        <v>0</v>
      </c>
      <c r="KBS66" s="956">
        <f>MIN(KBS60*$C$65,Application!$AO$636-SUM('15 Year Pro Forma'!$E$66:KBR$66))</f>
        <v>0</v>
      </c>
      <c r="KBU66" s="956">
        <f>MIN(KBU60*$C$65,Application!$AO$636-SUM('15 Year Pro Forma'!$E$66:KBT$66))</f>
        <v>0</v>
      </c>
      <c r="KBW66" s="956">
        <f>MIN(KBW60*$C$65,Application!$AO$636-SUM('15 Year Pro Forma'!$E$66:KBV$66))</f>
        <v>0</v>
      </c>
      <c r="KBY66" s="956">
        <f>MIN(KBY60*$C$65,Application!$AO$636-SUM('15 Year Pro Forma'!$E$66:KBX$66))</f>
        <v>0</v>
      </c>
      <c r="KCA66" s="956">
        <f>MIN(KCA60*$C$65,Application!$AO$636-SUM('15 Year Pro Forma'!$E$66:KBZ$66))</f>
        <v>0</v>
      </c>
      <c r="KCC66" s="956">
        <f>MIN(KCC60*$C$65,Application!$AO$636-SUM('15 Year Pro Forma'!$E$66:KCB$66))</f>
        <v>0</v>
      </c>
      <c r="KCE66" s="956">
        <f>MIN(KCE60*$C$65,Application!$AO$636-SUM('15 Year Pro Forma'!$E$66:KCD$66))</f>
        <v>0</v>
      </c>
      <c r="KCG66" s="956">
        <f>MIN(KCG60*$C$65,Application!$AO$636-SUM('15 Year Pro Forma'!$E$66:KCF$66))</f>
        <v>0</v>
      </c>
      <c r="KCI66" s="956">
        <f>MIN(KCI60*$C$65,Application!$AO$636-SUM('15 Year Pro Forma'!$E$66:KCH$66))</f>
        <v>0</v>
      </c>
      <c r="KCK66" s="956">
        <f>MIN(KCK60*$C$65,Application!$AO$636-SUM('15 Year Pro Forma'!$E$66:KCJ$66))</f>
        <v>0</v>
      </c>
      <c r="KCM66" s="956">
        <f>MIN(KCM60*$C$65,Application!$AO$636-SUM('15 Year Pro Forma'!$E$66:KCL$66))</f>
        <v>0</v>
      </c>
      <c r="KCO66" s="956">
        <f>MIN(KCO60*$C$65,Application!$AO$636-SUM('15 Year Pro Forma'!$E$66:KCN$66))</f>
        <v>0</v>
      </c>
      <c r="KCQ66" s="956">
        <f>MIN(KCQ60*$C$65,Application!$AO$636-SUM('15 Year Pro Forma'!$E$66:KCP$66))</f>
        <v>0</v>
      </c>
      <c r="KCS66" s="956">
        <f>MIN(KCS60*$C$65,Application!$AO$636-SUM('15 Year Pro Forma'!$E$66:KCR$66))</f>
        <v>0</v>
      </c>
      <c r="KCU66" s="956">
        <f>MIN(KCU60*$C$65,Application!$AO$636-SUM('15 Year Pro Forma'!$E$66:KCT$66))</f>
        <v>0</v>
      </c>
      <c r="KCW66" s="956">
        <f>MIN(KCW60*$C$65,Application!$AO$636-SUM('15 Year Pro Forma'!$E$66:KCV$66))</f>
        <v>0</v>
      </c>
      <c r="KCY66" s="956">
        <f>MIN(KCY60*$C$65,Application!$AO$636-SUM('15 Year Pro Forma'!$E$66:KCX$66))</f>
        <v>0</v>
      </c>
      <c r="KDA66" s="956">
        <f>MIN(KDA60*$C$65,Application!$AO$636-SUM('15 Year Pro Forma'!$E$66:KCZ$66))</f>
        <v>0</v>
      </c>
      <c r="KDC66" s="956">
        <f>MIN(KDC60*$C$65,Application!$AO$636-SUM('15 Year Pro Forma'!$E$66:KDB$66))</f>
        <v>0</v>
      </c>
      <c r="KDE66" s="956">
        <f>MIN(KDE60*$C$65,Application!$AO$636-SUM('15 Year Pro Forma'!$E$66:KDD$66))</f>
        <v>0</v>
      </c>
      <c r="KDG66" s="956">
        <f>MIN(KDG60*$C$65,Application!$AO$636-SUM('15 Year Pro Forma'!$E$66:KDF$66))</f>
        <v>0</v>
      </c>
      <c r="KDI66" s="956">
        <f>MIN(KDI60*$C$65,Application!$AO$636-SUM('15 Year Pro Forma'!$E$66:KDH$66))</f>
        <v>0</v>
      </c>
      <c r="KDK66" s="956">
        <f>MIN(KDK60*$C$65,Application!$AO$636-SUM('15 Year Pro Forma'!$E$66:KDJ$66))</f>
        <v>0</v>
      </c>
      <c r="KDM66" s="956">
        <f>MIN(KDM60*$C$65,Application!$AO$636-SUM('15 Year Pro Forma'!$E$66:KDL$66))</f>
        <v>0</v>
      </c>
      <c r="KDO66" s="956">
        <f>MIN(KDO60*$C$65,Application!$AO$636-SUM('15 Year Pro Forma'!$E$66:KDN$66))</f>
        <v>0</v>
      </c>
      <c r="KDQ66" s="956">
        <f>MIN(KDQ60*$C$65,Application!$AO$636-SUM('15 Year Pro Forma'!$E$66:KDP$66))</f>
        <v>0</v>
      </c>
      <c r="KDS66" s="956">
        <f>MIN(KDS60*$C$65,Application!$AO$636-SUM('15 Year Pro Forma'!$E$66:KDR$66))</f>
        <v>0</v>
      </c>
      <c r="KDU66" s="956">
        <f>MIN(KDU60*$C$65,Application!$AO$636-SUM('15 Year Pro Forma'!$E$66:KDT$66))</f>
        <v>0</v>
      </c>
      <c r="KDW66" s="956">
        <f>MIN(KDW60*$C$65,Application!$AO$636-SUM('15 Year Pro Forma'!$E$66:KDV$66))</f>
        <v>0</v>
      </c>
      <c r="KDY66" s="956">
        <f>MIN(KDY60*$C$65,Application!$AO$636-SUM('15 Year Pro Forma'!$E$66:KDX$66))</f>
        <v>0</v>
      </c>
      <c r="KEA66" s="956">
        <f>MIN(KEA60*$C$65,Application!$AO$636-SUM('15 Year Pro Forma'!$E$66:KDZ$66))</f>
        <v>0</v>
      </c>
      <c r="KEC66" s="956">
        <f>MIN(KEC60*$C$65,Application!$AO$636-SUM('15 Year Pro Forma'!$E$66:KEB$66))</f>
        <v>0</v>
      </c>
      <c r="KEE66" s="956">
        <f>MIN(KEE60*$C$65,Application!$AO$636-SUM('15 Year Pro Forma'!$E$66:KED$66))</f>
        <v>0</v>
      </c>
      <c r="KEG66" s="956">
        <f>MIN(KEG60*$C$65,Application!$AO$636-SUM('15 Year Pro Forma'!$E$66:KEF$66))</f>
        <v>0</v>
      </c>
      <c r="KEI66" s="956">
        <f>MIN(KEI60*$C$65,Application!$AO$636-SUM('15 Year Pro Forma'!$E$66:KEH$66))</f>
        <v>0</v>
      </c>
      <c r="KEK66" s="956">
        <f>MIN(KEK60*$C$65,Application!$AO$636-SUM('15 Year Pro Forma'!$E$66:KEJ$66))</f>
        <v>0</v>
      </c>
      <c r="KEM66" s="956">
        <f>MIN(KEM60*$C$65,Application!$AO$636-SUM('15 Year Pro Forma'!$E$66:KEL$66))</f>
        <v>0</v>
      </c>
      <c r="KEO66" s="956">
        <f>MIN(KEO60*$C$65,Application!$AO$636-SUM('15 Year Pro Forma'!$E$66:KEN$66))</f>
        <v>0</v>
      </c>
      <c r="KEQ66" s="956">
        <f>MIN(KEQ60*$C$65,Application!$AO$636-SUM('15 Year Pro Forma'!$E$66:KEP$66))</f>
        <v>0</v>
      </c>
      <c r="KES66" s="956">
        <f>MIN(KES60*$C$65,Application!$AO$636-SUM('15 Year Pro Forma'!$E$66:KER$66))</f>
        <v>0</v>
      </c>
      <c r="KEU66" s="956">
        <f>MIN(KEU60*$C$65,Application!$AO$636-SUM('15 Year Pro Forma'!$E$66:KET$66))</f>
        <v>0</v>
      </c>
      <c r="KEW66" s="956">
        <f>MIN(KEW60*$C$65,Application!$AO$636-SUM('15 Year Pro Forma'!$E$66:KEV$66))</f>
        <v>0</v>
      </c>
      <c r="KEY66" s="956">
        <f>MIN(KEY60*$C$65,Application!$AO$636-SUM('15 Year Pro Forma'!$E$66:KEX$66))</f>
        <v>0</v>
      </c>
      <c r="KFA66" s="956">
        <f>MIN(KFA60*$C$65,Application!$AO$636-SUM('15 Year Pro Forma'!$E$66:KEZ$66))</f>
        <v>0</v>
      </c>
      <c r="KFC66" s="956">
        <f>MIN(KFC60*$C$65,Application!$AO$636-SUM('15 Year Pro Forma'!$E$66:KFB$66))</f>
        <v>0</v>
      </c>
      <c r="KFE66" s="956">
        <f>MIN(KFE60*$C$65,Application!$AO$636-SUM('15 Year Pro Forma'!$E$66:KFD$66))</f>
        <v>0</v>
      </c>
      <c r="KFG66" s="956">
        <f>MIN(KFG60*$C$65,Application!$AO$636-SUM('15 Year Pro Forma'!$E$66:KFF$66))</f>
        <v>0</v>
      </c>
      <c r="KFI66" s="956">
        <f>MIN(KFI60*$C$65,Application!$AO$636-SUM('15 Year Pro Forma'!$E$66:KFH$66))</f>
        <v>0</v>
      </c>
      <c r="KFK66" s="956">
        <f>MIN(KFK60*$C$65,Application!$AO$636-SUM('15 Year Pro Forma'!$E$66:KFJ$66))</f>
        <v>0</v>
      </c>
      <c r="KFM66" s="956">
        <f>MIN(KFM60*$C$65,Application!$AO$636-SUM('15 Year Pro Forma'!$E$66:KFL$66))</f>
        <v>0</v>
      </c>
      <c r="KFO66" s="956">
        <f>MIN(KFO60*$C$65,Application!$AO$636-SUM('15 Year Pro Forma'!$E$66:KFN$66))</f>
        <v>0</v>
      </c>
      <c r="KFQ66" s="956">
        <f>MIN(KFQ60*$C$65,Application!$AO$636-SUM('15 Year Pro Forma'!$E$66:KFP$66))</f>
        <v>0</v>
      </c>
      <c r="KFS66" s="956">
        <f>MIN(KFS60*$C$65,Application!$AO$636-SUM('15 Year Pro Forma'!$E$66:KFR$66))</f>
        <v>0</v>
      </c>
      <c r="KFU66" s="956">
        <f>MIN(KFU60*$C$65,Application!$AO$636-SUM('15 Year Pro Forma'!$E$66:KFT$66))</f>
        <v>0</v>
      </c>
      <c r="KFW66" s="956">
        <f>MIN(KFW60*$C$65,Application!$AO$636-SUM('15 Year Pro Forma'!$E$66:KFV$66))</f>
        <v>0</v>
      </c>
      <c r="KFY66" s="956">
        <f>MIN(KFY60*$C$65,Application!$AO$636-SUM('15 Year Pro Forma'!$E$66:KFX$66))</f>
        <v>0</v>
      </c>
      <c r="KGA66" s="956">
        <f>MIN(KGA60*$C$65,Application!$AO$636-SUM('15 Year Pro Forma'!$E$66:KFZ$66))</f>
        <v>0</v>
      </c>
      <c r="KGC66" s="956">
        <f>MIN(KGC60*$C$65,Application!$AO$636-SUM('15 Year Pro Forma'!$E$66:KGB$66))</f>
        <v>0</v>
      </c>
      <c r="KGE66" s="956">
        <f>MIN(KGE60*$C$65,Application!$AO$636-SUM('15 Year Pro Forma'!$E$66:KGD$66))</f>
        <v>0</v>
      </c>
      <c r="KGG66" s="956">
        <f>MIN(KGG60*$C$65,Application!$AO$636-SUM('15 Year Pro Forma'!$E$66:KGF$66))</f>
        <v>0</v>
      </c>
      <c r="KGI66" s="956">
        <f>MIN(KGI60*$C$65,Application!$AO$636-SUM('15 Year Pro Forma'!$E$66:KGH$66))</f>
        <v>0</v>
      </c>
      <c r="KGK66" s="956">
        <f>MIN(KGK60*$C$65,Application!$AO$636-SUM('15 Year Pro Forma'!$E$66:KGJ$66))</f>
        <v>0</v>
      </c>
      <c r="KGM66" s="956">
        <f>MIN(KGM60*$C$65,Application!$AO$636-SUM('15 Year Pro Forma'!$E$66:KGL$66))</f>
        <v>0</v>
      </c>
      <c r="KGO66" s="956">
        <f>MIN(KGO60*$C$65,Application!$AO$636-SUM('15 Year Pro Forma'!$E$66:KGN$66))</f>
        <v>0</v>
      </c>
      <c r="KGQ66" s="956">
        <f>MIN(KGQ60*$C$65,Application!$AO$636-SUM('15 Year Pro Forma'!$E$66:KGP$66))</f>
        <v>0</v>
      </c>
      <c r="KGS66" s="956">
        <f>MIN(KGS60*$C$65,Application!$AO$636-SUM('15 Year Pro Forma'!$E$66:KGR$66))</f>
        <v>0</v>
      </c>
      <c r="KGU66" s="956">
        <f>MIN(KGU60*$C$65,Application!$AO$636-SUM('15 Year Pro Forma'!$E$66:KGT$66))</f>
        <v>0</v>
      </c>
      <c r="KGW66" s="956">
        <f>MIN(KGW60*$C$65,Application!$AO$636-SUM('15 Year Pro Forma'!$E$66:KGV$66))</f>
        <v>0</v>
      </c>
      <c r="KGY66" s="956">
        <f>MIN(KGY60*$C$65,Application!$AO$636-SUM('15 Year Pro Forma'!$E$66:KGX$66))</f>
        <v>0</v>
      </c>
      <c r="KHA66" s="956">
        <f>MIN(KHA60*$C$65,Application!$AO$636-SUM('15 Year Pro Forma'!$E$66:KGZ$66))</f>
        <v>0</v>
      </c>
      <c r="KHC66" s="956">
        <f>MIN(KHC60*$C$65,Application!$AO$636-SUM('15 Year Pro Forma'!$E$66:KHB$66))</f>
        <v>0</v>
      </c>
      <c r="KHE66" s="956">
        <f>MIN(KHE60*$C$65,Application!$AO$636-SUM('15 Year Pro Forma'!$E$66:KHD$66))</f>
        <v>0</v>
      </c>
      <c r="KHG66" s="956">
        <f>MIN(KHG60*$C$65,Application!$AO$636-SUM('15 Year Pro Forma'!$E$66:KHF$66))</f>
        <v>0</v>
      </c>
      <c r="KHI66" s="956">
        <f>MIN(KHI60*$C$65,Application!$AO$636-SUM('15 Year Pro Forma'!$E$66:KHH$66))</f>
        <v>0</v>
      </c>
      <c r="KHK66" s="956">
        <f>MIN(KHK60*$C$65,Application!$AO$636-SUM('15 Year Pro Forma'!$E$66:KHJ$66))</f>
        <v>0</v>
      </c>
      <c r="KHM66" s="956">
        <f>MIN(KHM60*$C$65,Application!$AO$636-SUM('15 Year Pro Forma'!$E$66:KHL$66))</f>
        <v>0</v>
      </c>
      <c r="KHO66" s="956">
        <f>MIN(KHO60*$C$65,Application!$AO$636-SUM('15 Year Pro Forma'!$E$66:KHN$66))</f>
        <v>0</v>
      </c>
      <c r="KHQ66" s="956">
        <f>MIN(KHQ60*$C$65,Application!$AO$636-SUM('15 Year Pro Forma'!$E$66:KHP$66))</f>
        <v>0</v>
      </c>
      <c r="KHS66" s="956">
        <f>MIN(KHS60*$C$65,Application!$AO$636-SUM('15 Year Pro Forma'!$E$66:KHR$66))</f>
        <v>0</v>
      </c>
      <c r="KHU66" s="956">
        <f>MIN(KHU60*$C$65,Application!$AO$636-SUM('15 Year Pro Forma'!$E$66:KHT$66))</f>
        <v>0</v>
      </c>
      <c r="KHW66" s="956">
        <f>MIN(KHW60*$C$65,Application!$AO$636-SUM('15 Year Pro Forma'!$E$66:KHV$66))</f>
        <v>0</v>
      </c>
      <c r="KHY66" s="956">
        <f>MIN(KHY60*$C$65,Application!$AO$636-SUM('15 Year Pro Forma'!$E$66:KHX$66))</f>
        <v>0</v>
      </c>
      <c r="KIA66" s="956">
        <f>MIN(KIA60*$C$65,Application!$AO$636-SUM('15 Year Pro Forma'!$E$66:KHZ$66))</f>
        <v>0</v>
      </c>
      <c r="KIC66" s="956">
        <f>MIN(KIC60*$C$65,Application!$AO$636-SUM('15 Year Pro Forma'!$E$66:KIB$66))</f>
        <v>0</v>
      </c>
      <c r="KIE66" s="956">
        <f>MIN(KIE60*$C$65,Application!$AO$636-SUM('15 Year Pro Forma'!$E$66:KID$66))</f>
        <v>0</v>
      </c>
      <c r="KIG66" s="956">
        <f>MIN(KIG60*$C$65,Application!$AO$636-SUM('15 Year Pro Forma'!$E$66:KIF$66))</f>
        <v>0</v>
      </c>
      <c r="KII66" s="956">
        <f>MIN(KII60*$C$65,Application!$AO$636-SUM('15 Year Pro Forma'!$E$66:KIH$66))</f>
        <v>0</v>
      </c>
      <c r="KIK66" s="956">
        <f>MIN(KIK60*$C$65,Application!$AO$636-SUM('15 Year Pro Forma'!$E$66:KIJ$66))</f>
        <v>0</v>
      </c>
      <c r="KIM66" s="956">
        <f>MIN(KIM60*$C$65,Application!$AO$636-SUM('15 Year Pro Forma'!$E$66:KIL$66))</f>
        <v>0</v>
      </c>
      <c r="KIO66" s="956">
        <f>MIN(KIO60*$C$65,Application!$AO$636-SUM('15 Year Pro Forma'!$E$66:KIN$66))</f>
        <v>0</v>
      </c>
      <c r="KIQ66" s="956">
        <f>MIN(KIQ60*$C$65,Application!$AO$636-SUM('15 Year Pro Forma'!$E$66:KIP$66))</f>
        <v>0</v>
      </c>
      <c r="KIS66" s="956">
        <f>MIN(KIS60*$C$65,Application!$AO$636-SUM('15 Year Pro Forma'!$E$66:KIR$66))</f>
        <v>0</v>
      </c>
      <c r="KIU66" s="956">
        <f>MIN(KIU60*$C$65,Application!$AO$636-SUM('15 Year Pro Forma'!$E$66:KIT$66))</f>
        <v>0</v>
      </c>
      <c r="KIW66" s="956">
        <f>MIN(KIW60*$C$65,Application!$AO$636-SUM('15 Year Pro Forma'!$E$66:KIV$66))</f>
        <v>0</v>
      </c>
      <c r="KIY66" s="956">
        <f>MIN(KIY60*$C$65,Application!$AO$636-SUM('15 Year Pro Forma'!$E$66:KIX$66))</f>
        <v>0</v>
      </c>
      <c r="KJA66" s="956">
        <f>MIN(KJA60*$C$65,Application!$AO$636-SUM('15 Year Pro Forma'!$E$66:KIZ$66))</f>
        <v>0</v>
      </c>
      <c r="KJC66" s="956">
        <f>MIN(KJC60*$C$65,Application!$AO$636-SUM('15 Year Pro Forma'!$E$66:KJB$66))</f>
        <v>0</v>
      </c>
      <c r="KJE66" s="956">
        <f>MIN(KJE60*$C$65,Application!$AO$636-SUM('15 Year Pro Forma'!$E$66:KJD$66))</f>
        <v>0</v>
      </c>
      <c r="KJG66" s="956">
        <f>MIN(KJG60*$C$65,Application!$AO$636-SUM('15 Year Pro Forma'!$E$66:KJF$66))</f>
        <v>0</v>
      </c>
      <c r="KJI66" s="956">
        <f>MIN(KJI60*$C$65,Application!$AO$636-SUM('15 Year Pro Forma'!$E$66:KJH$66))</f>
        <v>0</v>
      </c>
      <c r="KJK66" s="956">
        <f>MIN(KJK60*$C$65,Application!$AO$636-SUM('15 Year Pro Forma'!$E$66:KJJ$66))</f>
        <v>0</v>
      </c>
      <c r="KJM66" s="956">
        <f>MIN(KJM60*$C$65,Application!$AO$636-SUM('15 Year Pro Forma'!$E$66:KJL$66))</f>
        <v>0</v>
      </c>
      <c r="KJO66" s="956">
        <f>MIN(KJO60*$C$65,Application!$AO$636-SUM('15 Year Pro Forma'!$E$66:KJN$66))</f>
        <v>0</v>
      </c>
      <c r="KJQ66" s="956">
        <f>MIN(KJQ60*$C$65,Application!$AO$636-SUM('15 Year Pro Forma'!$E$66:KJP$66))</f>
        <v>0</v>
      </c>
      <c r="KJS66" s="956">
        <f>MIN(KJS60*$C$65,Application!$AO$636-SUM('15 Year Pro Forma'!$E$66:KJR$66))</f>
        <v>0</v>
      </c>
      <c r="KJU66" s="956">
        <f>MIN(KJU60*$C$65,Application!$AO$636-SUM('15 Year Pro Forma'!$E$66:KJT$66))</f>
        <v>0</v>
      </c>
      <c r="KJW66" s="956">
        <f>MIN(KJW60*$C$65,Application!$AO$636-SUM('15 Year Pro Forma'!$E$66:KJV$66))</f>
        <v>0</v>
      </c>
      <c r="KJY66" s="956">
        <f>MIN(KJY60*$C$65,Application!$AO$636-SUM('15 Year Pro Forma'!$E$66:KJX$66))</f>
        <v>0</v>
      </c>
      <c r="KKA66" s="956">
        <f>MIN(KKA60*$C$65,Application!$AO$636-SUM('15 Year Pro Forma'!$E$66:KJZ$66))</f>
        <v>0</v>
      </c>
      <c r="KKC66" s="956">
        <f>MIN(KKC60*$C$65,Application!$AO$636-SUM('15 Year Pro Forma'!$E$66:KKB$66))</f>
        <v>0</v>
      </c>
      <c r="KKE66" s="956">
        <f>MIN(KKE60*$C$65,Application!$AO$636-SUM('15 Year Pro Forma'!$E$66:KKD$66))</f>
        <v>0</v>
      </c>
      <c r="KKG66" s="956">
        <f>MIN(KKG60*$C$65,Application!$AO$636-SUM('15 Year Pro Forma'!$E$66:KKF$66))</f>
        <v>0</v>
      </c>
      <c r="KKI66" s="956">
        <f>MIN(KKI60*$C$65,Application!$AO$636-SUM('15 Year Pro Forma'!$E$66:KKH$66))</f>
        <v>0</v>
      </c>
      <c r="KKK66" s="956">
        <f>MIN(KKK60*$C$65,Application!$AO$636-SUM('15 Year Pro Forma'!$E$66:KKJ$66))</f>
        <v>0</v>
      </c>
      <c r="KKM66" s="956">
        <f>MIN(KKM60*$C$65,Application!$AO$636-SUM('15 Year Pro Forma'!$E$66:KKL$66))</f>
        <v>0</v>
      </c>
      <c r="KKO66" s="956">
        <f>MIN(KKO60*$C$65,Application!$AO$636-SUM('15 Year Pro Forma'!$E$66:KKN$66))</f>
        <v>0</v>
      </c>
      <c r="KKQ66" s="956">
        <f>MIN(KKQ60*$C$65,Application!$AO$636-SUM('15 Year Pro Forma'!$E$66:KKP$66))</f>
        <v>0</v>
      </c>
      <c r="KKS66" s="956">
        <f>MIN(KKS60*$C$65,Application!$AO$636-SUM('15 Year Pro Forma'!$E$66:KKR$66))</f>
        <v>0</v>
      </c>
      <c r="KKU66" s="956">
        <f>MIN(KKU60*$C$65,Application!$AO$636-SUM('15 Year Pro Forma'!$E$66:KKT$66))</f>
        <v>0</v>
      </c>
      <c r="KKW66" s="956">
        <f>MIN(KKW60*$C$65,Application!$AO$636-SUM('15 Year Pro Forma'!$E$66:KKV$66))</f>
        <v>0</v>
      </c>
      <c r="KKY66" s="956">
        <f>MIN(KKY60*$C$65,Application!$AO$636-SUM('15 Year Pro Forma'!$E$66:KKX$66))</f>
        <v>0</v>
      </c>
      <c r="KLA66" s="956">
        <f>MIN(KLA60*$C$65,Application!$AO$636-SUM('15 Year Pro Forma'!$E$66:KKZ$66))</f>
        <v>0</v>
      </c>
      <c r="KLC66" s="956">
        <f>MIN(KLC60*$C$65,Application!$AO$636-SUM('15 Year Pro Forma'!$E$66:KLB$66))</f>
        <v>0</v>
      </c>
      <c r="KLE66" s="956">
        <f>MIN(KLE60*$C$65,Application!$AO$636-SUM('15 Year Pro Forma'!$E$66:KLD$66))</f>
        <v>0</v>
      </c>
      <c r="KLG66" s="956">
        <f>MIN(KLG60*$C$65,Application!$AO$636-SUM('15 Year Pro Forma'!$E$66:KLF$66))</f>
        <v>0</v>
      </c>
      <c r="KLI66" s="956">
        <f>MIN(KLI60*$C$65,Application!$AO$636-SUM('15 Year Pro Forma'!$E$66:KLH$66))</f>
        <v>0</v>
      </c>
      <c r="KLK66" s="956">
        <f>MIN(KLK60*$C$65,Application!$AO$636-SUM('15 Year Pro Forma'!$E$66:KLJ$66))</f>
        <v>0</v>
      </c>
      <c r="KLM66" s="956">
        <f>MIN(KLM60*$C$65,Application!$AO$636-SUM('15 Year Pro Forma'!$E$66:KLL$66))</f>
        <v>0</v>
      </c>
      <c r="KLO66" s="956">
        <f>MIN(KLO60*$C$65,Application!$AO$636-SUM('15 Year Pro Forma'!$E$66:KLN$66))</f>
        <v>0</v>
      </c>
      <c r="KLQ66" s="956">
        <f>MIN(KLQ60*$C$65,Application!$AO$636-SUM('15 Year Pro Forma'!$E$66:KLP$66))</f>
        <v>0</v>
      </c>
      <c r="KLS66" s="956">
        <f>MIN(KLS60*$C$65,Application!$AO$636-SUM('15 Year Pro Forma'!$E$66:KLR$66))</f>
        <v>0</v>
      </c>
      <c r="KLU66" s="956">
        <f>MIN(KLU60*$C$65,Application!$AO$636-SUM('15 Year Pro Forma'!$E$66:KLT$66))</f>
        <v>0</v>
      </c>
      <c r="KLW66" s="956">
        <f>MIN(KLW60*$C$65,Application!$AO$636-SUM('15 Year Pro Forma'!$E$66:KLV$66))</f>
        <v>0</v>
      </c>
      <c r="KLY66" s="956">
        <f>MIN(KLY60*$C$65,Application!$AO$636-SUM('15 Year Pro Forma'!$E$66:KLX$66))</f>
        <v>0</v>
      </c>
      <c r="KMA66" s="956">
        <f>MIN(KMA60*$C$65,Application!$AO$636-SUM('15 Year Pro Forma'!$E$66:KLZ$66))</f>
        <v>0</v>
      </c>
      <c r="KMC66" s="956">
        <f>MIN(KMC60*$C$65,Application!$AO$636-SUM('15 Year Pro Forma'!$E$66:KMB$66))</f>
        <v>0</v>
      </c>
      <c r="KME66" s="956">
        <f>MIN(KME60*$C$65,Application!$AO$636-SUM('15 Year Pro Forma'!$E$66:KMD$66))</f>
        <v>0</v>
      </c>
      <c r="KMG66" s="956">
        <f>MIN(KMG60*$C$65,Application!$AO$636-SUM('15 Year Pro Forma'!$E$66:KMF$66))</f>
        <v>0</v>
      </c>
      <c r="KMI66" s="956">
        <f>MIN(KMI60*$C$65,Application!$AO$636-SUM('15 Year Pro Forma'!$E$66:KMH$66))</f>
        <v>0</v>
      </c>
      <c r="KMK66" s="956">
        <f>MIN(KMK60*$C$65,Application!$AO$636-SUM('15 Year Pro Forma'!$E$66:KMJ$66))</f>
        <v>0</v>
      </c>
      <c r="KMM66" s="956">
        <f>MIN(KMM60*$C$65,Application!$AO$636-SUM('15 Year Pro Forma'!$E$66:KML$66))</f>
        <v>0</v>
      </c>
      <c r="KMO66" s="956">
        <f>MIN(KMO60*$C$65,Application!$AO$636-SUM('15 Year Pro Forma'!$E$66:KMN$66))</f>
        <v>0</v>
      </c>
      <c r="KMQ66" s="956">
        <f>MIN(KMQ60*$C$65,Application!$AO$636-SUM('15 Year Pro Forma'!$E$66:KMP$66))</f>
        <v>0</v>
      </c>
      <c r="KMS66" s="956">
        <f>MIN(KMS60*$C$65,Application!$AO$636-SUM('15 Year Pro Forma'!$E$66:KMR$66))</f>
        <v>0</v>
      </c>
      <c r="KMU66" s="956">
        <f>MIN(KMU60*$C$65,Application!$AO$636-SUM('15 Year Pro Forma'!$E$66:KMT$66))</f>
        <v>0</v>
      </c>
      <c r="KMW66" s="956">
        <f>MIN(KMW60*$C$65,Application!$AO$636-SUM('15 Year Pro Forma'!$E$66:KMV$66))</f>
        <v>0</v>
      </c>
      <c r="KMY66" s="956">
        <f>MIN(KMY60*$C$65,Application!$AO$636-SUM('15 Year Pro Forma'!$E$66:KMX$66))</f>
        <v>0</v>
      </c>
      <c r="KNA66" s="956">
        <f>MIN(KNA60*$C$65,Application!$AO$636-SUM('15 Year Pro Forma'!$E$66:KMZ$66))</f>
        <v>0</v>
      </c>
      <c r="KNC66" s="956">
        <f>MIN(KNC60*$C$65,Application!$AO$636-SUM('15 Year Pro Forma'!$E$66:KNB$66))</f>
        <v>0</v>
      </c>
      <c r="KNE66" s="956">
        <f>MIN(KNE60*$C$65,Application!$AO$636-SUM('15 Year Pro Forma'!$E$66:KND$66))</f>
        <v>0</v>
      </c>
      <c r="KNG66" s="956">
        <f>MIN(KNG60*$C$65,Application!$AO$636-SUM('15 Year Pro Forma'!$E$66:KNF$66))</f>
        <v>0</v>
      </c>
      <c r="KNI66" s="956">
        <f>MIN(KNI60*$C$65,Application!$AO$636-SUM('15 Year Pro Forma'!$E$66:KNH$66))</f>
        <v>0</v>
      </c>
      <c r="KNK66" s="956">
        <f>MIN(KNK60*$C$65,Application!$AO$636-SUM('15 Year Pro Forma'!$E$66:KNJ$66))</f>
        <v>0</v>
      </c>
      <c r="KNM66" s="956">
        <f>MIN(KNM60*$C$65,Application!$AO$636-SUM('15 Year Pro Forma'!$E$66:KNL$66))</f>
        <v>0</v>
      </c>
      <c r="KNO66" s="956">
        <f>MIN(KNO60*$C$65,Application!$AO$636-SUM('15 Year Pro Forma'!$E$66:KNN$66))</f>
        <v>0</v>
      </c>
      <c r="KNQ66" s="956">
        <f>MIN(KNQ60*$C$65,Application!$AO$636-SUM('15 Year Pro Forma'!$E$66:KNP$66))</f>
        <v>0</v>
      </c>
      <c r="KNS66" s="956">
        <f>MIN(KNS60*$C$65,Application!$AO$636-SUM('15 Year Pro Forma'!$E$66:KNR$66))</f>
        <v>0</v>
      </c>
      <c r="KNU66" s="956">
        <f>MIN(KNU60*$C$65,Application!$AO$636-SUM('15 Year Pro Forma'!$E$66:KNT$66))</f>
        <v>0</v>
      </c>
      <c r="KNW66" s="956">
        <f>MIN(KNW60*$C$65,Application!$AO$636-SUM('15 Year Pro Forma'!$E$66:KNV$66))</f>
        <v>0</v>
      </c>
      <c r="KNY66" s="956">
        <f>MIN(KNY60*$C$65,Application!$AO$636-SUM('15 Year Pro Forma'!$E$66:KNX$66))</f>
        <v>0</v>
      </c>
      <c r="KOA66" s="956">
        <f>MIN(KOA60*$C$65,Application!$AO$636-SUM('15 Year Pro Forma'!$E$66:KNZ$66))</f>
        <v>0</v>
      </c>
      <c r="KOC66" s="956">
        <f>MIN(KOC60*$C$65,Application!$AO$636-SUM('15 Year Pro Forma'!$E$66:KOB$66))</f>
        <v>0</v>
      </c>
      <c r="KOE66" s="956">
        <f>MIN(KOE60*$C$65,Application!$AO$636-SUM('15 Year Pro Forma'!$E$66:KOD$66))</f>
        <v>0</v>
      </c>
      <c r="KOG66" s="956">
        <f>MIN(KOG60*$C$65,Application!$AO$636-SUM('15 Year Pro Forma'!$E$66:KOF$66))</f>
        <v>0</v>
      </c>
      <c r="KOI66" s="956">
        <f>MIN(KOI60*$C$65,Application!$AO$636-SUM('15 Year Pro Forma'!$E$66:KOH$66))</f>
        <v>0</v>
      </c>
      <c r="KOK66" s="956">
        <f>MIN(KOK60*$C$65,Application!$AO$636-SUM('15 Year Pro Forma'!$E$66:KOJ$66))</f>
        <v>0</v>
      </c>
      <c r="KOM66" s="956">
        <f>MIN(KOM60*$C$65,Application!$AO$636-SUM('15 Year Pro Forma'!$E$66:KOL$66))</f>
        <v>0</v>
      </c>
      <c r="KOO66" s="956">
        <f>MIN(KOO60*$C$65,Application!$AO$636-SUM('15 Year Pro Forma'!$E$66:KON$66))</f>
        <v>0</v>
      </c>
      <c r="KOQ66" s="956">
        <f>MIN(KOQ60*$C$65,Application!$AO$636-SUM('15 Year Pro Forma'!$E$66:KOP$66))</f>
        <v>0</v>
      </c>
      <c r="KOS66" s="956">
        <f>MIN(KOS60*$C$65,Application!$AO$636-SUM('15 Year Pro Forma'!$E$66:KOR$66))</f>
        <v>0</v>
      </c>
      <c r="KOU66" s="956">
        <f>MIN(KOU60*$C$65,Application!$AO$636-SUM('15 Year Pro Forma'!$E$66:KOT$66))</f>
        <v>0</v>
      </c>
      <c r="KOW66" s="956">
        <f>MIN(KOW60*$C$65,Application!$AO$636-SUM('15 Year Pro Forma'!$E$66:KOV$66))</f>
        <v>0</v>
      </c>
      <c r="KOY66" s="956">
        <f>MIN(KOY60*$C$65,Application!$AO$636-SUM('15 Year Pro Forma'!$E$66:KOX$66))</f>
        <v>0</v>
      </c>
      <c r="KPA66" s="956">
        <f>MIN(KPA60*$C$65,Application!$AO$636-SUM('15 Year Pro Forma'!$E$66:KOZ$66))</f>
        <v>0</v>
      </c>
      <c r="KPC66" s="956">
        <f>MIN(KPC60*$C$65,Application!$AO$636-SUM('15 Year Pro Forma'!$E$66:KPB$66))</f>
        <v>0</v>
      </c>
      <c r="KPE66" s="956">
        <f>MIN(KPE60*$C$65,Application!$AO$636-SUM('15 Year Pro Forma'!$E$66:KPD$66))</f>
        <v>0</v>
      </c>
      <c r="KPG66" s="956">
        <f>MIN(KPG60*$C$65,Application!$AO$636-SUM('15 Year Pro Forma'!$E$66:KPF$66))</f>
        <v>0</v>
      </c>
      <c r="KPI66" s="956">
        <f>MIN(KPI60*$C$65,Application!$AO$636-SUM('15 Year Pro Forma'!$E$66:KPH$66))</f>
        <v>0</v>
      </c>
      <c r="KPK66" s="956">
        <f>MIN(KPK60*$C$65,Application!$AO$636-SUM('15 Year Pro Forma'!$E$66:KPJ$66))</f>
        <v>0</v>
      </c>
      <c r="KPM66" s="956">
        <f>MIN(KPM60*$C$65,Application!$AO$636-SUM('15 Year Pro Forma'!$E$66:KPL$66))</f>
        <v>0</v>
      </c>
      <c r="KPO66" s="956">
        <f>MIN(KPO60*$C$65,Application!$AO$636-SUM('15 Year Pro Forma'!$E$66:KPN$66))</f>
        <v>0</v>
      </c>
      <c r="KPQ66" s="956">
        <f>MIN(KPQ60*$C$65,Application!$AO$636-SUM('15 Year Pro Forma'!$E$66:KPP$66))</f>
        <v>0</v>
      </c>
      <c r="KPS66" s="956">
        <f>MIN(KPS60*$C$65,Application!$AO$636-SUM('15 Year Pro Forma'!$E$66:KPR$66))</f>
        <v>0</v>
      </c>
      <c r="KPU66" s="956">
        <f>MIN(KPU60*$C$65,Application!$AO$636-SUM('15 Year Pro Forma'!$E$66:KPT$66))</f>
        <v>0</v>
      </c>
      <c r="KPW66" s="956">
        <f>MIN(KPW60*$C$65,Application!$AO$636-SUM('15 Year Pro Forma'!$E$66:KPV$66))</f>
        <v>0</v>
      </c>
      <c r="KPY66" s="956">
        <f>MIN(KPY60*$C$65,Application!$AO$636-SUM('15 Year Pro Forma'!$E$66:KPX$66))</f>
        <v>0</v>
      </c>
      <c r="KQA66" s="956">
        <f>MIN(KQA60*$C$65,Application!$AO$636-SUM('15 Year Pro Forma'!$E$66:KPZ$66))</f>
        <v>0</v>
      </c>
      <c r="KQC66" s="956">
        <f>MIN(KQC60*$C$65,Application!$AO$636-SUM('15 Year Pro Forma'!$E$66:KQB$66))</f>
        <v>0</v>
      </c>
      <c r="KQE66" s="956">
        <f>MIN(KQE60*$C$65,Application!$AO$636-SUM('15 Year Pro Forma'!$E$66:KQD$66))</f>
        <v>0</v>
      </c>
      <c r="KQG66" s="956">
        <f>MIN(KQG60*$C$65,Application!$AO$636-SUM('15 Year Pro Forma'!$E$66:KQF$66))</f>
        <v>0</v>
      </c>
      <c r="KQI66" s="956">
        <f>MIN(KQI60*$C$65,Application!$AO$636-SUM('15 Year Pro Forma'!$E$66:KQH$66))</f>
        <v>0</v>
      </c>
      <c r="KQK66" s="956">
        <f>MIN(KQK60*$C$65,Application!$AO$636-SUM('15 Year Pro Forma'!$E$66:KQJ$66))</f>
        <v>0</v>
      </c>
      <c r="KQM66" s="956">
        <f>MIN(KQM60*$C$65,Application!$AO$636-SUM('15 Year Pro Forma'!$E$66:KQL$66))</f>
        <v>0</v>
      </c>
      <c r="KQO66" s="956">
        <f>MIN(KQO60*$C$65,Application!$AO$636-SUM('15 Year Pro Forma'!$E$66:KQN$66))</f>
        <v>0</v>
      </c>
      <c r="KQQ66" s="956">
        <f>MIN(KQQ60*$C$65,Application!$AO$636-SUM('15 Year Pro Forma'!$E$66:KQP$66))</f>
        <v>0</v>
      </c>
      <c r="KQS66" s="956">
        <f>MIN(KQS60*$C$65,Application!$AO$636-SUM('15 Year Pro Forma'!$E$66:KQR$66))</f>
        <v>0</v>
      </c>
      <c r="KQU66" s="956">
        <f>MIN(KQU60*$C$65,Application!$AO$636-SUM('15 Year Pro Forma'!$E$66:KQT$66))</f>
        <v>0</v>
      </c>
      <c r="KQW66" s="956">
        <f>MIN(KQW60*$C$65,Application!$AO$636-SUM('15 Year Pro Forma'!$E$66:KQV$66))</f>
        <v>0</v>
      </c>
      <c r="KQY66" s="956">
        <f>MIN(KQY60*$C$65,Application!$AO$636-SUM('15 Year Pro Forma'!$E$66:KQX$66))</f>
        <v>0</v>
      </c>
      <c r="KRA66" s="956">
        <f>MIN(KRA60*$C$65,Application!$AO$636-SUM('15 Year Pro Forma'!$E$66:KQZ$66))</f>
        <v>0</v>
      </c>
      <c r="KRC66" s="956">
        <f>MIN(KRC60*$C$65,Application!$AO$636-SUM('15 Year Pro Forma'!$E$66:KRB$66))</f>
        <v>0</v>
      </c>
      <c r="KRE66" s="956">
        <f>MIN(KRE60*$C$65,Application!$AO$636-SUM('15 Year Pro Forma'!$E$66:KRD$66))</f>
        <v>0</v>
      </c>
      <c r="KRG66" s="956">
        <f>MIN(KRG60*$C$65,Application!$AO$636-SUM('15 Year Pro Forma'!$E$66:KRF$66))</f>
        <v>0</v>
      </c>
      <c r="KRI66" s="956">
        <f>MIN(KRI60*$C$65,Application!$AO$636-SUM('15 Year Pro Forma'!$E$66:KRH$66))</f>
        <v>0</v>
      </c>
      <c r="KRK66" s="956">
        <f>MIN(KRK60*$C$65,Application!$AO$636-SUM('15 Year Pro Forma'!$E$66:KRJ$66))</f>
        <v>0</v>
      </c>
      <c r="KRM66" s="956">
        <f>MIN(KRM60*$C$65,Application!$AO$636-SUM('15 Year Pro Forma'!$E$66:KRL$66))</f>
        <v>0</v>
      </c>
      <c r="KRO66" s="956">
        <f>MIN(KRO60*$C$65,Application!$AO$636-SUM('15 Year Pro Forma'!$E$66:KRN$66))</f>
        <v>0</v>
      </c>
      <c r="KRQ66" s="956">
        <f>MIN(KRQ60*$C$65,Application!$AO$636-SUM('15 Year Pro Forma'!$E$66:KRP$66))</f>
        <v>0</v>
      </c>
      <c r="KRS66" s="956">
        <f>MIN(KRS60*$C$65,Application!$AO$636-SUM('15 Year Pro Forma'!$E$66:KRR$66))</f>
        <v>0</v>
      </c>
      <c r="KRU66" s="956">
        <f>MIN(KRU60*$C$65,Application!$AO$636-SUM('15 Year Pro Forma'!$E$66:KRT$66))</f>
        <v>0</v>
      </c>
      <c r="KRW66" s="956">
        <f>MIN(KRW60*$C$65,Application!$AO$636-SUM('15 Year Pro Forma'!$E$66:KRV$66))</f>
        <v>0</v>
      </c>
      <c r="KRY66" s="956">
        <f>MIN(KRY60*$C$65,Application!$AO$636-SUM('15 Year Pro Forma'!$E$66:KRX$66))</f>
        <v>0</v>
      </c>
      <c r="KSA66" s="956">
        <f>MIN(KSA60*$C$65,Application!$AO$636-SUM('15 Year Pro Forma'!$E$66:KRZ$66))</f>
        <v>0</v>
      </c>
      <c r="KSC66" s="956">
        <f>MIN(KSC60*$C$65,Application!$AO$636-SUM('15 Year Pro Forma'!$E$66:KSB$66))</f>
        <v>0</v>
      </c>
      <c r="KSE66" s="956">
        <f>MIN(KSE60*$C$65,Application!$AO$636-SUM('15 Year Pro Forma'!$E$66:KSD$66))</f>
        <v>0</v>
      </c>
      <c r="KSG66" s="956">
        <f>MIN(KSG60*$C$65,Application!$AO$636-SUM('15 Year Pro Forma'!$E$66:KSF$66))</f>
        <v>0</v>
      </c>
      <c r="KSI66" s="956">
        <f>MIN(KSI60*$C$65,Application!$AO$636-SUM('15 Year Pro Forma'!$E$66:KSH$66))</f>
        <v>0</v>
      </c>
      <c r="KSK66" s="956">
        <f>MIN(KSK60*$C$65,Application!$AO$636-SUM('15 Year Pro Forma'!$E$66:KSJ$66))</f>
        <v>0</v>
      </c>
      <c r="KSM66" s="956">
        <f>MIN(KSM60*$C$65,Application!$AO$636-SUM('15 Year Pro Forma'!$E$66:KSL$66))</f>
        <v>0</v>
      </c>
      <c r="KSO66" s="956">
        <f>MIN(KSO60*$C$65,Application!$AO$636-SUM('15 Year Pro Forma'!$E$66:KSN$66))</f>
        <v>0</v>
      </c>
      <c r="KSQ66" s="956">
        <f>MIN(KSQ60*$C$65,Application!$AO$636-SUM('15 Year Pro Forma'!$E$66:KSP$66))</f>
        <v>0</v>
      </c>
      <c r="KSS66" s="956">
        <f>MIN(KSS60*$C$65,Application!$AO$636-SUM('15 Year Pro Forma'!$E$66:KSR$66))</f>
        <v>0</v>
      </c>
      <c r="KSU66" s="956">
        <f>MIN(KSU60*$C$65,Application!$AO$636-SUM('15 Year Pro Forma'!$E$66:KST$66))</f>
        <v>0</v>
      </c>
      <c r="KSW66" s="956">
        <f>MIN(KSW60*$C$65,Application!$AO$636-SUM('15 Year Pro Forma'!$E$66:KSV$66))</f>
        <v>0</v>
      </c>
      <c r="KSY66" s="956">
        <f>MIN(KSY60*$C$65,Application!$AO$636-SUM('15 Year Pro Forma'!$E$66:KSX$66))</f>
        <v>0</v>
      </c>
      <c r="KTA66" s="956">
        <f>MIN(KTA60*$C$65,Application!$AO$636-SUM('15 Year Pro Forma'!$E$66:KSZ$66))</f>
        <v>0</v>
      </c>
      <c r="KTC66" s="956">
        <f>MIN(KTC60*$C$65,Application!$AO$636-SUM('15 Year Pro Forma'!$E$66:KTB$66))</f>
        <v>0</v>
      </c>
      <c r="KTE66" s="956">
        <f>MIN(KTE60*$C$65,Application!$AO$636-SUM('15 Year Pro Forma'!$E$66:KTD$66))</f>
        <v>0</v>
      </c>
      <c r="KTG66" s="956">
        <f>MIN(KTG60*$C$65,Application!$AO$636-SUM('15 Year Pro Forma'!$E$66:KTF$66))</f>
        <v>0</v>
      </c>
      <c r="KTI66" s="956">
        <f>MIN(KTI60*$C$65,Application!$AO$636-SUM('15 Year Pro Forma'!$E$66:KTH$66))</f>
        <v>0</v>
      </c>
      <c r="KTK66" s="956">
        <f>MIN(KTK60*$C$65,Application!$AO$636-SUM('15 Year Pro Forma'!$E$66:KTJ$66))</f>
        <v>0</v>
      </c>
      <c r="KTM66" s="956">
        <f>MIN(KTM60*$C$65,Application!$AO$636-SUM('15 Year Pro Forma'!$E$66:KTL$66))</f>
        <v>0</v>
      </c>
      <c r="KTO66" s="956">
        <f>MIN(KTO60*$C$65,Application!$AO$636-SUM('15 Year Pro Forma'!$E$66:KTN$66))</f>
        <v>0</v>
      </c>
      <c r="KTQ66" s="956">
        <f>MIN(KTQ60*$C$65,Application!$AO$636-SUM('15 Year Pro Forma'!$E$66:KTP$66))</f>
        <v>0</v>
      </c>
      <c r="KTS66" s="956">
        <f>MIN(KTS60*$C$65,Application!$AO$636-SUM('15 Year Pro Forma'!$E$66:KTR$66))</f>
        <v>0</v>
      </c>
      <c r="KTU66" s="956">
        <f>MIN(KTU60*$C$65,Application!$AO$636-SUM('15 Year Pro Forma'!$E$66:KTT$66))</f>
        <v>0</v>
      </c>
      <c r="KTW66" s="956">
        <f>MIN(KTW60*$C$65,Application!$AO$636-SUM('15 Year Pro Forma'!$E$66:KTV$66))</f>
        <v>0</v>
      </c>
      <c r="KTY66" s="956">
        <f>MIN(KTY60*$C$65,Application!$AO$636-SUM('15 Year Pro Forma'!$E$66:KTX$66))</f>
        <v>0</v>
      </c>
      <c r="KUA66" s="956">
        <f>MIN(KUA60*$C$65,Application!$AO$636-SUM('15 Year Pro Forma'!$E$66:KTZ$66))</f>
        <v>0</v>
      </c>
      <c r="KUC66" s="956">
        <f>MIN(KUC60*$C$65,Application!$AO$636-SUM('15 Year Pro Forma'!$E$66:KUB$66))</f>
        <v>0</v>
      </c>
      <c r="KUE66" s="956">
        <f>MIN(KUE60*$C$65,Application!$AO$636-SUM('15 Year Pro Forma'!$E$66:KUD$66))</f>
        <v>0</v>
      </c>
      <c r="KUG66" s="956">
        <f>MIN(KUG60*$C$65,Application!$AO$636-SUM('15 Year Pro Forma'!$E$66:KUF$66))</f>
        <v>0</v>
      </c>
      <c r="KUI66" s="956">
        <f>MIN(KUI60*$C$65,Application!$AO$636-SUM('15 Year Pro Forma'!$E$66:KUH$66))</f>
        <v>0</v>
      </c>
      <c r="KUK66" s="956">
        <f>MIN(KUK60*$C$65,Application!$AO$636-SUM('15 Year Pro Forma'!$E$66:KUJ$66))</f>
        <v>0</v>
      </c>
      <c r="KUM66" s="956">
        <f>MIN(KUM60*$C$65,Application!$AO$636-SUM('15 Year Pro Forma'!$E$66:KUL$66))</f>
        <v>0</v>
      </c>
      <c r="KUO66" s="956">
        <f>MIN(KUO60*$C$65,Application!$AO$636-SUM('15 Year Pro Forma'!$E$66:KUN$66))</f>
        <v>0</v>
      </c>
      <c r="KUQ66" s="956">
        <f>MIN(KUQ60*$C$65,Application!$AO$636-SUM('15 Year Pro Forma'!$E$66:KUP$66))</f>
        <v>0</v>
      </c>
      <c r="KUS66" s="956">
        <f>MIN(KUS60*$C$65,Application!$AO$636-SUM('15 Year Pro Forma'!$E$66:KUR$66))</f>
        <v>0</v>
      </c>
      <c r="KUU66" s="956">
        <f>MIN(KUU60*$C$65,Application!$AO$636-SUM('15 Year Pro Forma'!$E$66:KUT$66))</f>
        <v>0</v>
      </c>
      <c r="KUW66" s="956">
        <f>MIN(KUW60*$C$65,Application!$AO$636-SUM('15 Year Pro Forma'!$E$66:KUV$66))</f>
        <v>0</v>
      </c>
      <c r="KUY66" s="956">
        <f>MIN(KUY60*$C$65,Application!$AO$636-SUM('15 Year Pro Forma'!$E$66:KUX$66))</f>
        <v>0</v>
      </c>
      <c r="KVA66" s="956">
        <f>MIN(KVA60*$C$65,Application!$AO$636-SUM('15 Year Pro Forma'!$E$66:KUZ$66))</f>
        <v>0</v>
      </c>
      <c r="KVC66" s="956">
        <f>MIN(KVC60*$C$65,Application!$AO$636-SUM('15 Year Pro Forma'!$E$66:KVB$66))</f>
        <v>0</v>
      </c>
      <c r="KVE66" s="956">
        <f>MIN(KVE60*$C$65,Application!$AO$636-SUM('15 Year Pro Forma'!$E$66:KVD$66))</f>
        <v>0</v>
      </c>
      <c r="KVG66" s="956">
        <f>MIN(KVG60*$C$65,Application!$AO$636-SUM('15 Year Pro Forma'!$E$66:KVF$66))</f>
        <v>0</v>
      </c>
      <c r="KVI66" s="956">
        <f>MIN(KVI60*$C$65,Application!$AO$636-SUM('15 Year Pro Forma'!$E$66:KVH$66))</f>
        <v>0</v>
      </c>
      <c r="KVK66" s="956">
        <f>MIN(KVK60*$C$65,Application!$AO$636-SUM('15 Year Pro Forma'!$E$66:KVJ$66))</f>
        <v>0</v>
      </c>
      <c r="KVM66" s="956">
        <f>MIN(KVM60*$C$65,Application!$AO$636-SUM('15 Year Pro Forma'!$E$66:KVL$66))</f>
        <v>0</v>
      </c>
      <c r="KVO66" s="956">
        <f>MIN(KVO60*$C$65,Application!$AO$636-SUM('15 Year Pro Forma'!$E$66:KVN$66))</f>
        <v>0</v>
      </c>
      <c r="KVQ66" s="956">
        <f>MIN(KVQ60*$C$65,Application!$AO$636-SUM('15 Year Pro Forma'!$E$66:KVP$66))</f>
        <v>0</v>
      </c>
      <c r="KVS66" s="956">
        <f>MIN(KVS60*$C$65,Application!$AO$636-SUM('15 Year Pro Forma'!$E$66:KVR$66))</f>
        <v>0</v>
      </c>
      <c r="KVU66" s="956">
        <f>MIN(KVU60*$C$65,Application!$AO$636-SUM('15 Year Pro Forma'!$E$66:KVT$66))</f>
        <v>0</v>
      </c>
      <c r="KVW66" s="956">
        <f>MIN(KVW60*$C$65,Application!$AO$636-SUM('15 Year Pro Forma'!$E$66:KVV$66))</f>
        <v>0</v>
      </c>
      <c r="KVY66" s="956">
        <f>MIN(KVY60*$C$65,Application!$AO$636-SUM('15 Year Pro Forma'!$E$66:KVX$66))</f>
        <v>0</v>
      </c>
      <c r="KWA66" s="956">
        <f>MIN(KWA60*$C$65,Application!$AO$636-SUM('15 Year Pro Forma'!$E$66:KVZ$66))</f>
        <v>0</v>
      </c>
      <c r="KWC66" s="956">
        <f>MIN(KWC60*$C$65,Application!$AO$636-SUM('15 Year Pro Forma'!$E$66:KWB$66))</f>
        <v>0</v>
      </c>
      <c r="KWE66" s="956">
        <f>MIN(KWE60*$C$65,Application!$AO$636-SUM('15 Year Pro Forma'!$E$66:KWD$66))</f>
        <v>0</v>
      </c>
      <c r="KWG66" s="956">
        <f>MIN(KWG60*$C$65,Application!$AO$636-SUM('15 Year Pro Forma'!$E$66:KWF$66))</f>
        <v>0</v>
      </c>
      <c r="KWI66" s="956">
        <f>MIN(KWI60*$C$65,Application!$AO$636-SUM('15 Year Pro Forma'!$E$66:KWH$66))</f>
        <v>0</v>
      </c>
      <c r="KWK66" s="956">
        <f>MIN(KWK60*$C$65,Application!$AO$636-SUM('15 Year Pro Forma'!$E$66:KWJ$66))</f>
        <v>0</v>
      </c>
      <c r="KWM66" s="956">
        <f>MIN(KWM60*$C$65,Application!$AO$636-SUM('15 Year Pro Forma'!$E$66:KWL$66))</f>
        <v>0</v>
      </c>
      <c r="KWO66" s="956">
        <f>MIN(KWO60*$C$65,Application!$AO$636-SUM('15 Year Pro Forma'!$E$66:KWN$66))</f>
        <v>0</v>
      </c>
      <c r="KWQ66" s="956">
        <f>MIN(KWQ60*$C$65,Application!$AO$636-SUM('15 Year Pro Forma'!$E$66:KWP$66))</f>
        <v>0</v>
      </c>
      <c r="KWS66" s="956">
        <f>MIN(KWS60*$C$65,Application!$AO$636-SUM('15 Year Pro Forma'!$E$66:KWR$66))</f>
        <v>0</v>
      </c>
      <c r="KWU66" s="956">
        <f>MIN(KWU60*$C$65,Application!$AO$636-SUM('15 Year Pro Forma'!$E$66:KWT$66))</f>
        <v>0</v>
      </c>
      <c r="KWW66" s="956">
        <f>MIN(KWW60*$C$65,Application!$AO$636-SUM('15 Year Pro Forma'!$E$66:KWV$66))</f>
        <v>0</v>
      </c>
      <c r="KWY66" s="956">
        <f>MIN(KWY60*$C$65,Application!$AO$636-SUM('15 Year Pro Forma'!$E$66:KWX$66))</f>
        <v>0</v>
      </c>
      <c r="KXA66" s="956">
        <f>MIN(KXA60*$C$65,Application!$AO$636-SUM('15 Year Pro Forma'!$E$66:KWZ$66))</f>
        <v>0</v>
      </c>
      <c r="KXC66" s="956">
        <f>MIN(KXC60*$C$65,Application!$AO$636-SUM('15 Year Pro Forma'!$E$66:KXB$66))</f>
        <v>0</v>
      </c>
      <c r="KXE66" s="956">
        <f>MIN(KXE60*$C$65,Application!$AO$636-SUM('15 Year Pro Forma'!$E$66:KXD$66))</f>
        <v>0</v>
      </c>
      <c r="KXG66" s="956">
        <f>MIN(KXG60*$C$65,Application!$AO$636-SUM('15 Year Pro Forma'!$E$66:KXF$66))</f>
        <v>0</v>
      </c>
      <c r="KXI66" s="956">
        <f>MIN(KXI60*$C$65,Application!$AO$636-SUM('15 Year Pro Forma'!$E$66:KXH$66))</f>
        <v>0</v>
      </c>
      <c r="KXK66" s="956">
        <f>MIN(KXK60*$C$65,Application!$AO$636-SUM('15 Year Pro Forma'!$E$66:KXJ$66))</f>
        <v>0</v>
      </c>
      <c r="KXM66" s="956">
        <f>MIN(KXM60*$C$65,Application!$AO$636-SUM('15 Year Pro Forma'!$E$66:KXL$66))</f>
        <v>0</v>
      </c>
      <c r="KXO66" s="956">
        <f>MIN(KXO60*$C$65,Application!$AO$636-SUM('15 Year Pro Forma'!$E$66:KXN$66))</f>
        <v>0</v>
      </c>
      <c r="KXQ66" s="956">
        <f>MIN(KXQ60*$C$65,Application!$AO$636-SUM('15 Year Pro Forma'!$E$66:KXP$66))</f>
        <v>0</v>
      </c>
      <c r="KXS66" s="956">
        <f>MIN(KXS60*$C$65,Application!$AO$636-SUM('15 Year Pro Forma'!$E$66:KXR$66))</f>
        <v>0</v>
      </c>
      <c r="KXU66" s="956">
        <f>MIN(KXU60*$C$65,Application!$AO$636-SUM('15 Year Pro Forma'!$E$66:KXT$66))</f>
        <v>0</v>
      </c>
      <c r="KXW66" s="956">
        <f>MIN(KXW60*$C$65,Application!$AO$636-SUM('15 Year Pro Forma'!$E$66:KXV$66))</f>
        <v>0</v>
      </c>
      <c r="KXY66" s="956">
        <f>MIN(KXY60*$C$65,Application!$AO$636-SUM('15 Year Pro Forma'!$E$66:KXX$66))</f>
        <v>0</v>
      </c>
      <c r="KYA66" s="956">
        <f>MIN(KYA60*$C$65,Application!$AO$636-SUM('15 Year Pro Forma'!$E$66:KXZ$66))</f>
        <v>0</v>
      </c>
      <c r="KYC66" s="956">
        <f>MIN(KYC60*$C$65,Application!$AO$636-SUM('15 Year Pro Forma'!$E$66:KYB$66))</f>
        <v>0</v>
      </c>
      <c r="KYE66" s="956">
        <f>MIN(KYE60*$C$65,Application!$AO$636-SUM('15 Year Pro Forma'!$E$66:KYD$66))</f>
        <v>0</v>
      </c>
      <c r="KYG66" s="956">
        <f>MIN(KYG60*$C$65,Application!$AO$636-SUM('15 Year Pro Forma'!$E$66:KYF$66))</f>
        <v>0</v>
      </c>
      <c r="KYI66" s="956">
        <f>MIN(KYI60*$C$65,Application!$AO$636-SUM('15 Year Pro Forma'!$E$66:KYH$66))</f>
        <v>0</v>
      </c>
      <c r="KYK66" s="956">
        <f>MIN(KYK60*$C$65,Application!$AO$636-SUM('15 Year Pro Forma'!$E$66:KYJ$66))</f>
        <v>0</v>
      </c>
      <c r="KYM66" s="956">
        <f>MIN(KYM60*$C$65,Application!$AO$636-SUM('15 Year Pro Forma'!$E$66:KYL$66))</f>
        <v>0</v>
      </c>
      <c r="KYO66" s="956">
        <f>MIN(KYO60*$C$65,Application!$AO$636-SUM('15 Year Pro Forma'!$E$66:KYN$66))</f>
        <v>0</v>
      </c>
      <c r="KYQ66" s="956">
        <f>MIN(KYQ60*$C$65,Application!$AO$636-SUM('15 Year Pro Forma'!$E$66:KYP$66))</f>
        <v>0</v>
      </c>
      <c r="KYS66" s="956">
        <f>MIN(KYS60*$C$65,Application!$AO$636-SUM('15 Year Pro Forma'!$E$66:KYR$66))</f>
        <v>0</v>
      </c>
      <c r="KYU66" s="956">
        <f>MIN(KYU60*$C$65,Application!$AO$636-SUM('15 Year Pro Forma'!$E$66:KYT$66))</f>
        <v>0</v>
      </c>
      <c r="KYW66" s="956">
        <f>MIN(KYW60*$C$65,Application!$AO$636-SUM('15 Year Pro Forma'!$E$66:KYV$66))</f>
        <v>0</v>
      </c>
      <c r="KYY66" s="956">
        <f>MIN(KYY60*$C$65,Application!$AO$636-SUM('15 Year Pro Forma'!$E$66:KYX$66))</f>
        <v>0</v>
      </c>
      <c r="KZA66" s="956">
        <f>MIN(KZA60*$C$65,Application!$AO$636-SUM('15 Year Pro Forma'!$E$66:KYZ$66))</f>
        <v>0</v>
      </c>
      <c r="KZC66" s="956">
        <f>MIN(KZC60*$C$65,Application!$AO$636-SUM('15 Year Pro Forma'!$E$66:KZB$66))</f>
        <v>0</v>
      </c>
      <c r="KZE66" s="956">
        <f>MIN(KZE60*$C$65,Application!$AO$636-SUM('15 Year Pro Forma'!$E$66:KZD$66))</f>
        <v>0</v>
      </c>
      <c r="KZG66" s="956">
        <f>MIN(KZG60*$C$65,Application!$AO$636-SUM('15 Year Pro Forma'!$E$66:KZF$66))</f>
        <v>0</v>
      </c>
      <c r="KZI66" s="956">
        <f>MIN(KZI60*$C$65,Application!$AO$636-SUM('15 Year Pro Forma'!$E$66:KZH$66))</f>
        <v>0</v>
      </c>
      <c r="KZK66" s="956">
        <f>MIN(KZK60*$C$65,Application!$AO$636-SUM('15 Year Pro Forma'!$E$66:KZJ$66))</f>
        <v>0</v>
      </c>
      <c r="KZM66" s="956">
        <f>MIN(KZM60*$C$65,Application!$AO$636-SUM('15 Year Pro Forma'!$E$66:KZL$66))</f>
        <v>0</v>
      </c>
      <c r="KZO66" s="956">
        <f>MIN(KZO60*$C$65,Application!$AO$636-SUM('15 Year Pro Forma'!$E$66:KZN$66))</f>
        <v>0</v>
      </c>
      <c r="KZQ66" s="956">
        <f>MIN(KZQ60*$C$65,Application!$AO$636-SUM('15 Year Pro Forma'!$E$66:KZP$66))</f>
        <v>0</v>
      </c>
      <c r="KZS66" s="956">
        <f>MIN(KZS60*$C$65,Application!$AO$636-SUM('15 Year Pro Forma'!$E$66:KZR$66))</f>
        <v>0</v>
      </c>
      <c r="KZU66" s="956">
        <f>MIN(KZU60*$C$65,Application!$AO$636-SUM('15 Year Pro Forma'!$E$66:KZT$66))</f>
        <v>0</v>
      </c>
      <c r="KZW66" s="956">
        <f>MIN(KZW60*$C$65,Application!$AO$636-SUM('15 Year Pro Forma'!$E$66:KZV$66))</f>
        <v>0</v>
      </c>
      <c r="KZY66" s="956">
        <f>MIN(KZY60*$C$65,Application!$AO$636-SUM('15 Year Pro Forma'!$E$66:KZX$66))</f>
        <v>0</v>
      </c>
      <c r="LAA66" s="956">
        <f>MIN(LAA60*$C$65,Application!$AO$636-SUM('15 Year Pro Forma'!$E$66:KZZ$66))</f>
        <v>0</v>
      </c>
      <c r="LAC66" s="956">
        <f>MIN(LAC60*$C$65,Application!$AO$636-SUM('15 Year Pro Forma'!$E$66:LAB$66))</f>
        <v>0</v>
      </c>
      <c r="LAE66" s="956">
        <f>MIN(LAE60*$C$65,Application!$AO$636-SUM('15 Year Pro Forma'!$E$66:LAD$66))</f>
        <v>0</v>
      </c>
      <c r="LAG66" s="956">
        <f>MIN(LAG60*$C$65,Application!$AO$636-SUM('15 Year Pro Forma'!$E$66:LAF$66))</f>
        <v>0</v>
      </c>
      <c r="LAI66" s="956">
        <f>MIN(LAI60*$C$65,Application!$AO$636-SUM('15 Year Pro Forma'!$E$66:LAH$66))</f>
        <v>0</v>
      </c>
      <c r="LAK66" s="956">
        <f>MIN(LAK60*$C$65,Application!$AO$636-SUM('15 Year Pro Forma'!$E$66:LAJ$66))</f>
        <v>0</v>
      </c>
      <c r="LAM66" s="956">
        <f>MIN(LAM60*$C$65,Application!$AO$636-SUM('15 Year Pro Forma'!$E$66:LAL$66))</f>
        <v>0</v>
      </c>
      <c r="LAO66" s="956">
        <f>MIN(LAO60*$C$65,Application!$AO$636-SUM('15 Year Pro Forma'!$E$66:LAN$66))</f>
        <v>0</v>
      </c>
      <c r="LAQ66" s="956">
        <f>MIN(LAQ60*$C$65,Application!$AO$636-SUM('15 Year Pro Forma'!$E$66:LAP$66))</f>
        <v>0</v>
      </c>
      <c r="LAS66" s="956">
        <f>MIN(LAS60*$C$65,Application!$AO$636-SUM('15 Year Pro Forma'!$E$66:LAR$66))</f>
        <v>0</v>
      </c>
      <c r="LAU66" s="956">
        <f>MIN(LAU60*$C$65,Application!$AO$636-SUM('15 Year Pro Forma'!$E$66:LAT$66))</f>
        <v>0</v>
      </c>
      <c r="LAW66" s="956">
        <f>MIN(LAW60*$C$65,Application!$AO$636-SUM('15 Year Pro Forma'!$E$66:LAV$66))</f>
        <v>0</v>
      </c>
      <c r="LAY66" s="956">
        <f>MIN(LAY60*$C$65,Application!$AO$636-SUM('15 Year Pro Forma'!$E$66:LAX$66))</f>
        <v>0</v>
      </c>
      <c r="LBA66" s="956">
        <f>MIN(LBA60*$C$65,Application!$AO$636-SUM('15 Year Pro Forma'!$E$66:LAZ$66))</f>
        <v>0</v>
      </c>
      <c r="LBC66" s="956">
        <f>MIN(LBC60*$C$65,Application!$AO$636-SUM('15 Year Pro Forma'!$E$66:LBB$66))</f>
        <v>0</v>
      </c>
      <c r="LBE66" s="956">
        <f>MIN(LBE60*$C$65,Application!$AO$636-SUM('15 Year Pro Forma'!$E$66:LBD$66))</f>
        <v>0</v>
      </c>
      <c r="LBG66" s="956">
        <f>MIN(LBG60*$C$65,Application!$AO$636-SUM('15 Year Pro Forma'!$E$66:LBF$66))</f>
        <v>0</v>
      </c>
      <c r="LBI66" s="956">
        <f>MIN(LBI60*$C$65,Application!$AO$636-SUM('15 Year Pro Forma'!$E$66:LBH$66))</f>
        <v>0</v>
      </c>
      <c r="LBK66" s="956">
        <f>MIN(LBK60*$C$65,Application!$AO$636-SUM('15 Year Pro Forma'!$E$66:LBJ$66))</f>
        <v>0</v>
      </c>
      <c r="LBM66" s="956">
        <f>MIN(LBM60*$C$65,Application!$AO$636-SUM('15 Year Pro Forma'!$E$66:LBL$66))</f>
        <v>0</v>
      </c>
      <c r="LBO66" s="956">
        <f>MIN(LBO60*$C$65,Application!$AO$636-SUM('15 Year Pro Forma'!$E$66:LBN$66))</f>
        <v>0</v>
      </c>
      <c r="LBQ66" s="956">
        <f>MIN(LBQ60*$C$65,Application!$AO$636-SUM('15 Year Pro Forma'!$E$66:LBP$66))</f>
        <v>0</v>
      </c>
      <c r="LBS66" s="956">
        <f>MIN(LBS60*$C$65,Application!$AO$636-SUM('15 Year Pro Forma'!$E$66:LBR$66))</f>
        <v>0</v>
      </c>
      <c r="LBU66" s="956">
        <f>MIN(LBU60*$C$65,Application!$AO$636-SUM('15 Year Pro Forma'!$E$66:LBT$66))</f>
        <v>0</v>
      </c>
      <c r="LBW66" s="956">
        <f>MIN(LBW60*$C$65,Application!$AO$636-SUM('15 Year Pro Forma'!$E$66:LBV$66))</f>
        <v>0</v>
      </c>
      <c r="LBY66" s="956">
        <f>MIN(LBY60*$C$65,Application!$AO$636-SUM('15 Year Pro Forma'!$E$66:LBX$66))</f>
        <v>0</v>
      </c>
      <c r="LCA66" s="956">
        <f>MIN(LCA60*$C$65,Application!$AO$636-SUM('15 Year Pro Forma'!$E$66:LBZ$66))</f>
        <v>0</v>
      </c>
      <c r="LCC66" s="956">
        <f>MIN(LCC60*$C$65,Application!$AO$636-SUM('15 Year Pro Forma'!$E$66:LCB$66))</f>
        <v>0</v>
      </c>
      <c r="LCE66" s="956">
        <f>MIN(LCE60*$C$65,Application!$AO$636-SUM('15 Year Pro Forma'!$E$66:LCD$66))</f>
        <v>0</v>
      </c>
      <c r="LCG66" s="956">
        <f>MIN(LCG60*$C$65,Application!$AO$636-SUM('15 Year Pro Forma'!$E$66:LCF$66))</f>
        <v>0</v>
      </c>
      <c r="LCI66" s="956">
        <f>MIN(LCI60*$C$65,Application!$AO$636-SUM('15 Year Pro Forma'!$E$66:LCH$66))</f>
        <v>0</v>
      </c>
      <c r="LCK66" s="956">
        <f>MIN(LCK60*$C$65,Application!$AO$636-SUM('15 Year Pro Forma'!$E$66:LCJ$66))</f>
        <v>0</v>
      </c>
      <c r="LCM66" s="956">
        <f>MIN(LCM60*$C$65,Application!$AO$636-SUM('15 Year Pro Forma'!$E$66:LCL$66))</f>
        <v>0</v>
      </c>
      <c r="LCO66" s="956">
        <f>MIN(LCO60*$C$65,Application!$AO$636-SUM('15 Year Pro Forma'!$E$66:LCN$66))</f>
        <v>0</v>
      </c>
      <c r="LCQ66" s="956">
        <f>MIN(LCQ60*$C$65,Application!$AO$636-SUM('15 Year Pro Forma'!$E$66:LCP$66))</f>
        <v>0</v>
      </c>
      <c r="LCS66" s="956">
        <f>MIN(LCS60*$C$65,Application!$AO$636-SUM('15 Year Pro Forma'!$E$66:LCR$66))</f>
        <v>0</v>
      </c>
      <c r="LCU66" s="956">
        <f>MIN(LCU60*$C$65,Application!$AO$636-SUM('15 Year Pro Forma'!$E$66:LCT$66))</f>
        <v>0</v>
      </c>
      <c r="LCW66" s="956">
        <f>MIN(LCW60*$C$65,Application!$AO$636-SUM('15 Year Pro Forma'!$E$66:LCV$66))</f>
        <v>0</v>
      </c>
      <c r="LCY66" s="956">
        <f>MIN(LCY60*$C$65,Application!$AO$636-SUM('15 Year Pro Forma'!$E$66:LCX$66))</f>
        <v>0</v>
      </c>
      <c r="LDA66" s="956">
        <f>MIN(LDA60*$C$65,Application!$AO$636-SUM('15 Year Pro Forma'!$E$66:LCZ$66))</f>
        <v>0</v>
      </c>
      <c r="LDC66" s="956">
        <f>MIN(LDC60*$C$65,Application!$AO$636-SUM('15 Year Pro Forma'!$E$66:LDB$66))</f>
        <v>0</v>
      </c>
      <c r="LDE66" s="956">
        <f>MIN(LDE60*$C$65,Application!$AO$636-SUM('15 Year Pro Forma'!$E$66:LDD$66))</f>
        <v>0</v>
      </c>
      <c r="LDG66" s="956">
        <f>MIN(LDG60*$C$65,Application!$AO$636-SUM('15 Year Pro Forma'!$E$66:LDF$66))</f>
        <v>0</v>
      </c>
      <c r="LDI66" s="956">
        <f>MIN(LDI60*$C$65,Application!$AO$636-SUM('15 Year Pro Forma'!$E$66:LDH$66))</f>
        <v>0</v>
      </c>
      <c r="LDK66" s="956">
        <f>MIN(LDK60*$C$65,Application!$AO$636-SUM('15 Year Pro Forma'!$E$66:LDJ$66))</f>
        <v>0</v>
      </c>
      <c r="LDM66" s="956">
        <f>MIN(LDM60*$C$65,Application!$AO$636-SUM('15 Year Pro Forma'!$E$66:LDL$66))</f>
        <v>0</v>
      </c>
      <c r="LDO66" s="956">
        <f>MIN(LDO60*$C$65,Application!$AO$636-SUM('15 Year Pro Forma'!$E$66:LDN$66))</f>
        <v>0</v>
      </c>
      <c r="LDQ66" s="956">
        <f>MIN(LDQ60*$C$65,Application!$AO$636-SUM('15 Year Pro Forma'!$E$66:LDP$66))</f>
        <v>0</v>
      </c>
      <c r="LDS66" s="956">
        <f>MIN(LDS60*$C$65,Application!$AO$636-SUM('15 Year Pro Forma'!$E$66:LDR$66))</f>
        <v>0</v>
      </c>
      <c r="LDU66" s="956">
        <f>MIN(LDU60*$C$65,Application!$AO$636-SUM('15 Year Pro Forma'!$E$66:LDT$66))</f>
        <v>0</v>
      </c>
      <c r="LDW66" s="956">
        <f>MIN(LDW60*$C$65,Application!$AO$636-SUM('15 Year Pro Forma'!$E$66:LDV$66))</f>
        <v>0</v>
      </c>
      <c r="LDY66" s="956">
        <f>MIN(LDY60*$C$65,Application!$AO$636-SUM('15 Year Pro Forma'!$E$66:LDX$66))</f>
        <v>0</v>
      </c>
      <c r="LEA66" s="956">
        <f>MIN(LEA60*$C$65,Application!$AO$636-SUM('15 Year Pro Forma'!$E$66:LDZ$66))</f>
        <v>0</v>
      </c>
      <c r="LEC66" s="956">
        <f>MIN(LEC60*$C$65,Application!$AO$636-SUM('15 Year Pro Forma'!$E$66:LEB$66))</f>
        <v>0</v>
      </c>
      <c r="LEE66" s="956">
        <f>MIN(LEE60*$C$65,Application!$AO$636-SUM('15 Year Pro Forma'!$E$66:LED$66))</f>
        <v>0</v>
      </c>
      <c r="LEG66" s="956">
        <f>MIN(LEG60*$C$65,Application!$AO$636-SUM('15 Year Pro Forma'!$E$66:LEF$66))</f>
        <v>0</v>
      </c>
      <c r="LEI66" s="956">
        <f>MIN(LEI60*$C$65,Application!$AO$636-SUM('15 Year Pro Forma'!$E$66:LEH$66))</f>
        <v>0</v>
      </c>
      <c r="LEK66" s="956">
        <f>MIN(LEK60*$C$65,Application!$AO$636-SUM('15 Year Pro Forma'!$E$66:LEJ$66))</f>
        <v>0</v>
      </c>
      <c r="LEM66" s="956">
        <f>MIN(LEM60*$C$65,Application!$AO$636-SUM('15 Year Pro Forma'!$E$66:LEL$66))</f>
        <v>0</v>
      </c>
      <c r="LEO66" s="956">
        <f>MIN(LEO60*$C$65,Application!$AO$636-SUM('15 Year Pro Forma'!$E$66:LEN$66))</f>
        <v>0</v>
      </c>
      <c r="LEQ66" s="956">
        <f>MIN(LEQ60*$C$65,Application!$AO$636-SUM('15 Year Pro Forma'!$E$66:LEP$66))</f>
        <v>0</v>
      </c>
      <c r="LES66" s="956">
        <f>MIN(LES60*$C$65,Application!$AO$636-SUM('15 Year Pro Forma'!$E$66:LER$66))</f>
        <v>0</v>
      </c>
      <c r="LEU66" s="956">
        <f>MIN(LEU60*$C$65,Application!$AO$636-SUM('15 Year Pro Forma'!$E$66:LET$66))</f>
        <v>0</v>
      </c>
      <c r="LEW66" s="956">
        <f>MIN(LEW60*$C$65,Application!$AO$636-SUM('15 Year Pro Forma'!$E$66:LEV$66))</f>
        <v>0</v>
      </c>
      <c r="LEY66" s="956">
        <f>MIN(LEY60*$C$65,Application!$AO$636-SUM('15 Year Pro Forma'!$E$66:LEX$66))</f>
        <v>0</v>
      </c>
      <c r="LFA66" s="956">
        <f>MIN(LFA60*$C$65,Application!$AO$636-SUM('15 Year Pro Forma'!$E$66:LEZ$66))</f>
        <v>0</v>
      </c>
      <c r="LFC66" s="956">
        <f>MIN(LFC60*$C$65,Application!$AO$636-SUM('15 Year Pro Forma'!$E$66:LFB$66))</f>
        <v>0</v>
      </c>
      <c r="LFE66" s="956">
        <f>MIN(LFE60*$C$65,Application!$AO$636-SUM('15 Year Pro Forma'!$E$66:LFD$66))</f>
        <v>0</v>
      </c>
      <c r="LFG66" s="956">
        <f>MIN(LFG60*$C$65,Application!$AO$636-SUM('15 Year Pro Forma'!$E$66:LFF$66))</f>
        <v>0</v>
      </c>
      <c r="LFI66" s="956">
        <f>MIN(LFI60*$C$65,Application!$AO$636-SUM('15 Year Pro Forma'!$E$66:LFH$66))</f>
        <v>0</v>
      </c>
      <c r="LFK66" s="956">
        <f>MIN(LFK60*$C$65,Application!$AO$636-SUM('15 Year Pro Forma'!$E$66:LFJ$66))</f>
        <v>0</v>
      </c>
      <c r="LFM66" s="956">
        <f>MIN(LFM60*$C$65,Application!$AO$636-SUM('15 Year Pro Forma'!$E$66:LFL$66))</f>
        <v>0</v>
      </c>
      <c r="LFO66" s="956">
        <f>MIN(LFO60*$C$65,Application!$AO$636-SUM('15 Year Pro Forma'!$E$66:LFN$66))</f>
        <v>0</v>
      </c>
      <c r="LFQ66" s="956">
        <f>MIN(LFQ60*$C$65,Application!$AO$636-SUM('15 Year Pro Forma'!$E$66:LFP$66))</f>
        <v>0</v>
      </c>
      <c r="LFS66" s="956">
        <f>MIN(LFS60*$C$65,Application!$AO$636-SUM('15 Year Pro Forma'!$E$66:LFR$66))</f>
        <v>0</v>
      </c>
      <c r="LFU66" s="956">
        <f>MIN(LFU60*$C$65,Application!$AO$636-SUM('15 Year Pro Forma'!$E$66:LFT$66))</f>
        <v>0</v>
      </c>
      <c r="LFW66" s="956">
        <f>MIN(LFW60*$C$65,Application!$AO$636-SUM('15 Year Pro Forma'!$E$66:LFV$66))</f>
        <v>0</v>
      </c>
      <c r="LFY66" s="956">
        <f>MIN(LFY60*$C$65,Application!$AO$636-SUM('15 Year Pro Forma'!$E$66:LFX$66))</f>
        <v>0</v>
      </c>
      <c r="LGA66" s="956">
        <f>MIN(LGA60*$C$65,Application!$AO$636-SUM('15 Year Pro Forma'!$E$66:LFZ$66))</f>
        <v>0</v>
      </c>
      <c r="LGC66" s="956">
        <f>MIN(LGC60*$C$65,Application!$AO$636-SUM('15 Year Pro Forma'!$E$66:LGB$66))</f>
        <v>0</v>
      </c>
      <c r="LGE66" s="956">
        <f>MIN(LGE60*$C$65,Application!$AO$636-SUM('15 Year Pro Forma'!$E$66:LGD$66))</f>
        <v>0</v>
      </c>
      <c r="LGG66" s="956">
        <f>MIN(LGG60*$C$65,Application!$AO$636-SUM('15 Year Pro Forma'!$E$66:LGF$66))</f>
        <v>0</v>
      </c>
      <c r="LGI66" s="956">
        <f>MIN(LGI60*$C$65,Application!$AO$636-SUM('15 Year Pro Forma'!$E$66:LGH$66))</f>
        <v>0</v>
      </c>
      <c r="LGK66" s="956">
        <f>MIN(LGK60*$C$65,Application!$AO$636-SUM('15 Year Pro Forma'!$E$66:LGJ$66))</f>
        <v>0</v>
      </c>
      <c r="LGM66" s="956">
        <f>MIN(LGM60*$C$65,Application!$AO$636-SUM('15 Year Pro Forma'!$E$66:LGL$66))</f>
        <v>0</v>
      </c>
      <c r="LGO66" s="956">
        <f>MIN(LGO60*$C$65,Application!$AO$636-SUM('15 Year Pro Forma'!$E$66:LGN$66))</f>
        <v>0</v>
      </c>
      <c r="LGQ66" s="956">
        <f>MIN(LGQ60*$C$65,Application!$AO$636-SUM('15 Year Pro Forma'!$E$66:LGP$66))</f>
        <v>0</v>
      </c>
      <c r="LGS66" s="956">
        <f>MIN(LGS60*$C$65,Application!$AO$636-SUM('15 Year Pro Forma'!$E$66:LGR$66))</f>
        <v>0</v>
      </c>
      <c r="LGU66" s="956">
        <f>MIN(LGU60*$C$65,Application!$AO$636-SUM('15 Year Pro Forma'!$E$66:LGT$66))</f>
        <v>0</v>
      </c>
      <c r="LGW66" s="956">
        <f>MIN(LGW60*$C$65,Application!$AO$636-SUM('15 Year Pro Forma'!$E$66:LGV$66))</f>
        <v>0</v>
      </c>
      <c r="LGY66" s="956">
        <f>MIN(LGY60*$C$65,Application!$AO$636-SUM('15 Year Pro Forma'!$E$66:LGX$66))</f>
        <v>0</v>
      </c>
      <c r="LHA66" s="956">
        <f>MIN(LHA60*$C$65,Application!$AO$636-SUM('15 Year Pro Forma'!$E$66:LGZ$66))</f>
        <v>0</v>
      </c>
      <c r="LHC66" s="956">
        <f>MIN(LHC60*$C$65,Application!$AO$636-SUM('15 Year Pro Forma'!$E$66:LHB$66))</f>
        <v>0</v>
      </c>
      <c r="LHE66" s="956">
        <f>MIN(LHE60*$C$65,Application!$AO$636-SUM('15 Year Pro Forma'!$E$66:LHD$66))</f>
        <v>0</v>
      </c>
      <c r="LHG66" s="956">
        <f>MIN(LHG60*$C$65,Application!$AO$636-SUM('15 Year Pro Forma'!$E$66:LHF$66))</f>
        <v>0</v>
      </c>
      <c r="LHI66" s="956">
        <f>MIN(LHI60*$C$65,Application!$AO$636-SUM('15 Year Pro Forma'!$E$66:LHH$66))</f>
        <v>0</v>
      </c>
      <c r="LHK66" s="956">
        <f>MIN(LHK60*$C$65,Application!$AO$636-SUM('15 Year Pro Forma'!$E$66:LHJ$66))</f>
        <v>0</v>
      </c>
      <c r="LHM66" s="956">
        <f>MIN(LHM60*$C$65,Application!$AO$636-SUM('15 Year Pro Forma'!$E$66:LHL$66))</f>
        <v>0</v>
      </c>
      <c r="LHO66" s="956">
        <f>MIN(LHO60*$C$65,Application!$AO$636-SUM('15 Year Pro Forma'!$E$66:LHN$66))</f>
        <v>0</v>
      </c>
      <c r="LHQ66" s="956">
        <f>MIN(LHQ60*$C$65,Application!$AO$636-SUM('15 Year Pro Forma'!$E$66:LHP$66))</f>
        <v>0</v>
      </c>
      <c r="LHS66" s="956">
        <f>MIN(LHS60*$C$65,Application!$AO$636-SUM('15 Year Pro Forma'!$E$66:LHR$66))</f>
        <v>0</v>
      </c>
      <c r="LHU66" s="956">
        <f>MIN(LHU60*$C$65,Application!$AO$636-SUM('15 Year Pro Forma'!$E$66:LHT$66))</f>
        <v>0</v>
      </c>
      <c r="LHW66" s="956">
        <f>MIN(LHW60*$C$65,Application!$AO$636-SUM('15 Year Pro Forma'!$E$66:LHV$66))</f>
        <v>0</v>
      </c>
      <c r="LHY66" s="956">
        <f>MIN(LHY60*$C$65,Application!$AO$636-SUM('15 Year Pro Forma'!$E$66:LHX$66))</f>
        <v>0</v>
      </c>
      <c r="LIA66" s="956">
        <f>MIN(LIA60*$C$65,Application!$AO$636-SUM('15 Year Pro Forma'!$E$66:LHZ$66))</f>
        <v>0</v>
      </c>
      <c r="LIC66" s="956">
        <f>MIN(LIC60*$C$65,Application!$AO$636-SUM('15 Year Pro Forma'!$E$66:LIB$66))</f>
        <v>0</v>
      </c>
      <c r="LIE66" s="956">
        <f>MIN(LIE60*$C$65,Application!$AO$636-SUM('15 Year Pro Forma'!$E$66:LID$66))</f>
        <v>0</v>
      </c>
      <c r="LIG66" s="956">
        <f>MIN(LIG60*$C$65,Application!$AO$636-SUM('15 Year Pro Forma'!$E$66:LIF$66))</f>
        <v>0</v>
      </c>
      <c r="LII66" s="956">
        <f>MIN(LII60*$C$65,Application!$AO$636-SUM('15 Year Pro Forma'!$E$66:LIH$66))</f>
        <v>0</v>
      </c>
      <c r="LIK66" s="956">
        <f>MIN(LIK60*$C$65,Application!$AO$636-SUM('15 Year Pro Forma'!$E$66:LIJ$66))</f>
        <v>0</v>
      </c>
      <c r="LIM66" s="956">
        <f>MIN(LIM60*$C$65,Application!$AO$636-SUM('15 Year Pro Forma'!$E$66:LIL$66))</f>
        <v>0</v>
      </c>
      <c r="LIO66" s="956">
        <f>MIN(LIO60*$C$65,Application!$AO$636-SUM('15 Year Pro Forma'!$E$66:LIN$66))</f>
        <v>0</v>
      </c>
      <c r="LIQ66" s="956">
        <f>MIN(LIQ60*$C$65,Application!$AO$636-SUM('15 Year Pro Forma'!$E$66:LIP$66))</f>
        <v>0</v>
      </c>
      <c r="LIS66" s="956">
        <f>MIN(LIS60*$C$65,Application!$AO$636-SUM('15 Year Pro Forma'!$E$66:LIR$66))</f>
        <v>0</v>
      </c>
      <c r="LIU66" s="956">
        <f>MIN(LIU60*$C$65,Application!$AO$636-SUM('15 Year Pro Forma'!$E$66:LIT$66))</f>
        <v>0</v>
      </c>
      <c r="LIW66" s="956">
        <f>MIN(LIW60*$C$65,Application!$AO$636-SUM('15 Year Pro Forma'!$E$66:LIV$66))</f>
        <v>0</v>
      </c>
      <c r="LIY66" s="956">
        <f>MIN(LIY60*$C$65,Application!$AO$636-SUM('15 Year Pro Forma'!$E$66:LIX$66))</f>
        <v>0</v>
      </c>
      <c r="LJA66" s="956">
        <f>MIN(LJA60*$C$65,Application!$AO$636-SUM('15 Year Pro Forma'!$E$66:LIZ$66))</f>
        <v>0</v>
      </c>
      <c r="LJC66" s="956">
        <f>MIN(LJC60*$C$65,Application!$AO$636-SUM('15 Year Pro Forma'!$E$66:LJB$66))</f>
        <v>0</v>
      </c>
      <c r="LJE66" s="956">
        <f>MIN(LJE60*$C$65,Application!$AO$636-SUM('15 Year Pro Forma'!$E$66:LJD$66))</f>
        <v>0</v>
      </c>
      <c r="LJG66" s="956">
        <f>MIN(LJG60*$C$65,Application!$AO$636-SUM('15 Year Pro Forma'!$E$66:LJF$66))</f>
        <v>0</v>
      </c>
      <c r="LJI66" s="956">
        <f>MIN(LJI60*$C$65,Application!$AO$636-SUM('15 Year Pro Forma'!$E$66:LJH$66))</f>
        <v>0</v>
      </c>
      <c r="LJK66" s="956">
        <f>MIN(LJK60*$C$65,Application!$AO$636-SUM('15 Year Pro Forma'!$E$66:LJJ$66))</f>
        <v>0</v>
      </c>
      <c r="LJM66" s="956">
        <f>MIN(LJM60*$C$65,Application!$AO$636-SUM('15 Year Pro Forma'!$E$66:LJL$66))</f>
        <v>0</v>
      </c>
      <c r="LJO66" s="956">
        <f>MIN(LJO60*$C$65,Application!$AO$636-SUM('15 Year Pro Forma'!$E$66:LJN$66))</f>
        <v>0</v>
      </c>
      <c r="LJQ66" s="956">
        <f>MIN(LJQ60*$C$65,Application!$AO$636-SUM('15 Year Pro Forma'!$E$66:LJP$66))</f>
        <v>0</v>
      </c>
      <c r="LJS66" s="956">
        <f>MIN(LJS60*$C$65,Application!$AO$636-SUM('15 Year Pro Forma'!$E$66:LJR$66))</f>
        <v>0</v>
      </c>
      <c r="LJU66" s="956">
        <f>MIN(LJU60*$C$65,Application!$AO$636-SUM('15 Year Pro Forma'!$E$66:LJT$66))</f>
        <v>0</v>
      </c>
      <c r="LJW66" s="956">
        <f>MIN(LJW60*$C$65,Application!$AO$636-SUM('15 Year Pro Forma'!$E$66:LJV$66))</f>
        <v>0</v>
      </c>
      <c r="LJY66" s="956">
        <f>MIN(LJY60*$C$65,Application!$AO$636-SUM('15 Year Pro Forma'!$E$66:LJX$66))</f>
        <v>0</v>
      </c>
      <c r="LKA66" s="956">
        <f>MIN(LKA60*$C$65,Application!$AO$636-SUM('15 Year Pro Forma'!$E$66:LJZ$66))</f>
        <v>0</v>
      </c>
      <c r="LKC66" s="956">
        <f>MIN(LKC60*$C$65,Application!$AO$636-SUM('15 Year Pro Forma'!$E$66:LKB$66))</f>
        <v>0</v>
      </c>
      <c r="LKE66" s="956">
        <f>MIN(LKE60*$C$65,Application!$AO$636-SUM('15 Year Pro Forma'!$E$66:LKD$66))</f>
        <v>0</v>
      </c>
      <c r="LKG66" s="956">
        <f>MIN(LKG60*$C$65,Application!$AO$636-SUM('15 Year Pro Forma'!$E$66:LKF$66))</f>
        <v>0</v>
      </c>
      <c r="LKI66" s="956">
        <f>MIN(LKI60*$C$65,Application!$AO$636-SUM('15 Year Pro Forma'!$E$66:LKH$66))</f>
        <v>0</v>
      </c>
      <c r="LKK66" s="956">
        <f>MIN(LKK60*$C$65,Application!$AO$636-SUM('15 Year Pro Forma'!$E$66:LKJ$66))</f>
        <v>0</v>
      </c>
      <c r="LKM66" s="956">
        <f>MIN(LKM60*$C$65,Application!$AO$636-SUM('15 Year Pro Forma'!$E$66:LKL$66))</f>
        <v>0</v>
      </c>
      <c r="LKO66" s="956">
        <f>MIN(LKO60*$C$65,Application!$AO$636-SUM('15 Year Pro Forma'!$E$66:LKN$66))</f>
        <v>0</v>
      </c>
      <c r="LKQ66" s="956">
        <f>MIN(LKQ60*$C$65,Application!$AO$636-SUM('15 Year Pro Forma'!$E$66:LKP$66))</f>
        <v>0</v>
      </c>
      <c r="LKS66" s="956">
        <f>MIN(LKS60*$C$65,Application!$AO$636-SUM('15 Year Pro Forma'!$E$66:LKR$66))</f>
        <v>0</v>
      </c>
      <c r="LKU66" s="956">
        <f>MIN(LKU60*$C$65,Application!$AO$636-SUM('15 Year Pro Forma'!$E$66:LKT$66))</f>
        <v>0</v>
      </c>
      <c r="LKW66" s="956">
        <f>MIN(LKW60*$C$65,Application!$AO$636-SUM('15 Year Pro Forma'!$E$66:LKV$66))</f>
        <v>0</v>
      </c>
      <c r="LKY66" s="956">
        <f>MIN(LKY60*$C$65,Application!$AO$636-SUM('15 Year Pro Forma'!$E$66:LKX$66))</f>
        <v>0</v>
      </c>
      <c r="LLA66" s="956">
        <f>MIN(LLA60*$C$65,Application!$AO$636-SUM('15 Year Pro Forma'!$E$66:LKZ$66))</f>
        <v>0</v>
      </c>
      <c r="LLC66" s="956">
        <f>MIN(LLC60*$C$65,Application!$AO$636-SUM('15 Year Pro Forma'!$E$66:LLB$66))</f>
        <v>0</v>
      </c>
      <c r="LLE66" s="956">
        <f>MIN(LLE60*$C$65,Application!$AO$636-SUM('15 Year Pro Forma'!$E$66:LLD$66))</f>
        <v>0</v>
      </c>
      <c r="LLG66" s="956">
        <f>MIN(LLG60*$C$65,Application!$AO$636-SUM('15 Year Pro Forma'!$E$66:LLF$66))</f>
        <v>0</v>
      </c>
      <c r="LLI66" s="956">
        <f>MIN(LLI60*$C$65,Application!$AO$636-SUM('15 Year Pro Forma'!$E$66:LLH$66))</f>
        <v>0</v>
      </c>
      <c r="LLK66" s="956">
        <f>MIN(LLK60*$C$65,Application!$AO$636-SUM('15 Year Pro Forma'!$E$66:LLJ$66))</f>
        <v>0</v>
      </c>
      <c r="LLM66" s="956">
        <f>MIN(LLM60*$C$65,Application!$AO$636-SUM('15 Year Pro Forma'!$E$66:LLL$66))</f>
        <v>0</v>
      </c>
      <c r="LLO66" s="956">
        <f>MIN(LLO60*$C$65,Application!$AO$636-SUM('15 Year Pro Forma'!$E$66:LLN$66))</f>
        <v>0</v>
      </c>
      <c r="LLQ66" s="956">
        <f>MIN(LLQ60*$C$65,Application!$AO$636-SUM('15 Year Pro Forma'!$E$66:LLP$66))</f>
        <v>0</v>
      </c>
      <c r="LLS66" s="956">
        <f>MIN(LLS60*$C$65,Application!$AO$636-SUM('15 Year Pro Forma'!$E$66:LLR$66))</f>
        <v>0</v>
      </c>
      <c r="LLU66" s="956">
        <f>MIN(LLU60*$C$65,Application!$AO$636-SUM('15 Year Pro Forma'!$E$66:LLT$66))</f>
        <v>0</v>
      </c>
      <c r="LLW66" s="956">
        <f>MIN(LLW60*$C$65,Application!$AO$636-SUM('15 Year Pro Forma'!$E$66:LLV$66))</f>
        <v>0</v>
      </c>
      <c r="LLY66" s="956">
        <f>MIN(LLY60*$C$65,Application!$AO$636-SUM('15 Year Pro Forma'!$E$66:LLX$66))</f>
        <v>0</v>
      </c>
      <c r="LMA66" s="956">
        <f>MIN(LMA60*$C$65,Application!$AO$636-SUM('15 Year Pro Forma'!$E$66:LLZ$66))</f>
        <v>0</v>
      </c>
      <c r="LMC66" s="956">
        <f>MIN(LMC60*$C$65,Application!$AO$636-SUM('15 Year Pro Forma'!$E$66:LMB$66))</f>
        <v>0</v>
      </c>
      <c r="LME66" s="956">
        <f>MIN(LME60*$C$65,Application!$AO$636-SUM('15 Year Pro Forma'!$E$66:LMD$66))</f>
        <v>0</v>
      </c>
      <c r="LMG66" s="956">
        <f>MIN(LMG60*$C$65,Application!$AO$636-SUM('15 Year Pro Forma'!$E$66:LMF$66))</f>
        <v>0</v>
      </c>
      <c r="LMI66" s="956">
        <f>MIN(LMI60*$C$65,Application!$AO$636-SUM('15 Year Pro Forma'!$E$66:LMH$66))</f>
        <v>0</v>
      </c>
      <c r="LMK66" s="956">
        <f>MIN(LMK60*$C$65,Application!$AO$636-SUM('15 Year Pro Forma'!$E$66:LMJ$66))</f>
        <v>0</v>
      </c>
      <c r="LMM66" s="956">
        <f>MIN(LMM60*$C$65,Application!$AO$636-SUM('15 Year Pro Forma'!$E$66:LML$66))</f>
        <v>0</v>
      </c>
      <c r="LMO66" s="956">
        <f>MIN(LMO60*$C$65,Application!$AO$636-SUM('15 Year Pro Forma'!$E$66:LMN$66))</f>
        <v>0</v>
      </c>
      <c r="LMQ66" s="956">
        <f>MIN(LMQ60*$C$65,Application!$AO$636-SUM('15 Year Pro Forma'!$E$66:LMP$66))</f>
        <v>0</v>
      </c>
      <c r="LMS66" s="956">
        <f>MIN(LMS60*$C$65,Application!$AO$636-SUM('15 Year Pro Forma'!$E$66:LMR$66))</f>
        <v>0</v>
      </c>
      <c r="LMU66" s="956">
        <f>MIN(LMU60*$C$65,Application!$AO$636-SUM('15 Year Pro Forma'!$E$66:LMT$66))</f>
        <v>0</v>
      </c>
      <c r="LMW66" s="956">
        <f>MIN(LMW60*$C$65,Application!$AO$636-SUM('15 Year Pro Forma'!$E$66:LMV$66))</f>
        <v>0</v>
      </c>
      <c r="LMY66" s="956">
        <f>MIN(LMY60*$C$65,Application!$AO$636-SUM('15 Year Pro Forma'!$E$66:LMX$66))</f>
        <v>0</v>
      </c>
      <c r="LNA66" s="956">
        <f>MIN(LNA60*$C$65,Application!$AO$636-SUM('15 Year Pro Forma'!$E$66:LMZ$66))</f>
        <v>0</v>
      </c>
      <c r="LNC66" s="956">
        <f>MIN(LNC60*$C$65,Application!$AO$636-SUM('15 Year Pro Forma'!$E$66:LNB$66))</f>
        <v>0</v>
      </c>
      <c r="LNE66" s="956">
        <f>MIN(LNE60*$C$65,Application!$AO$636-SUM('15 Year Pro Forma'!$E$66:LND$66))</f>
        <v>0</v>
      </c>
      <c r="LNG66" s="956">
        <f>MIN(LNG60*$C$65,Application!$AO$636-SUM('15 Year Pro Forma'!$E$66:LNF$66))</f>
        <v>0</v>
      </c>
      <c r="LNI66" s="956">
        <f>MIN(LNI60*$C$65,Application!$AO$636-SUM('15 Year Pro Forma'!$E$66:LNH$66))</f>
        <v>0</v>
      </c>
      <c r="LNK66" s="956">
        <f>MIN(LNK60*$C$65,Application!$AO$636-SUM('15 Year Pro Forma'!$E$66:LNJ$66))</f>
        <v>0</v>
      </c>
      <c r="LNM66" s="956">
        <f>MIN(LNM60*$C$65,Application!$AO$636-SUM('15 Year Pro Forma'!$E$66:LNL$66))</f>
        <v>0</v>
      </c>
      <c r="LNO66" s="956">
        <f>MIN(LNO60*$C$65,Application!$AO$636-SUM('15 Year Pro Forma'!$E$66:LNN$66))</f>
        <v>0</v>
      </c>
      <c r="LNQ66" s="956">
        <f>MIN(LNQ60*$C$65,Application!$AO$636-SUM('15 Year Pro Forma'!$E$66:LNP$66))</f>
        <v>0</v>
      </c>
      <c r="LNS66" s="956">
        <f>MIN(LNS60*$C$65,Application!$AO$636-SUM('15 Year Pro Forma'!$E$66:LNR$66))</f>
        <v>0</v>
      </c>
      <c r="LNU66" s="956">
        <f>MIN(LNU60*$C$65,Application!$AO$636-SUM('15 Year Pro Forma'!$E$66:LNT$66))</f>
        <v>0</v>
      </c>
      <c r="LNW66" s="956">
        <f>MIN(LNW60*$C$65,Application!$AO$636-SUM('15 Year Pro Forma'!$E$66:LNV$66))</f>
        <v>0</v>
      </c>
      <c r="LNY66" s="956">
        <f>MIN(LNY60*$C$65,Application!$AO$636-SUM('15 Year Pro Forma'!$E$66:LNX$66))</f>
        <v>0</v>
      </c>
      <c r="LOA66" s="956">
        <f>MIN(LOA60*$C$65,Application!$AO$636-SUM('15 Year Pro Forma'!$E$66:LNZ$66))</f>
        <v>0</v>
      </c>
      <c r="LOC66" s="956">
        <f>MIN(LOC60*$C$65,Application!$AO$636-SUM('15 Year Pro Forma'!$E$66:LOB$66))</f>
        <v>0</v>
      </c>
      <c r="LOE66" s="956">
        <f>MIN(LOE60*$C$65,Application!$AO$636-SUM('15 Year Pro Forma'!$E$66:LOD$66))</f>
        <v>0</v>
      </c>
      <c r="LOG66" s="956">
        <f>MIN(LOG60*$C$65,Application!$AO$636-SUM('15 Year Pro Forma'!$E$66:LOF$66))</f>
        <v>0</v>
      </c>
      <c r="LOI66" s="956">
        <f>MIN(LOI60*$C$65,Application!$AO$636-SUM('15 Year Pro Forma'!$E$66:LOH$66))</f>
        <v>0</v>
      </c>
      <c r="LOK66" s="956">
        <f>MIN(LOK60*$C$65,Application!$AO$636-SUM('15 Year Pro Forma'!$E$66:LOJ$66))</f>
        <v>0</v>
      </c>
      <c r="LOM66" s="956">
        <f>MIN(LOM60*$C$65,Application!$AO$636-SUM('15 Year Pro Forma'!$E$66:LOL$66))</f>
        <v>0</v>
      </c>
      <c r="LOO66" s="956">
        <f>MIN(LOO60*$C$65,Application!$AO$636-SUM('15 Year Pro Forma'!$E$66:LON$66))</f>
        <v>0</v>
      </c>
      <c r="LOQ66" s="956">
        <f>MIN(LOQ60*$C$65,Application!$AO$636-SUM('15 Year Pro Forma'!$E$66:LOP$66))</f>
        <v>0</v>
      </c>
      <c r="LOS66" s="956">
        <f>MIN(LOS60*$C$65,Application!$AO$636-SUM('15 Year Pro Forma'!$E$66:LOR$66))</f>
        <v>0</v>
      </c>
      <c r="LOU66" s="956">
        <f>MIN(LOU60*$C$65,Application!$AO$636-SUM('15 Year Pro Forma'!$E$66:LOT$66))</f>
        <v>0</v>
      </c>
      <c r="LOW66" s="956">
        <f>MIN(LOW60*$C$65,Application!$AO$636-SUM('15 Year Pro Forma'!$E$66:LOV$66))</f>
        <v>0</v>
      </c>
      <c r="LOY66" s="956">
        <f>MIN(LOY60*$C$65,Application!$AO$636-SUM('15 Year Pro Forma'!$E$66:LOX$66))</f>
        <v>0</v>
      </c>
      <c r="LPA66" s="956">
        <f>MIN(LPA60*$C$65,Application!$AO$636-SUM('15 Year Pro Forma'!$E$66:LOZ$66))</f>
        <v>0</v>
      </c>
      <c r="LPC66" s="956">
        <f>MIN(LPC60*$C$65,Application!$AO$636-SUM('15 Year Pro Forma'!$E$66:LPB$66))</f>
        <v>0</v>
      </c>
      <c r="LPE66" s="956">
        <f>MIN(LPE60*$C$65,Application!$AO$636-SUM('15 Year Pro Forma'!$E$66:LPD$66))</f>
        <v>0</v>
      </c>
      <c r="LPG66" s="956">
        <f>MIN(LPG60*$C$65,Application!$AO$636-SUM('15 Year Pro Forma'!$E$66:LPF$66))</f>
        <v>0</v>
      </c>
      <c r="LPI66" s="956">
        <f>MIN(LPI60*$C$65,Application!$AO$636-SUM('15 Year Pro Forma'!$E$66:LPH$66))</f>
        <v>0</v>
      </c>
      <c r="LPK66" s="956">
        <f>MIN(LPK60*$C$65,Application!$AO$636-SUM('15 Year Pro Forma'!$E$66:LPJ$66))</f>
        <v>0</v>
      </c>
      <c r="LPM66" s="956">
        <f>MIN(LPM60*$C$65,Application!$AO$636-SUM('15 Year Pro Forma'!$E$66:LPL$66))</f>
        <v>0</v>
      </c>
      <c r="LPO66" s="956">
        <f>MIN(LPO60*$C$65,Application!$AO$636-SUM('15 Year Pro Forma'!$E$66:LPN$66))</f>
        <v>0</v>
      </c>
      <c r="LPQ66" s="956">
        <f>MIN(LPQ60*$C$65,Application!$AO$636-SUM('15 Year Pro Forma'!$E$66:LPP$66))</f>
        <v>0</v>
      </c>
      <c r="LPS66" s="956">
        <f>MIN(LPS60*$C$65,Application!$AO$636-SUM('15 Year Pro Forma'!$E$66:LPR$66))</f>
        <v>0</v>
      </c>
      <c r="LPU66" s="956">
        <f>MIN(LPU60*$C$65,Application!$AO$636-SUM('15 Year Pro Forma'!$E$66:LPT$66))</f>
        <v>0</v>
      </c>
      <c r="LPW66" s="956">
        <f>MIN(LPW60*$C$65,Application!$AO$636-SUM('15 Year Pro Forma'!$E$66:LPV$66))</f>
        <v>0</v>
      </c>
      <c r="LPY66" s="956">
        <f>MIN(LPY60*$C$65,Application!$AO$636-SUM('15 Year Pro Forma'!$E$66:LPX$66))</f>
        <v>0</v>
      </c>
      <c r="LQA66" s="956">
        <f>MIN(LQA60*$C$65,Application!$AO$636-SUM('15 Year Pro Forma'!$E$66:LPZ$66))</f>
        <v>0</v>
      </c>
      <c r="LQC66" s="956">
        <f>MIN(LQC60*$C$65,Application!$AO$636-SUM('15 Year Pro Forma'!$E$66:LQB$66))</f>
        <v>0</v>
      </c>
      <c r="LQE66" s="956">
        <f>MIN(LQE60*$C$65,Application!$AO$636-SUM('15 Year Pro Forma'!$E$66:LQD$66))</f>
        <v>0</v>
      </c>
      <c r="LQG66" s="956">
        <f>MIN(LQG60*$C$65,Application!$AO$636-SUM('15 Year Pro Forma'!$E$66:LQF$66))</f>
        <v>0</v>
      </c>
      <c r="LQI66" s="956">
        <f>MIN(LQI60*$C$65,Application!$AO$636-SUM('15 Year Pro Forma'!$E$66:LQH$66))</f>
        <v>0</v>
      </c>
      <c r="LQK66" s="956">
        <f>MIN(LQK60*$C$65,Application!$AO$636-SUM('15 Year Pro Forma'!$E$66:LQJ$66))</f>
        <v>0</v>
      </c>
      <c r="LQM66" s="956">
        <f>MIN(LQM60*$C$65,Application!$AO$636-SUM('15 Year Pro Forma'!$E$66:LQL$66))</f>
        <v>0</v>
      </c>
      <c r="LQO66" s="956">
        <f>MIN(LQO60*$C$65,Application!$AO$636-SUM('15 Year Pro Forma'!$E$66:LQN$66))</f>
        <v>0</v>
      </c>
      <c r="LQQ66" s="956">
        <f>MIN(LQQ60*$C$65,Application!$AO$636-SUM('15 Year Pro Forma'!$E$66:LQP$66))</f>
        <v>0</v>
      </c>
      <c r="LQS66" s="956">
        <f>MIN(LQS60*$C$65,Application!$AO$636-SUM('15 Year Pro Forma'!$E$66:LQR$66))</f>
        <v>0</v>
      </c>
      <c r="LQU66" s="956">
        <f>MIN(LQU60*$C$65,Application!$AO$636-SUM('15 Year Pro Forma'!$E$66:LQT$66))</f>
        <v>0</v>
      </c>
      <c r="LQW66" s="956">
        <f>MIN(LQW60*$C$65,Application!$AO$636-SUM('15 Year Pro Forma'!$E$66:LQV$66))</f>
        <v>0</v>
      </c>
      <c r="LQY66" s="956">
        <f>MIN(LQY60*$C$65,Application!$AO$636-SUM('15 Year Pro Forma'!$E$66:LQX$66))</f>
        <v>0</v>
      </c>
      <c r="LRA66" s="956">
        <f>MIN(LRA60*$C$65,Application!$AO$636-SUM('15 Year Pro Forma'!$E$66:LQZ$66))</f>
        <v>0</v>
      </c>
      <c r="LRC66" s="956">
        <f>MIN(LRC60*$C$65,Application!$AO$636-SUM('15 Year Pro Forma'!$E$66:LRB$66))</f>
        <v>0</v>
      </c>
      <c r="LRE66" s="956">
        <f>MIN(LRE60*$C$65,Application!$AO$636-SUM('15 Year Pro Forma'!$E$66:LRD$66))</f>
        <v>0</v>
      </c>
      <c r="LRG66" s="956">
        <f>MIN(LRG60*$C$65,Application!$AO$636-SUM('15 Year Pro Forma'!$E$66:LRF$66))</f>
        <v>0</v>
      </c>
      <c r="LRI66" s="956">
        <f>MIN(LRI60*$C$65,Application!$AO$636-SUM('15 Year Pro Forma'!$E$66:LRH$66))</f>
        <v>0</v>
      </c>
      <c r="LRK66" s="956">
        <f>MIN(LRK60*$C$65,Application!$AO$636-SUM('15 Year Pro Forma'!$E$66:LRJ$66))</f>
        <v>0</v>
      </c>
      <c r="LRM66" s="956">
        <f>MIN(LRM60*$C$65,Application!$AO$636-SUM('15 Year Pro Forma'!$E$66:LRL$66))</f>
        <v>0</v>
      </c>
      <c r="LRO66" s="956">
        <f>MIN(LRO60*$C$65,Application!$AO$636-SUM('15 Year Pro Forma'!$E$66:LRN$66))</f>
        <v>0</v>
      </c>
      <c r="LRQ66" s="956">
        <f>MIN(LRQ60*$C$65,Application!$AO$636-SUM('15 Year Pro Forma'!$E$66:LRP$66))</f>
        <v>0</v>
      </c>
      <c r="LRS66" s="956">
        <f>MIN(LRS60*$C$65,Application!$AO$636-SUM('15 Year Pro Forma'!$E$66:LRR$66))</f>
        <v>0</v>
      </c>
      <c r="LRU66" s="956">
        <f>MIN(LRU60*$C$65,Application!$AO$636-SUM('15 Year Pro Forma'!$E$66:LRT$66))</f>
        <v>0</v>
      </c>
      <c r="LRW66" s="956">
        <f>MIN(LRW60*$C$65,Application!$AO$636-SUM('15 Year Pro Forma'!$E$66:LRV$66))</f>
        <v>0</v>
      </c>
      <c r="LRY66" s="956">
        <f>MIN(LRY60*$C$65,Application!$AO$636-SUM('15 Year Pro Forma'!$E$66:LRX$66))</f>
        <v>0</v>
      </c>
      <c r="LSA66" s="956">
        <f>MIN(LSA60*$C$65,Application!$AO$636-SUM('15 Year Pro Forma'!$E$66:LRZ$66))</f>
        <v>0</v>
      </c>
      <c r="LSC66" s="956">
        <f>MIN(LSC60*$C$65,Application!$AO$636-SUM('15 Year Pro Forma'!$E$66:LSB$66))</f>
        <v>0</v>
      </c>
      <c r="LSE66" s="956">
        <f>MIN(LSE60*$C$65,Application!$AO$636-SUM('15 Year Pro Forma'!$E$66:LSD$66))</f>
        <v>0</v>
      </c>
      <c r="LSG66" s="956">
        <f>MIN(LSG60*$C$65,Application!$AO$636-SUM('15 Year Pro Forma'!$E$66:LSF$66))</f>
        <v>0</v>
      </c>
      <c r="LSI66" s="956">
        <f>MIN(LSI60*$C$65,Application!$AO$636-SUM('15 Year Pro Forma'!$E$66:LSH$66))</f>
        <v>0</v>
      </c>
      <c r="LSK66" s="956">
        <f>MIN(LSK60*$C$65,Application!$AO$636-SUM('15 Year Pro Forma'!$E$66:LSJ$66))</f>
        <v>0</v>
      </c>
      <c r="LSM66" s="956">
        <f>MIN(LSM60*$C$65,Application!$AO$636-SUM('15 Year Pro Forma'!$E$66:LSL$66))</f>
        <v>0</v>
      </c>
      <c r="LSO66" s="956">
        <f>MIN(LSO60*$C$65,Application!$AO$636-SUM('15 Year Pro Forma'!$E$66:LSN$66))</f>
        <v>0</v>
      </c>
      <c r="LSQ66" s="956">
        <f>MIN(LSQ60*$C$65,Application!$AO$636-SUM('15 Year Pro Forma'!$E$66:LSP$66))</f>
        <v>0</v>
      </c>
      <c r="LSS66" s="956">
        <f>MIN(LSS60*$C$65,Application!$AO$636-SUM('15 Year Pro Forma'!$E$66:LSR$66))</f>
        <v>0</v>
      </c>
      <c r="LSU66" s="956">
        <f>MIN(LSU60*$C$65,Application!$AO$636-SUM('15 Year Pro Forma'!$E$66:LST$66))</f>
        <v>0</v>
      </c>
      <c r="LSW66" s="956">
        <f>MIN(LSW60*$C$65,Application!$AO$636-SUM('15 Year Pro Forma'!$E$66:LSV$66))</f>
        <v>0</v>
      </c>
      <c r="LSY66" s="956">
        <f>MIN(LSY60*$C$65,Application!$AO$636-SUM('15 Year Pro Forma'!$E$66:LSX$66))</f>
        <v>0</v>
      </c>
      <c r="LTA66" s="956">
        <f>MIN(LTA60*$C$65,Application!$AO$636-SUM('15 Year Pro Forma'!$E$66:LSZ$66))</f>
        <v>0</v>
      </c>
      <c r="LTC66" s="956">
        <f>MIN(LTC60*$C$65,Application!$AO$636-SUM('15 Year Pro Forma'!$E$66:LTB$66))</f>
        <v>0</v>
      </c>
      <c r="LTE66" s="956">
        <f>MIN(LTE60*$C$65,Application!$AO$636-SUM('15 Year Pro Forma'!$E$66:LTD$66))</f>
        <v>0</v>
      </c>
      <c r="LTG66" s="956">
        <f>MIN(LTG60*$C$65,Application!$AO$636-SUM('15 Year Pro Forma'!$E$66:LTF$66))</f>
        <v>0</v>
      </c>
      <c r="LTI66" s="956">
        <f>MIN(LTI60*$C$65,Application!$AO$636-SUM('15 Year Pro Forma'!$E$66:LTH$66))</f>
        <v>0</v>
      </c>
      <c r="LTK66" s="956">
        <f>MIN(LTK60*$C$65,Application!$AO$636-SUM('15 Year Pro Forma'!$E$66:LTJ$66))</f>
        <v>0</v>
      </c>
      <c r="LTM66" s="956">
        <f>MIN(LTM60*$C$65,Application!$AO$636-SUM('15 Year Pro Forma'!$E$66:LTL$66))</f>
        <v>0</v>
      </c>
      <c r="LTO66" s="956">
        <f>MIN(LTO60*$C$65,Application!$AO$636-SUM('15 Year Pro Forma'!$E$66:LTN$66))</f>
        <v>0</v>
      </c>
      <c r="LTQ66" s="956">
        <f>MIN(LTQ60*$C$65,Application!$AO$636-SUM('15 Year Pro Forma'!$E$66:LTP$66))</f>
        <v>0</v>
      </c>
      <c r="LTS66" s="956">
        <f>MIN(LTS60*$C$65,Application!$AO$636-SUM('15 Year Pro Forma'!$E$66:LTR$66))</f>
        <v>0</v>
      </c>
      <c r="LTU66" s="956">
        <f>MIN(LTU60*$C$65,Application!$AO$636-SUM('15 Year Pro Forma'!$E$66:LTT$66))</f>
        <v>0</v>
      </c>
      <c r="LTW66" s="956">
        <f>MIN(LTW60*$C$65,Application!$AO$636-SUM('15 Year Pro Forma'!$E$66:LTV$66))</f>
        <v>0</v>
      </c>
      <c r="LTY66" s="956">
        <f>MIN(LTY60*$C$65,Application!$AO$636-SUM('15 Year Pro Forma'!$E$66:LTX$66))</f>
        <v>0</v>
      </c>
      <c r="LUA66" s="956">
        <f>MIN(LUA60*$C$65,Application!$AO$636-SUM('15 Year Pro Forma'!$E$66:LTZ$66))</f>
        <v>0</v>
      </c>
      <c r="LUC66" s="956">
        <f>MIN(LUC60*$C$65,Application!$AO$636-SUM('15 Year Pro Forma'!$E$66:LUB$66))</f>
        <v>0</v>
      </c>
      <c r="LUE66" s="956">
        <f>MIN(LUE60*$C$65,Application!$AO$636-SUM('15 Year Pro Forma'!$E$66:LUD$66))</f>
        <v>0</v>
      </c>
      <c r="LUG66" s="956">
        <f>MIN(LUG60*$C$65,Application!$AO$636-SUM('15 Year Pro Forma'!$E$66:LUF$66))</f>
        <v>0</v>
      </c>
      <c r="LUI66" s="956">
        <f>MIN(LUI60*$C$65,Application!$AO$636-SUM('15 Year Pro Forma'!$E$66:LUH$66))</f>
        <v>0</v>
      </c>
      <c r="LUK66" s="956">
        <f>MIN(LUK60*$C$65,Application!$AO$636-SUM('15 Year Pro Forma'!$E$66:LUJ$66))</f>
        <v>0</v>
      </c>
      <c r="LUM66" s="956">
        <f>MIN(LUM60*$C$65,Application!$AO$636-SUM('15 Year Pro Forma'!$E$66:LUL$66))</f>
        <v>0</v>
      </c>
      <c r="LUO66" s="956">
        <f>MIN(LUO60*$C$65,Application!$AO$636-SUM('15 Year Pro Forma'!$E$66:LUN$66))</f>
        <v>0</v>
      </c>
      <c r="LUQ66" s="956">
        <f>MIN(LUQ60*$C$65,Application!$AO$636-SUM('15 Year Pro Forma'!$E$66:LUP$66))</f>
        <v>0</v>
      </c>
      <c r="LUS66" s="956">
        <f>MIN(LUS60*$C$65,Application!$AO$636-SUM('15 Year Pro Forma'!$E$66:LUR$66))</f>
        <v>0</v>
      </c>
      <c r="LUU66" s="956">
        <f>MIN(LUU60*$C$65,Application!$AO$636-SUM('15 Year Pro Forma'!$E$66:LUT$66))</f>
        <v>0</v>
      </c>
      <c r="LUW66" s="956">
        <f>MIN(LUW60*$C$65,Application!$AO$636-SUM('15 Year Pro Forma'!$E$66:LUV$66))</f>
        <v>0</v>
      </c>
      <c r="LUY66" s="956">
        <f>MIN(LUY60*$C$65,Application!$AO$636-SUM('15 Year Pro Forma'!$E$66:LUX$66))</f>
        <v>0</v>
      </c>
      <c r="LVA66" s="956">
        <f>MIN(LVA60*$C$65,Application!$AO$636-SUM('15 Year Pro Forma'!$E$66:LUZ$66))</f>
        <v>0</v>
      </c>
      <c r="LVC66" s="956">
        <f>MIN(LVC60*$C$65,Application!$AO$636-SUM('15 Year Pro Forma'!$E$66:LVB$66))</f>
        <v>0</v>
      </c>
      <c r="LVE66" s="956">
        <f>MIN(LVE60*$C$65,Application!$AO$636-SUM('15 Year Pro Forma'!$E$66:LVD$66))</f>
        <v>0</v>
      </c>
      <c r="LVG66" s="956">
        <f>MIN(LVG60*$C$65,Application!$AO$636-SUM('15 Year Pro Forma'!$E$66:LVF$66))</f>
        <v>0</v>
      </c>
      <c r="LVI66" s="956">
        <f>MIN(LVI60*$C$65,Application!$AO$636-SUM('15 Year Pro Forma'!$E$66:LVH$66))</f>
        <v>0</v>
      </c>
      <c r="LVK66" s="956">
        <f>MIN(LVK60*$C$65,Application!$AO$636-SUM('15 Year Pro Forma'!$E$66:LVJ$66))</f>
        <v>0</v>
      </c>
      <c r="LVM66" s="956">
        <f>MIN(LVM60*$C$65,Application!$AO$636-SUM('15 Year Pro Forma'!$E$66:LVL$66))</f>
        <v>0</v>
      </c>
      <c r="LVO66" s="956">
        <f>MIN(LVO60*$C$65,Application!$AO$636-SUM('15 Year Pro Forma'!$E$66:LVN$66))</f>
        <v>0</v>
      </c>
      <c r="LVQ66" s="956">
        <f>MIN(LVQ60*$C$65,Application!$AO$636-SUM('15 Year Pro Forma'!$E$66:LVP$66))</f>
        <v>0</v>
      </c>
      <c r="LVS66" s="956">
        <f>MIN(LVS60*$C$65,Application!$AO$636-SUM('15 Year Pro Forma'!$E$66:LVR$66))</f>
        <v>0</v>
      </c>
      <c r="LVU66" s="956">
        <f>MIN(LVU60*$C$65,Application!$AO$636-SUM('15 Year Pro Forma'!$E$66:LVT$66))</f>
        <v>0</v>
      </c>
      <c r="LVW66" s="956">
        <f>MIN(LVW60*$C$65,Application!$AO$636-SUM('15 Year Pro Forma'!$E$66:LVV$66))</f>
        <v>0</v>
      </c>
      <c r="LVY66" s="956">
        <f>MIN(LVY60*$C$65,Application!$AO$636-SUM('15 Year Pro Forma'!$E$66:LVX$66))</f>
        <v>0</v>
      </c>
      <c r="LWA66" s="956">
        <f>MIN(LWA60*$C$65,Application!$AO$636-SUM('15 Year Pro Forma'!$E$66:LVZ$66))</f>
        <v>0</v>
      </c>
      <c r="LWC66" s="956">
        <f>MIN(LWC60*$C$65,Application!$AO$636-SUM('15 Year Pro Forma'!$E$66:LWB$66))</f>
        <v>0</v>
      </c>
      <c r="LWE66" s="956">
        <f>MIN(LWE60*$C$65,Application!$AO$636-SUM('15 Year Pro Forma'!$E$66:LWD$66))</f>
        <v>0</v>
      </c>
      <c r="LWG66" s="956">
        <f>MIN(LWG60*$C$65,Application!$AO$636-SUM('15 Year Pro Forma'!$E$66:LWF$66))</f>
        <v>0</v>
      </c>
      <c r="LWI66" s="956">
        <f>MIN(LWI60*$C$65,Application!$AO$636-SUM('15 Year Pro Forma'!$E$66:LWH$66))</f>
        <v>0</v>
      </c>
      <c r="LWK66" s="956">
        <f>MIN(LWK60*$C$65,Application!$AO$636-SUM('15 Year Pro Forma'!$E$66:LWJ$66))</f>
        <v>0</v>
      </c>
      <c r="LWM66" s="956">
        <f>MIN(LWM60*$C$65,Application!$AO$636-SUM('15 Year Pro Forma'!$E$66:LWL$66))</f>
        <v>0</v>
      </c>
      <c r="LWO66" s="956">
        <f>MIN(LWO60*$C$65,Application!$AO$636-SUM('15 Year Pro Forma'!$E$66:LWN$66))</f>
        <v>0</v>
      </c>
      <c r="LWQ66" s="956">
        <f>MIN(LWQ60*$C$65,Application!$AO$636-SUM('15 Year Pro Forma'!$E$66:LWP$66))</f>
        <v>0</v>
      </c>
      <c r="LWS66" s="956">
        <f>MIN(LWS60*$C$65,Application!$AO$636-SUM('15 Year Pro Forma'!$E$66:LWR$66))</f>
        <v>0</v>
      </c>
      <c r="LWU66" s="956">
        <f>MIN(LWU60*$C$65,Application!$AO$636-SUM('15 Year Pro Forma'!$E$66:LWT$66))</f>
        <v>0</v>
      </c>
      <c r="LWW66" s="956">
        <f>MIN(LWW60*$C$65,Application!$AO$636-SUM('15 Year Pro Forma'!$E$66:LWV$66))</f>
        <v>0</v>
      </c>
      <c r="LWY66" s="956">
        <f>MIN(LWY60*$C$65,Application!$AO$636-SUM('15 Year Pro Forma'!$E$66:LWX$66))</f>
        <v>0</v>
      </c>
      <c r="LXA66" s="956">
        <f>MIN(LXA60*$C$65,Application!$AO$636-SUM('15 Year Pro Forma'!$E$66:LWZ$66))</f>
        <v>0</v>
      </c>
      <c r="LXC66" s="956">
        <f>MIN(LXC60*$C$65,Application!$AO$636-SUM('15 Year Pro Forma'!$E$66:LXB$66))</f>
        <v>0</v>
      </c>
      <c r="LXE66" s="956">
        <f>MIN(LXE60*$C$65,Application!$AO$636-SUM('15 Year Pro Forma'!$E$66:LXD$66))</f>
        <v>0</v>
      </c>
      <c r="LXG66" s="956">
        <f>MIN(LXG60*$C$65,Application!$AO$636-SUM('15 Year Pro Forma'!$E$66:LXF$66))</f>
        <v>0</v>
      </c>
      <c r="LXI66" s="956">
        <f>MIN(LXI60*$C$65,Application!$AO$636-SUM('15 Year Pro Forma'!$E$66:LXH$66))</f>
        <v>0</v>
      </c>
      <c r="LXK66" s="956">
        <f>MIN(LXK60*$C$65,Application!$AO$636-SUM('15 Year Pro Forma'!$E$66:LXJ$66))</f>
        <v>0</v>
      </c>
      <c r="LXM66" s="956">
        <f>MIN(LXM60*$C$65,Application!$AO$636-SUM('15 Year Pro Forma'!$E$66:LXL$66))</f>
        <v>0</v>
      </c>
      <c r="LXO66" s="956">
        <f>MIN(LXO60*$C$65,Application!$AO$636-SUM('15 Year Pro Forma'!$E$66:LXN$66))</f>
        <v>0</v>
      </c>
      <c r="LXQ66" s="956">
        <f>MIN(LXQ60*$C$65,Application!$AO$636-SUM('15 Year Pro Forma'!$E$66:LXP$66))</f>
        <v>0</v>
      </c>
      <c r="LXS66" s="956">
        <f>MIN(LXS60*$C$65,Application!$AO$636-SUM('15 Year Pro Forma'!$E$66:LXR$66))</f>
        <v>0</v>
      </c>
      <c r="LXU66" s="956">
        <f>MIN(LXU60*$C$65,Application!$AO$636-SUM('15 Year Pro Forma'!$E$66:LXT$66))</f>
        <v>0</v>
      </c>
      <c r="LXW66" s="956">
        <f>MIN(LXW60*$C$65,Application!$AO$636-SUM('15 Year Pro Forma'!$E$66:LXV$66))</f>
        <v>0</v>
      </c>
      <c r="LXY66" s="956">
        <f>MIN(LXY60*$C$65,Application!$AO$636-SUM('15 Year Pro Forma'!$E$66:LXX$66))</f>
        <v>0</v>
      </c>
      <c r="LYA66" s="956">
        <f>MIN(LYA60*$C$65,Application!$AO$636-SUM('15 Year Pro Forma'!$E$66:LXZ$66))</f>
        <v>0</v>
      </c>
      <c r="LYC66" s="956">
        <f>MIN(LYC60*$C$65,Application!$AO$636-SUM('15 Year Pro Forma'!$E$66:LYB$66))</f>
        <v>0</v>
      </c>
      <c r="LYE66" s="956">
        <f>MIN(LYE60*$C$65,Application!$AO$636-SUM('15 Year Pro Forma'!$E$66:LYD$66))</f>
        <v>0</v>
      </c>
      <c r="LYG66" s="956">
        <f>MIN(LYG60*$C$65,Application!$AO$636-SUM('15 Year Pro Forma'!$E$66:LYF$66))</f>
        <v>0</v>
      </c>
      <c r="LYI66" s="956">
        <f>MIN(LYI60*$C$65,Application!$AO$636-SUM('15 Year Pro Forma'!$E$66:LYH$66))</f>
        <v>0</v>
      </c>
      <c r="LYK66" s="956">
        <f>MIN(LYK60*$C$65,Application!$AO$636-SUM('15 Year Pro Forma'!$E$66:LYJ$66))</f>
        <v>0</v>
      </c>
      <c r="LYM66" s="956">
        <f>MIN(LYM60*$C$65,Application!$AO$636-SUM('15 Year Pro Forma'!$E$66:LYL$66))</f>
        <v>0</v>
      </c>
      <c r="LYO66" s="956">
        <f>MIN(LYO60*$C$65,Application!$AO$636-SUM('15 Year Pro Forma'!$E$66:LYN$66))</f>
        <v>0</v>
      </c>
      <c r="LYQ66" s="956">
        <f>MIN(LYQ60*$C$65,Application!$AO$636-SUM('15 Year Pro Forma'!$E$66:LYP$66))</f>
        <v>0</v>
      </c>
      <c r="LYS66" s="956">
        <f>MIN(LYS60*$C$65,Application!$AO$636-SUM('15 Year Pro Forma'!$E$66:LYR$66))</f>
        <v>0</v>
      </c>
      <c r="LYU66" s="956">
        <f>MIN(LYU60*$C$65,Application!$AO$636-SUM('15 Year Pro Forma'!$E$66:LYT$66))</f>
        <v>0</v>
      </c>
      <c r="LYW66" s="956">
        <f>MIN(LYW60*$C$65,Application!$AO$636-SUM('15 Year Pro Forma'!$E$66:LYV$66))</f>
        <v>0</v>
      </c>
      <c r="LYY66" s="956">
        <f>MIN(LYY60*$C$65,Application!$AO$636-SUM('15 Year Pro Forma'!$E$66:LYX$66))</f>
        <v>0</v>
      </c>
      <c r="LZA66" s="956">
        <f>MIN(LZA60*$C$65,Application!$AO$636-SUM('15 Year Pro Forma'!$E$66:LYZ$66))</f>
        <v>0</v>
      </c>
      <c r="LZC66" s="956">
        <f>MIN(LZC60*$C$65,Application!$AO$636-SUM('15 Year Pro Forma'!$E$66:LZB$66))</f>
        <v>0</v>
      </c>
      <c r="LZE66" s="956">
        <f>MIN(LZE60*$C$65,Application!$AO$636-SUM('15 Year Pro Forma'!$E$66:LZD$66))</f>
        <v>0</v>
      </c>
      <c r="LZG66" s="956">
        <f>MIN(LZG60*$C$65,Application!$AO$636-SUM('15 Year Pro Forma'!$E$66:LZF$66))</f>
        <v>0</v>
      </c>
      <c r="LZI66" s="956">
        <f>MIN(LZI60*$C$65,Application!$AO$636-SUM('15 Year Pro Forma'!$E$66:LZH$66))</f>
        <v>0</v>
      </c>
      <c r="LZK66" s="956">
        <f>MIN(LZK60*$C$65,Application!$AO$636-SUM('15 Year Pro Forma'!$E$66:LZJ$66))</f>
        <v>0</v>
      </c>
      <c r="LZM66" s="956">
        <f>MIN(LZM60*$C$65,Application!$AO$636-SUM('15 Year Pro Forma'!$E$66:LZL$66))</f>
        <v>0</v>
      </c>
      <c r="LZO66" s="956">
        <f>MIN(LZO60*$C$65,Application!$AO$636-SUM('15 Year Pro Forma'!$E$66:LZN$66))</f>
        <v>0</v>
      </c>
      <c r="LZQ66" s="956">
        <f>MIN(LZQ60*$C$65,Application!$AO$636-SUM('15 Year Pro Forma'!$E$66:LZP$66))</f>
        <v>0</v>
      </c>
      <c r="LZS66" s="956">
        <f>MIN(LZS60*$C$65,Application!$AO$636-SUM('15 Year Pro Forma'!$E$66:LZR$66))</f>
        <v>0</v>
      </c>
      <c r="LZU66" s="956">
        <f>MIN(LZU60*$C$65,Application!$AO$636-SUM('15 Year Pro Forma'!$E$66:LZT$66))</f>
        <v>0</v>
      </c>
      <c r="LZW66" s="956">
        <f>MIN(LZW60*$C$65,Application!$AO$636-SUM('15 Year Pro Forma'!$E$66:LZV$66))</f>
        <v>0</v>
      </c>
      <c r="LZY66" s="956">
        <f>MIN(LZY60*$C$65,Application!$AO$636-SUM('15 Year Pro Forma'!$E$66:LZX$66))</f>
        <v>0</v>
      </c>
      <c r="MAA66" s="956">
        <f>MIN(MAA60*$C$65,Application!$AO$636-SUM('15 Year Pro Forma'!$E$66:LZZ$66))</f>
        <v>0</v>
      </c>
      <c r="MAC66" s="956">
        <f>MIN(MAC60*$C$65,Application!$AO$636-SUM('15 Year Pro Forma'!$E$66:MAB$66))</f>
        <v>0</v>
      </c>
      <c r="MAE66" s="956">
        <f>MIN(MAE60*$C$65,Application!$AO$636-SUM('15 Year Pro Forma'!$E$66:MAD$66))</f>
        <v>0</v>
      </c>
      <c r="MAG66" s="956">
        <f>MIN(MAG60*$C$65,Application!$AO$636-SUM('15 Year Pro Forma'!$E$66:MAF$66))</f>
        <v>0</v>
      </c>
      <c r="MAI66" s="956">
        <f>MIN(MAI60*$C$65,Application!$AO$636-SUM('15 Year Pro Forma'!$E$66:MAH$66))</f>
        <v>0</v>
      </c>
      <c r="MAK66" s="956">
        <f>MIN(MAK60*$C$65,Application!$AO$636-SUM('15 Year Pro Forma'!$E$66:MAJ$66))</f>
        <v>0</v>
      </c>
      <c r="MAM66" s="956">
        <f>MIN(MAM60*$C$65,Application!$AO$636-SUM('15 Year Pro Forma'!$E$66:MAL$66))</f>
        <v>0</v>
      </c>
      <c r="MAO66" s="956">
        <f>MIN(MAO60*$C$65,Application!$AO$636-SUM('15 Year Pro Forma'!$E$66:MAN$66))</f>
        <v>0</v>
      </c>
      <c r="MAQ66" s="956">
        <f>MIN(MAQ60*$C$65,Application!$AO$636-SUM('15 Year Pro Forma'!$E$66:MAP$66))</f>
        <v>0</v>
      </c>
      <c r="MAS66" s="956">
        <f>MIN(MAS60*$C$65,Application!$AO$636-SUM('15 Year Pro Forma'!$E$66:MAR$66))</f>
        <v>0</v>
      </c>
      <c r="MAU66" s="956">
        <f>MIN(MAU60*$C$65,Application!$AO$636-SUM('15 Year Pro Forma'!$E$66:MAT$66))</f>
        <v>0</v>
      </c>
      <c r="MAW66" s="956">
        <f>MIN(MAW60*$C$65,Application!$AO$636-SUM('15 Year Pro Forma'!$E$66:MAV$66))</f>
        <v>0</v>
      </c>
      <c r="MAY66" s="956">
        <f>MIN(MAY60*$C$65,Application!$AO$636-SUM('15 Year Pro Forma'!$E$66:MAX$66))</f>
        <v>0</v>
      </c>
      <c r="MBA66" s="956">
        <f>MIN(MBA60*$C$65,Application!$AO$636-SUM('15 Year Pro Forma'!$E$66:MAZ$66))</f>
        <v>0</v>
      </c>
      <c r="MBC66" s="956">
        <f>MIN(MBC60*$C$65,Application!$AO$636-SUM('15 Year Pro Forma'!$E$66:MBB$66))</f>
        <v>0</v>
      </c>
      <c r="MBE66" s="956">
        <f>MIN(MBE60*$C$65,Application!$AO$636-SUM('15 Year Pro Forma'!$E$66:MBD$66))</f>
        <v>0</v>
      </c>
      <c r="MBG66" s="956">
        <f>MIN(MBG60*$C$65,Application!$AO$636-SUM('15 Year Pro Forma'!$E$66:MBF$66))</f>
        <v>0</v>
      </c>
      <c r="MBI66" s="956">
        <f>MIN(MBI60*$C$65,Application!$AO$636-SUM('15 Year Pro Forma'!$E$66:MBH$66))</f>
        <v>0</v>
      </c>
      <c r="MBK66" s="956">
        <f>MIN(MBK60*$C$65,Application!$AO$636-SUM('15 Year Pro Forma'!$E$66:MBJ$66))</f>
        <v>0</v>
      </c>
      <c r="MBM66" s="956">
        <f>MIN(MBM60*$C$65,Application!$AO$636-SUM('15 Year Pro Forma'!$E$66:MBL$66))</f>
        <v>0</v>
      </c>
      <c r="MBO66" s="956">
        <f>MIN(MBO60*$C$65,Application!$AO$636-SUM('15 Year Pro Forma'!$E$66:MBN$66))</f>
        <v>0</v>
      </c>
      <c r="MBQ66" s="956">
        <f>MIN(MBQ60*$C$65,Application!$AO$636-SUM('15 Year Pro Forma'!$E$66:MBP$66))</f>
        <v>0</v>
      </c>
      <c r="MBS66" s="956">
        <f>MIN(MBS60*$C$65,Application!$AO$636-SUM('15 Year Pro Forma'!$E$66:MBR$66))</f>
        <v>0</v>
      </c>
      <c r="MBU66" s="956">
        <f>MIN(MBU60*$C$65,Application!$AO$636-SUM('15 Year Pro Forma'!$E$66:MBT$66))</f>
        <v>0</v>
      </c>
      <c r="MBW66" s="956">
        <f>MIN(MBW60*$C$65,Application!$AO$636-SUM('15 Year Pro Forma'!$E$66:MBV$66))</f>
        <v>0</v>
      </c>
      <c r="MBY66" s="956">
        <f>MIN(MBY60*$C$65,Application!$AO$636-SUM('15 Year Pro Forma'!$E$66:MBX$66))</f>
        <v>0</v>
      </c>
      <c r="MCA66" s="956">
        <f>MIN(MCA60*$C$65,Application!$AO$636-SUM('15 Year Pro Forma'!$E$66:MBZ$66))</f>
        <v>0</v>
      </c>
      <c r="MCC66" s="956">
        <f>MIN(MCC60*$C$65,Application!$AO$636-SUM('15 Year Pro Forma'!$E$66:MCB$66))</f>
        <v>0</v>
      </c>
      <c r="MCE66" s="956">
        <f>MIN(MCE60*$C$65,Application!$AO$636-SUM('15 Year Pro Forma'!$E$66:MCD$66))</f>
        <v>0</v>
      </c>
      <c r="MCG66" s="956">
        <f>MIN(MCG60*$C$65,Application!$AO$636-SUM('15 Year Pro Forma'!$E$66:MCF$66))</f>
        <v>0</v>
      </c>
      <c r="MCI66" s="956">
        <f>MIN(MCI60*$C$65,Application!$AO$636-SUM('15 Year Pro Forma'!$E$66:MCH$66))</f>
        <v>0</v>
      </c>
      <c r="MCK66" s="956">
        <f>MIN(MCK60*$C$65,Application!$AO$636-SUM('15 Year Pro Forma'!$E$66:MCJ$66))</f>
        <v>0</v>
      </c>
      <c r="MCM66" s="956">
        <f>MIN(MCM60*$C$65,Application!$AO$636-SUM('15 Year Pro Forma'!$E$66:MCL$66))</f>
        <v>0</v>
      </c>
      <c r="MCO66" s="956">
        <f>MIN(MCO60*$C$65,Application!$AO$636-SUM('15 Year Pro Forma'!$E$66:MCN$66))</f>
        <v>0</v>
      </c>
      <c r="MCQ66" s="956">
        <f>MIN(MCQ60*$C$65,Application!$AO$636-SUM('15 Year Pro Forma'!$E$66:MCP$66))</f>
        <v>0</v>
      </c>
      <c r="MCS66" s="956">
        <f>MIN(MCS60*$C$65,Application!$AO$636-SUM('15 Year Pro Forma'!$E$66:MCR$66))</f>
        <v>0</v>
      </c>
      <c r="MCU66" s="956">
        <f>MIN(MCU60*$C$65,Application!$AO$636-SUM('15 Year Pro Forma'!$E$66:MCT$66))</f>
        <v>0</v>
      </c>
      <c r="MCW66" s="956">
        <f>MIN(MCW60*$C$65,Application!$AO$636-SUM('15 Year Pro Forma'!$E$66:MCV$66))</f>
        <v>0</v>
      </c>
      <c r="MCY66" s="956">
        <f>MIN(MCY60*$C$65,Application!$AO$636-SUM('15 Year Pro Forma'!$E$66:MCX$66))</f>
        <v>0</v>
      </c>
      <c r="MDA66" s="956">
        <f>MIN(MDA60*$C$65,Application!$AO$636-SUM('15 Year Pro Forma'!$E$66:MCZ$66))</f>
        <v>0</v>
      </c>
      <c r="MDC66" s="956">
        <f>MIN(MDC60*$C$65,Application!$AO$636-SUM('15 Year Pro Forma'!$E$66:MDB$66))</f>
        <v>0</v>
      </c>
      <c r="MDE66" s="956">
        <f>MIN(MDE60*$C$65,Application!$AO$636-SUM('15 Year Pro Forma'!$E$66:MDD$66))</f>
        <v>0</v>
      </c>
      <c r="MDG66" s="956">
        <f>MIN(MDG60*$C$65,Application!$AO$636-SUM('15 Year Pro Forma'!$E$66:MDF$66))</f>
        <v>0</v>
      </c>
      <c r="MDI66" s="956">
        <f>MIN(MDI60*$C$65,Application!$AO$636-SUM('15 Year Pro Forma'!$E$66:MDH$66))</f>
        <v>0</v>
      </c>
      <c r="MDK66" s="956">
        <f>MIN(MDK60*$C$65,Application!$AO$636-SUM('15 Year Pro Forma'!$E$66:MDJ$66))</f>
        <v>0</v>
      </c>
      <c r="MDM66" s="956">
        <f>MIN(MDM60*$C$65,Application!$AO$636-SUM('15 Year Pro Forma'!$E$66:MDL$66))</f>
        <v>0</v>
      </c>
      <c r="MDO66" s="956">
        <f>MIN(MDO60*$C$65,Application!$AO$636-SUM('15 Year Pro Forma'!$E$66:MDN$66))</f>
        <v>0</v>
      </c>
      <c r="MDQ66" s="956">
        <f>MIN(MDQ60*$C$65,Application!$AO$636-SUM('15 Year Pro Forma'!$E$66:MDP$66))</f>
        <v>0</v>
      </c>
      <c r="MDS66" s="956">
        <f>MIN(MDS60*$C$65,Application!$AO$636-SUM('15 Year Pro Forma'!$E$66:MDR$66))</f>
        <v>0</v>
      </c>
      <c r="MDU66" s="956">
        <f>MIN(MDU60*$C$65,Application!$AO$636-SUM('15 Year Pro Forma'!$E$66:MDT$66))</f>
        <v>0</v>
      </c>
      <c r="MDW66" s="956">
        <f>MIN(MDW60*$C$65,Application!$AO$636-SUM('15 Year Pro Forma'!$E$66:MDV$66))</f>
        <v>0</v>
      </c>
      <c r="MDY66" s="956">
        <f>MIN(MDY60*$C$65,Application!$AO$636-SUM('15 Year Pro Forma'!$E$66:MDX$66))</f>
        <v>0</v>
      </c>
      <c r="MEA66" s="956">
        <f>MIN(MEA60*$C$65,Application!$AO$636-SUM('15 Year Pro Forma'!$E$66:MDZ$66))</f>
        <v>0</v>
      </c>
      <c r="MEC66" s="956">
        <f>MIN(MEC60*$C$65,Application!$AO$636-SUM('15 Year Pro Forma'!$E$66:MEB$66))</f>
        <v>0</v>
      </c>
      <c r="MEE66" s="956">
        <f>MIN(MEE60*$C$65,Application!$AO$636-SUM('15 Year Pro Forma'!$E$66:MED$66))</f>
        <v>0</v>
      </c>
      <c r="MEG66" s="956">
        <f>MIN(MEG60*$C$65,Application!$AO$636-SUM('15 Year Pro Forma'!$E$66:MEF$66))</f>
        <v>0</v>
      </c>
      <c r="MEI66" s="956">
        <f>MIN(MEI60*$C$65,Application!$AO$636-SUM('15 Year Pro Forma'!$E$66:MEH$66))</f>
        <v>0</v>
      </c>
      <c r="MEK66" s="956">
        <f>MIN(MEK60*$C$65,Application!$AO$636-SUM('15 Year Pro Forma'!$E$66:MEJ$66))</f>
        <v>0</v>
      </c>
      <c r="MEM66" s="956">
        <f>MIN(MEM60*$C$65,Application!$AO$636-SUM('15 Year Pro Forma'!$E$66:MEL$66))</f>
        <v>0</v>
      </c>
      <c r="MEO66" s="956">
        <f>MIN(MEO60*$C$65,Application!$AO$636-SUM('15 Year Pro Forma'!$E$66:MEN$66))</f>
        <v>0</v>
      </c>
      <c r="MEQ66" s="956">
        <f>MIN(MEQ60*$C$65,Application!$AO$636-SUM('15 Year Pro Forma'!$E$66:MEP$66))</f>
        <v>0</v>
      </c>
      <c r="MES66" s="956">
        <f>MIN(MES60*$C$65,Application!$AO$636-SUM('15 Year Pro Forma'!$E$66:MER$66))</f>
        <v>0</v>
      </c>
      <c r="MEU66" s="956">
        <f>MIN(MEU60*$C$65,Application!$AO$636-SUM('15 Year Pro Forma'!$E$66:MET$66))</f>
        <v>0</v>
      </c>
      <c r="MEW66" s="956">
        <f>MIN(MEW60*$C$65,Application!$AO$636-SUM('15 Year Pro Forma'!$E$66:MEV$66))</f>
        <v>0</v>
      </c>
      <c r="MEY66" s="956">
        <f>MIN(MEY60*$C$65,Application!$AO$636-SUM('15 Year Pro Forma'!$E$66:MEX$66))</f>
        <v>0</v>
      </c>
      <c r="MFA66" s="956">
        <f>MIN(MFA60*$C$65,Application!$AO$636-SUM('15 Year Pro Forma'!$E$66:MEZ$66))</f>
        <v>0</v>
      </c>
      <c r="MFC66" s="956">
        <f>MIN(MFC60*$C$65,Application!$AO$636-SUM('15 Year Pro Forma'!$E$66:MFB$66))</f>
        <v>0</v>
      </c>
      <c r="MFE66" s="956">
        <f>MIN(MFE60*$C$65,Application!$AO$636-SUM('15 Year Pro Forma'!$E$66:MFD$66))</f>
        <v>0</v>
      </c>
      <c r="MFG66" s="956">
        <f>MIN(MFG60*$C$65,Application!$AO$636-SUM('15 Year Pro Forma'!$E$66:MFF$66))</f>
        <v>0</v>
      </c>
      <c r="MFI66" s="956">
        <f>MIN(MFI60*$C$65,Application!$AO$636-SUM('15 Year Pro Forma'!$E$66:MFH$66))</f>
        <v>0</v>
      </c>
      <c r="MFK66" s="956">
        <f>MIN(MFK60*$C$65,Application!$AO$636-SUM('15 Year Pro Forma'!$E$66:MFJ$66))</f>
        <v>0</v>
      </c>
      <c r="MFM66" s="956">
        <f>MIN(MFM60*$C$65,Application!$AO$636-SUM('15 Year Pro Forma'!$E$66:MFL$66))</f>
        <v>0</v>
      </c>
      <c r="MFO66" s="956">
        <f>MIN(MFO60*$C$65,Application!$AO$636-SUM('15 Year Pro Forma'!$E$66:MFN$66))</f>
        <v>0</v>
      </c>
      <c r="MFQ66" s="956">
        <f>MIN(MFQ60*$C$65,Application!$AO$636-SUM('15 Year Pro Forma'!$E$66:MFP$66))</f>
        <v>0</v>
      </c>
      <c r="MFS66" s="956">
        <f>MIN(MFS60*$C$65,Application!$AO$636-SUM('15 Year Pro Forma'!$E$66:MFR$66))</f>
        <v>0</v>
      </c>
      <c r="MFU66" s="956">
        <f>MIN(MFU60*$C$65,Application!$AO$636-SUM('15 Year Pro Forma'!$E$66:MFT$66))</f>
        <v>0</v>
      </c>
      <c r="MFW66" s="956">
        <f>MIN(MFW60*$C$65,Application!$AO$636-SUM('15 Year Pro Forma'!$E$66:MFV$66))</f>
        <v>0</v>
      </c>
      <c r="MFY66" s="956">
        <f>MIN(MFY60*$C$65,Application!$AO$636-SUM('15 Year Pro Forma'!$E$66:MFX$66))</f>
        <v>0</v>
      </c>
      <c r="MGA66" s="956">
        <f>MIN(MGA60*$C$65,Application!$AO$636-SUM('15 Year Pro Forma'!$E$66:MFZ$66))</f>
        <v>0</v>
      </c>
      <c r="MGC66" s="956">
        <f>MIN(MGC60*$C$65,Application!$AO$636-SUM('15 Year Pro Forma'!$E$66:MGB$66))</f>
        <v>0</v>
      </c>
      <c r="MGE66" s="956">
        <f>MIN(MGE60*$C$65,Application!$AO$636-SUM('15 Year Pro Forma'!$E$66:MGD$66))</f>
        <v>0</v>
      </c>
      <c r="MGG66" s="956">
        <f>MIN(MGG60*$C$65,Application!$AO$636-SUM('15 Year Pro Forma'!$E$66:MGF$66))</f>
        <v>0</v>
      </c>
      <c r="MGI66" s="956">
        <f>MIN(MGI60*$C$65,Application!$AO$636-SUM('15 Year Pro Forma'!$E$66:MGH$66))</f>
        <v>0</v>
      </c>
      <c r="MGK66" s="956">
        <f>MIN(MGK60*$C$65,Application!$AO$636-SUM('15 Year Pro Forma'!$E$66:MGJ$66))</f>
        <v>0</v>
      </c>
      <c r="MGM66" s="956">
        <f>MIN(MGM60*$C$65,Application!$AO$636-SUM('15 Year Pro Forma'!$E$66:MGL$66))</f>
        <v>0</v>
      </c>
      <c r="MGO66" s="956">
        <f>MIN(MGO60*$C$65,Application!$AO$636-SUM('15 Year Pro Forma'!$E$66:MGN$66))</f>
        <v>0</v>
      </c>
      <c r="MGQ66" s="956">
        <f>MIN(MGQ60*$C$65,Application!$AO$636-SUM('15 Year Pro Forma'!$E$66:MGP$66))</f>
        <v>0</v>
      </c>
      <c r="MGS66" s="956">
        <f>MIN(MGS60*$C$65,Application!$AO$636-SUM('15 Year Pro Forma'!$E$66:MGR$66))</f>
        <v>0</v>
      </c>
      <c r="MGU66" s="956">
        <f>MIN(MGU60*$C$65,Application!$AO$636-SUM('15 Year Pro Forma'!$E$66:MGT$66))</f>
        <v>0</v>
      </c>
      <c r="MGW66" s="956">
        <f>MIN(MGW60*$C$65,Application!$AO$636-SUM('15 Year Pro Forma'!$E$66:MGV$66))</f>
        <v>0</v>
      </c>
      <c r="MGY66" s="956">
        <f>MIN(MGY60*$C$65,Application!$AO$636-SUM('15 Year Pro Forma'!$E$66:MGX$66))</f>
        <v>0</v>
      </c>
      <c r="MHA66" s="956">
        <f>MIN(MHA60*$C$65,Application!$AO$636-SUM('15 Year Pro Forma'!$E$66:MGZ$66))</f>
        <v>0</v>
      </c>
      <c r="MHC66" s="956">
        <f>MIN(MHC60*$C$65,Application!$AO$636-SUM('15 Year Pro Forma'!$E$66:MHB$66))</f>
        <v>0</v>
      </c>
      <c r="MHE66" s="956">
        <f>MIN(MHE60*$C$65,Application!$AO$636-SUM('15 Year Pro Forma'!$E$66:MHD$66))</f>
        <v>0</v>
      </c>
      <c r="MHG66" s="956">
        <f>MIN(MHG60*$C$65,Application!$AO$636-SUM('15 Year Pro Forma'!$E$66:MHF$66))</f>
        <v>0</v>
      </c>
      <c r="MHI66" s="956">
        <f>MIN(MHI60*$C$65,Application!$AO$636-SUM('15 Year Pro Forma'!$E$66:MHH$66))</f>
        <v>0</v>
      </c>
      <c r="MHK66" s="956">
        <f>MIN(MHK60*$C$65,Application!$AO$636-SUM('15 Year Pro Forma'!$E$66:MHJ$66))</f>
        <v>0</v>
      </c>
      <c r="MHM66" s="956">
        <f>MIN(MHM60*$C$65,Application!$AO$636-SUM('15 Year Pro Forma'!$E$66:MHL$66))</f>
        <v>0</v>
      </c>
      <c r="MHO66" s="956">
        <f>MIN(MHO60*$C$65,Application!$AO$636-SUM('15 Year Pro Forma'!$E$66:MHN$66))</f>
        <v>0</v>
      </c>
      <c r="MHQ66" s="956">
        <f>MIN(MHQ60*$C$65,Application!$AO$636-SUM('15 Year Pro Forma'!$E$66:MHP$66))</f>
        <v>0</v>
      </c>
      <c r="MHS66" s="956">
        <f>MIN(MHS60*$C$65,Application!$AO$636-SUM('15 Year Pro Forma'!$E$66:MHR$66))</f>
        <v>0</v>
      </c>
      <c r="MHU66" s="956">
        <f>MIN(MHU60*$C$65,Application!$AO$636-SUM('15 Year Pro Forma'!$E$66:MHT$66))</f>
        <v>0</v>
      </c>
      <c r="MHW66" s="956">
        <f>MIN(MHW60*$C$65,Application!$AO$636-SUM('15 Year Pro Forma'!$E$66:MHV$66))</f>
        <v>0</v>
      </c>
      <c r="MHY66" s="956">
        <f>MIN(MHY60*$C$65,Application!$AO$636-SUM('15 Year Pro Forma'!$E$66:MHX$66))</f>
        <v>0</v>
      </c>
      <c r="MIA66" s="956">
        <f>MIN(MIA60*$C$65,Application!$AO$636-SUM('15 Year Pro Forma'!$E$66:MHZ$66))</f>
        <v>0</v>
      </c>
      <c r="MIC66" s="956">
        <f>MIN(MIC60*$C$65,Application!$AO$636-SUM('15 Year Pro Forma'!$E$66:MIB$66))</f>
        <v>0</v>
      </c>
      <c r="MIE66" s="956">
        <f>MIN(MIE60*$C$65,Application!$AO$636-SUM('15 Year Pro Forma'!$E$66:MID$66))</f>
        <v>0</v>
      </c>
      <c r="MIG66" s="956">
        <f>MIN(MIG60*$C$65,Application!$AO$636-SUM('15 Year Pro Forma'!$E$66:MIF$66))</f>
        <v>0</v>
      </c>
      <c r="MII66" s="956">
        <f>MIN(MII60*$C$65,Application!$AO$636-SUM('15 Year Pro Forma'!$E$66:MIH$66))</f>
        <v>0</v>
      </c>
      <c r="MIK66" s="956">
        <f>MIN(MIK60*$C$65,Application!$AO$636-SUM('15 Year Pro Forma'!$E$66:MIJ$66))</f>
        <v>0</v>
      </c>
      <c r="MIM66" s="956">
        <f>MIN(MIM60*$C$65,Application!$AO$636-SUM('15 Year Pro Forma'!$E$66:MIL$66))</f>
        <v>0</v>
      </c>
      <c r="MIO66" s="956">
        <f>MIN(MIO60*$C$65,Application!$AO$636-SUM('15 Year Pro Forma'!$E$66:MIN$66))</f>
        <v>0</v>
      </c>
      <c r="MIQ66" s="956">
        <f>MIN(MIQ60*$C$65,Application!$AO$636-SUM('15 Year Pro Forma'!$E$66:MIP$66))</f>
        <v>0</v>
      </c>
      <c r="MIS66" s="956">
        <f>MIN(MIS60*$C$65,Application!$AO$636-SUM('15 Year Pro Forma'!$E$66:MIR$66))</f>
        <v>0</v>
      </c>
      <c r="MIU66" s="956">
        <f>MIN(MIU60*$C$65,Application!$AO$636-SUM('15 Year Pro Forma'!$E$66:MIT$66))</f>
        <v>0</v>
      </c>
      <c r="MIW66" s="956">
        <f>MIN(MIW60*$C$65,Application!$AO$636-SUM('15 Year Pro Forma'!$E$66:MIV$66))</f>
        <v>0</v>
      </c>
      <c r="MIY66" s="956">
        <f>MIN(MIY60*$C$65,Application!$AO$636-SUM('15 Year Pro Forma'!$E$66:MIX$66))</f>
        <v>0</v>
      </c>
      <c r="MJA66" s="956">
        <f>MIN(MJA60*$C$65,Application!$AO$636-SUM('15 Year Pro Forma'!$E$66:MIZ$66))</f>
        <v>0</v>
      </c>
      <c r="MJC66" s="956">
        <f>MIN(MJC60*$C$65,Application!$AO$636-SUM('15 Year Pro Forma'!$E$66:MJB$66))</f>
        <v>0</v>
      </c>
      <c r="MJE66" s="956">
        <f>MIN(MJE60*$C$65,Application!$AO$636-SUM('15 Year Pro Forma'!$E$66:MJD$66))</f>
        <v>0</v>
      </c>
      <c r="MJG66" s="956">
        <f>MIN(MJG60*$C$65,Application!$AO$636-SUM('15 Year Pro Forma'!$E$66:MJF$66))</f>
        <v>0</v>
      </c>
      <c r="MJI66" s="956">
        <f>MIN(MJI60*$C$65,Application!$AO$636-SUM('15 Year Pro Forma'!$E$66:MJH$66))</f>
        <v>0</v>
      </c>
      <c r="MJK66" s="956">
        <f>MIN(MJK60*$C$65,Application!$AO$636-SUM('15 Year Pro Forma'!$E$66:MJJ$66))</f>
        <v>0</v>
      </c>
      <c r="MJM66" s="956">
        <f>MIN(MJM60*$C$65,Application!$AO$636-SUM('15 Year Pro Forma'!$E$66:MJL$66))</f>
        <v>0</v>
      </c>
      <c r="MJO66" s="956">
        <f>MIN(MJO60*$C$65,Application!$AO$636-SUM('15 Year Pro Forma'!$E$66:MJN$66))</f>
        <v>0</v>
      </c>
      <c r="MJQ66" s="956">
        <f>MIN(MJQ60*$C$65,Application!$AO$636-SUM('15 Year Pro Forma'!$E$66:MJP$66))</f>
        <v>0</v>
      </c>
      <c r="MJS66" s="956">
        <f>MIN(MJS60*$C$65,Application!$AO$636-SUM('15 Year Pro Forma'!$E$66:MJR$66))</f>
        <v>0</v>
      </c>
      <c r="MJU66" s="956">
        <f>MIN(MJU60*$C$65,Application!$AO$636-SUM('15 Year Pro Forma'!$E$66:MJT$66))</f>
        <v>0</v>
      </c>
      <c r="MJW66" s="956">
        <f>MIN(MJW60*$C$65,Application!$AO$636-SUM('15 Year Pro Forma'!$E$66:MJV$66))</f>
        <v>0</v>
      </c>
      <c r="MJY66" s="956">
        <f>MIN(MJY60*$C$65,Application!$AO$636-SUM('15 Year Pro Forma'!$E$66:MJX$66))</f>
        <v>0</v>
      </c>
      <c r="MKA66" s="956">
        <f>MIN(MKA60*$C$65,Application!$AO$636-SUM('15 Year Pro Forma'!$E$66:MJZ$66))</f>
        <v>0</v>
      </c>
      <c r="MKC66" s="956">
        <f>MIN(MKC60*$C$65,Application!$AO$636-SUM('15 Year Pro Forma'!$E$66:MKB$66))</f>
        <v>0</v>
      </c>
      <c r="MKE66" s="956">
        <f>MIN(MKE60*$C$65,Application!$AO$636-SUM('15 Year Pro Forma'!$E$66:MKD$66))</f>
        <v>0</v>
      </c>
      <c r="MKG66" s="956">
        <f>MIN(MKG60*$C$65,Application!$AO$636-SUM('15 Year Pro Forma'!$E$66:MKF$66))</f>
        <v>0</v>
      </c>
      <c r="MKI66" s="956">
        <f>MIN(MKI60*$C$65,Application!$AO$636-SUM('15 Year Pro Forma'!$E$66:MKH$66))</f>
        <v>0</v>
      </c>
      <c r="MKK66" s="956">
        <f>MIN(MKK60*$C$65,Application!$AO$636-SUM('15 Year Pro Forma'!$E$66:MKJ$66))</f>
        <v>0</v>
      </c>
      <c r="MKM66" s="956">
        <f>MIN(MKM60*$C$65,Application!$AO$636-SUM('15 Year Pro Forma'!$E$66:MKL$66))</f>
        <v>0</v>
      </c>
      <c r="MKO66" s="956">
        <f>MIN(MKO60*$C$65,Application!$AO$636-SUM('15 Year Pro Forma'!$E$66:MKN$66))</f>
        <v>0</v>
      </c>
      <c r="MKQ66" s="956">
        <f>MIN(MKQ60*$C$65,Application!$AO$636-SUM('15 Year Pro Forma'!$E$66:MKP$66))</f>
        <v>0</v>
      </c>
      <c r="MKS66" s="956">
        <f>MIN(MKS60*$C$65,Application!$AO$636-SUM('15 Year Pro Forma'!$E$66:MKR$66))</f>
        <v>0</v>
      </c>
      <c r="MKU66" s="956">
        <f>MIN(MKU60*$C$65,Application!$AO$636-SUM('15 Year Pro Forma'!$E$66:MKT$66))</f>
        <v>0</v>
      </c>
      <c r="MKW66" s="956">
        <f>MIN(MKW60*$C$65,Application!$AO$636-SUM('15 Year Pro Forma'!$E$66:MKV$66))</f>
        <v>0</v>
      </c>
      <c r="MKY66" s="956">
        <f>MIN(MKY60*$C$65,Application!$AO$636-SUM('15 Year Pro Forma'!$E$66:MKX$66))</f>
        <v>0</v>
      </c>
      <c r="MLA66" s="956">
        <f>MIN(MLA60*$C$65,Application!$AO$636-SUM('15 Year Pro Forma'!$E$66:MKZ$66))</f>
        <v>0</v>
      </c>
      <c r="MLC66" s="956">
        <f>MIN(MLC60*$C$65,Application!$AO$636-SUM('15 Year Pro Forma'!$E$66:MLB$66))</f>
        <v>0</v>
      </c>
      <c r="MLE66" s="956">
        <f>MIN(MLE60*$C$65,Application!$AO$636-SUM('15 Year Pro Forma'!$E$66:MLD$66))</f>
        <v>0</v>
      </c>
      <c r="MLG66" s="956">
        <f>MIN(MLG60*$C$65,Application!$AO$636-SUM('15 Year Pro Forma'!$E$66:MLF$66))</f>
        <v>0</v>
      </c>
      <c r="MLI66" s="956">
        <f>MIN(MLI60*$C$65,Application!$AO$636-SUM('15 Year Pro Forma'!$E$66:MLH$66))</f>
        <v>0</v>
      </c>
      <c r="MLK66" s="956">
        <f>MIN(MLK60*$C$65,Application!$AO$636-SUM('15 Year Pro Forma'!$E$66:MLJ$66))</f>
        <v>0</v>
      </c>
      <c r="MLM66" s="956">
        <f>MIN(MLM60*$C$65,Application!$AO$636-SUM('15 Year Pro Forma'!$E$66:MLL$66))</f>
        <v>0</v>
      </c>
      <c r="MLO66" s="956">
        <f>MIN(MLO60*$C$65,Application!$AO$636-SUM('15 Year Pro Forma'!$E$66:MLN$66))</f>
        <v>0</v>
      </c>
      <c r="MLQ66" s="956">
        <f>MIN(MLQ60*$C$65,Application!$AO$636-SUM('15 Year Pro Forma'!$E$66:MLP$66))</f>
        <v>0</v>
      </c>
      <c r="MLS66" s="956">
        <f>MIN(MLS60*$C$65,Application!$AO$636-SUM('15 Year Pro Forma'!$E$66:MLR$66))</f>
        <v>0</v>
      </c>
      <c r="MLU66" s="956">
        <f>MIN(MLU60*$C$65,Application!$AO$636-SUM('15 Year Pro Forma'!$E$66:MLT$66))</f>
        <v>0</v>
      </c>
      <c r="MLW66" s="956">
        <f>MIN(MLW60*$C$65,Application!$AO$636-SUM('15 Year Pro Forma'!$E$66:MLV$66))</f>
        <v>0</v>
      </c>
      <c r="MLY66" s="956">
        <f>MIN(MLY60*$C$65,Application!$AO$636-SUM('15 Year Pro Forma'!$E$66:MLX$66))</f>
        <v>0</v>
      </c>
      <c r="MMA66" s="956">
        <f>MIN(MMA60*$C$65,Application!$AO$636-SUM('15 Year Pro Forma'!$E$66:MLZ$66))</f>
        <v>0</v>
      </c>
      <c r="MMC66" s="956">
        <f>MIN(MMC60*$C$65,Application!$AO$636-SUM('15 Year Pro Forma'!$E$66:MMB$66))</f>
        <v>0</v>
      </c>
      <c r="MME66" s="956">
        <f>MIN(MME60*$C$65,Application!$AO$636-SUM('15 Year Pro Forma'!$E$66:MMD$66))</f>
        <v>0</v>
      </c>
      <c r="MMG66" s="956">
        <f>MIN(MMG60*$C$65,Application!$AO$636-SUM('15 Year Pro Forma'!$E$66:MMF$66))</f>
        <v>0</v>
      </c>
      <c r="MMI66" s="956">
        <f>MIN(MMI60*$C$65,Application!$AO$636-SUM('15 Year Pro Forma'!$E$66:MMH$66))</f>
        <v>0</v>
      </c>
      <c r="MMK66" s="956">
        <f>MIN(MMK60*$C$65,Application!$AO$636-SUM('15 Year Pro Forma'!$E$66:MMJ$66))</f>
        <v>0</v>
      </c>
      <c r="MMM66" s="956">
        <f>MIN(MMM60*$C$65,Application!$AO$636-SUM('15 Year Pro Forma'!$E$66:MML$66))</f>
        <v>0</v>
      </c>
      <c r="MMO66" s="956">
        <f>MIN(MMO60*$C$65,Application!$AO$636-SUM('15 Year Pro Forma'!$E$66:MMN$66))</f>
        <v>0</v>
      </c>
      <c r="MMQ66" s="956">
        <f>MIN(MMQ60*$C$65,Application!$AO$636-SUM('15 Year Pro Forma'!$E$66:MMP$66))</f>
        <v>0</v>
      </c>
      <c r="MMS66" s="956">
        <f>MIN(MMS60*$C$65,Application!$AO$636-SUM('15 Year Pro Forma'!$E$66:MMR$66))</f>
        <v>0</v>
      </c>
      <c r="MMU66" s="956">
        <f>MIN(MMU60*$C$65,Application!$AO$636-SUM('15 Year Pro Forma'!$E$66:MMT$66))</f>
        <v>0</v>
      </c>
      <c r="MMW66" s="956">
        <f>MIN(MMW60*$C$65,Application!$AO$636-SUM('15 Year Pro Forma'!$E$66:MMV$66))</f>
        <v>0</v>
      </c>
      <c r="MMY66" s="956">
        <f>MIN(MMY60*$C$65,Application!$AO$636-SUM('15 Year Pro Forma'!$E$66:MMX$66))</f>
        <v>0</v>
      </c>
      <c r="MNA66" s="956">
        <f>MIN(MNA60*$C$65,Application!$AO$636-SUM('15 Year Pro Forma'!$E$66:MMZ$66))</f>
        <v>0</v>
      </c>
      <c r="MNC66" s="956">
        <f>MIN(MNC60*$C$65,Application!$AO$636-SUM('15 Year Pro Forma'!$E$66:MNB$66))</f>
        <v>0</v>
      </c>
      <c r="MNE66" s="956">
        <f>MIN(MNE60*$C$65,Application!$AO$636-SUM('15 Year Pro Forma'!$E$66:MND$66))</f>
        <v>0</v>
      </c>
      <c r="MNG66" s="956">
        <f>MIN(MNG60*$C$65,Application!$AO$636-SUM('15 Year Pro Forma'!$E$66:MNF$66))</f>
        <v>0</v>
      </c>
      <c r="MNI66" s="956">
        <f>MIN(MNI60*$C$65,Application!$AO$636-SUM('15 Year Pro Forma'!$E$66:MNH$66))</f>
        <v>0</v>
      </c>
      <c r="MNK66" s="956">
        <f>MIN(MNK60*$C$65,Application!$AO$636-SUM('15 Year Pro Forma'!$E$66:MNJ$66))</f>
        <v>0</v>
      </c>
      <c r="MNM66" s="956">
        <f>MIN(MNM60*$C$65,Application!$AO$636-SUM('15 Year Pro Forma'!$E$66:MNL$66))</f>
        <v>0</v>
      </c>
      <c r="MNO66" s="956">
        <f>MIN(MNO60*$C$65,Application!$AO$636-SUM('15 Year Pro Forma'!$E$66:MNN$66))</f>
        <v>0</v>
      </c>
      <c r="MNQ66" s="956">
        <f>MIN(MNQ60*$C$65,Application!$AO$636-SUM('15 Year Pro Forma'!$E$66:MNP$66))</f>
        <v>0</v>
      </c>
      <c r="MNS66" s="956">
        <f>MIN(MNS60*$C$65,Application!$AO$636-SUM('15 Year Pro Forma'!$E$66:MNR$66))</f>
        <v>0</v>
      </c>
      <c r="MNU66" s="956">
        <f>MIN(MNU60*$C$65,Application!$AO$636-SUM('15 Year Pro Forma'!$E$66:MNT$66))</f>
        <v>0</v>
      </c>
      <c r="MNW66" s="956">
        <f>MIN(MNW60*$C$65,Application!$AO$636-SUM('15 Year Pro Forma'!$E$66:MNV$66))</f>
        <v>0</v>
      </c>
      <c r="MNY66" s="956">
        <f>MIN(MNY60*$C$65,Application!$AO$636-SUM('15 Year Pro Forma'!$E$66:MNX$66))</f>
        <v>0</v>
      </c>
      <c r="MOA66" s="956">
        <f>MIN(MOA60*$C$65,Application!$AO$636-SUM('15 Year Pro Forma'!$E$66:MNZ$66))</f>
        <v>0</v>
      </c>
      <c r="MOC66" s="956">
        <f>MIN(MOC60*$C$65,Application!$AO$636-SUM('15 Year Pro Forma'!$E$66:MOB$66))</f>
        <v>0</v>
      </c>
      <c r="MOE66" s="956">
        <f>MIN(MOE60*$C$65,Application!$AO$636-SUM('15 Year Pro Forma'!$E$66:MOD$66))</f>
        <v>0</v>
      </c>
      <c r="MOG66" s="956">
        <f>MIN(MOG60*$C$65,Application!$AO$636-SUM('15 Year Pro Forma'!$E$66:MOF$66))</f>
        <v>0</v>
      </c>
      <c r="MOI66" s="956">
        <f>MIN(MOI60*$C$65,Application!$AO$636-SUM('15 Year Pro Forma'!$E$66:MOH$66))</f>
        <v>0</v>
      </c>
      <c r="MOK66" s="956">
        <f>MIN(MOK60*$C$65,Application!$AO$636-SUM('15 Year Pro Forma'!$E$66:MOJ$66))</f>
        <v>0</v>
      </c>
      <c r="MOM66" s="956">
        <f>MIN(MOM60*$C$65,Application!$AO$636-SUM('15 Year Pro Forma'!$E$66:MOL$66))</f>
        <v>0</v>
      </c>
      <c r="MOO66" s="956">
        <f>MIN(MOO60*$C$65,Application!$AO$636-SUM('15 Year Pro Forma'!$E$66:MON$66))</f>
        <v>0</v>
      </c>
      <c r="MOQ66" s="956">
        <f>MIN(MOQ60*$C$65,Application!$AO$636-SUM('15 Year Pro Forma'!$E$66:MOP$66))</f>
        <v>0</v>
      </c>
      <c r="MOS66" s="956">
        <f>MIN(MOS60*$C$65,Application!$AO$636-SUM('15 Year Pro Forma'!$E$66:MOR$66))</f>
        <v>0</v>
      </c>
      <c r="MOU66" s="956">
        <f>MIN(MOU60*$C$65,Application!$AO$636-SUM('15 Year Pro Forma'!$E$66:MOT$66))</f>
        <v>0</v>
      </c>
      <c r="MOW66" s="956">
        <f>MIN(MOW60*$C$65,Application!$AO$636-SUM('15 Year Pro Forma'!$E$66:MOV$66))</f>
        <v>0</v>
      </c>
      <c r="MOY66" s="956">
        <f>MIN(MOY60*$C$65,Application!$AO$636-SUM('15 Year Pro Forma'!$E$66:MOX$66))</f>
        <v>0</v>
      </c>
      <c r="MPA66" s="956">
        <f>MIN(MPA60*$C$65,Application!$AO$636-SUM('15 Year Pro Forma'!$E$66:MOZ$66))</f>
        <v>0</v>
      </c>
      <c r="MPC66" s="956">
        <f>MIN(MPC60*$C$65,Application!$AO$636-SUM('15 Year Pro Forma'!$E$66:MPB$66))</f>
        <v>0</v>
      </c>
      <c r="MPE66" s="956">
        <f>MIN(MPE60*$C$65,Application!$AO$636-SUM('15 Year Pro Forma'!$E$66:MPD$66))</f>
        <v>0</v>
      </c>
      <c r="MPG66" s="956">
        <f>MIN(MPG60*$C$65,Application!$AO$636-SUM('15 Year Pro Forma'!$E$66:MPF$66))</f>
        <v>0</v>
      </c>
      <c r="MPI66" s="956">
        <f>MIN(MPI60*$C$65,Application!$AO$636-SUM('15 Year Pro Forma'!$E$66:MPH$66))</f>
        <v>0</v>
      </c>
      <c r="MPK66" s="956">
        <f>MIN(MPK60*$C$65,Application!$AO$636-SUM('15 Year Pro Forma'!$E$66:MPJ$66))</f>
        <v>0</v>
      </c>
      <c r="MPM66" s="956">
        <f>MIN(MPM60*$C$65,Application!$AO$636-SUM('15 Year Pro Forma'!$E$66:MPL$66))</f>
        <v>0</v>
      </c>
      <c r="MPO66" s="956">
        <f>MIN(MPO60*$C$65,Application!$AO$636-SUM('15 Year Pro Forma'!$E$66:MPN$66))</f>
        <v>0</v>
      </c>
      <c r="MPQ66" s="956">
        <f>MIN(MPQ60*$C$65,Application!$AO$636-SUM('15 Year Pro Forma'!$E$66:MPP$66))</f>
        <v>0</v>
      </c>
      <c r="MPS66" s="956">
        <f>MIN(MPS60*$C$65,Application!$AO$636-SUM('15 Year Pro Forma'!$E$66:MPR$66))</f>
        <v>0</v>
      </c>
      <c r="MPU66" s="956">
        <f>MIN(MPU60*$C$65,Application!$AO$636-SUM('15 Year Pro Forma'!$E$66:MPT$66))</f>
        <v>0</v>
      </c>
      <c r="MPW66" s="956">
        <f>MIN(MPW60*$C$65,Application!$AO$636-SUM('15 Year Pro Forma'!$E$66:MPV$66))</f>
        <v>0</v>
      </c>
      <c r="MPY66" s="956">
        <f>MIN(MPY60*$C$65,Application!$AO$636-SUM('15 Year Pro Forma'!$E$66:MPX$66))</f>
        <v>0</v>
      </c>
      <c r="MQA66" s="956">
        <f>MIN(MQA60*$C$65,Application!$AO$636-SUM('15 Year Pro Forma'!$E$66:MPZ$66))</f>
        <v>0</v>
      </c>
      <c r="MQC66" s="956">
        <f>MIN(MQC60*$C$65,Application!$AO$636-SUM('15 Year Pro Forma'!$E$66:MQB$66))</f>
        <v>0</v>
      </c>
      <c r="MQE66" s="956">
        <f>MIN(MQE60*$C$65,Application!$AO$636-SUM('15 Year Pro Forma'!$E$66:MQD$66))</f>
        <v>0</v>
      </c>
      <c r="MQG66" s="956">
        <f>MIN(MQG60*$C$65,Application!$AO$636-SUM('15 Year Pro Forma'!$E$66:MQF$66))</f>
        <v>0</v>
      </c>
      <c r="MQI66" s="956">
        <f>MIN(MQI60*$C$65,Application!$AO$636-SUM('15 Year Pro Forma'!$E$66:MQH$66))</f>
        <v>0</v>
      </c>
      <c r="MQK66" s="956">
        <f>MIN(MQK60*$C$65,Application!$AO$636-SUM('15 Year Pro Forma'!$E$66:MQJ$66))</f>
        <v>0</v>
      </c>
      <c r="MQM66" s="956">
        <f>MIN(MQM60*$C$65,Application!$AO$636-SUM('15 Year Pro Forma'!$E$66:MQL$66))</f>
        <v>0</v>
      </c>
      <c r="MQO66" s="956">
        <f>MIN(MQO60*$C$65,Application!$AO$636-SUM('15 Year Pro Forma'!$E$66:MQN$66))</f>
        <v>0</v>
      </c>
      <c r="MQQ66" s="956">
        <f>MIN(MQQ60*$C$65,Application!$AO$636-SUM('15 Year Pro Forma'!$E$66:MQP$66))</f>
        <v>0</v>
      </c>
      <c r="MQS66" s="956">
        <f>MIN(MQS60*$C$65,Application!$AO$636-SUM('15 Year Pro Forma'!$E$66:MQR$66))</f>
        <v>0</v>
      </c>
      <c r="MQU66" s="956">
        <f>MIN(MQU60*$C$65,Application!$AO$636-SUM('15 Year Pro Forma'!$E$66:MQT$66))</f>
        <v>0</v>
      </c>
      <c r="MQW66" s="956">
        <f>MIN(MQW60*$C$65,Application!$AO$636-SUM('15 Year Pro Forma'!$E$66:MQV$66))</f>
        <v>0</v>
      </c>
      <c r="MQY66" s="956">
        <f>MIN(MQY60*$C$65,Application!$AO$636-SUM('15 Year Pro Forma'!$E$66:MQX$66))</f>
        <v>0</v>
      </c>
      <c r="MRA66" s="956">
        <f>MIN(MRA60*$C$65,Application!$AO$636-SUM('15 Year Pro Forma'!$E$66:MQZ$66))</f>
        <v>0</v>
      </c>
      <c r="MRC66" s="956">
        <f>MIN(MRC60*$C$65,Application!$AO$636-SUM('15 Year Pro Forma'!$E$66:MRB$66))</f>
        <v>0</v>
      </c>
      <c r="MRE66" s="956">
        <f>MIN(MRE60*$C$65,Application!$AO$636-SUM('15 Year Pro Forma'!$E$66:MRD$66))</f>
        <v>0</v>
      </c>
      <c r="MRG66" s="956">
        <f>MIN(MRG60*$C$65,Application!$AO$636-SUM('15 Year Pro Forma'!$E$66:MRF$66))</f>
        <v>0</v>
      </c>
      <c r="MRI66" s="956">
        <f>MIN(MRI60*$C$65,Application!$AO$636-SUM('15 Year Pro Forma'!$E$66:MRH$66))</f>
        <v>0</v>
      </c>
      <c r="MRK66" s="956">
        <f>MIN(MRK60*$C$65,Application!$AO$636-SUM('15 Year Pro Forma'!$E$66:MRJ$66))</f>
        <v>0</v>
      </c>
      <c r="MRM66" s="956">
        <f>MIN(MRM60*$C$65,Application!$AO$636-SUM('15 Year Pro Forma'!$E$66:MRL$66))</f>
        <v>0</v>
      </c>
      <c r="MRO66" s="956">
        <f>MIN(MRO60*$C$65,Application!$AO$636-SUM('15 Year Pro Forma'!$E$66:MRN$66))</f>
        <v>0</v>
      </c>
      <c r="MRQ66" s="956">
        <f>MIN(MRQ60*$C$65,Application!$AO$636-SUM('15 Year Pro Forma'!$E$66:MRP$66))</f>
        <v>0</v>
      </c>
      <c r="MRS66" s="956">
        <f>MIN(MRS60*$C$65,Application!$AO$636-SUM('15 Year Pro Forma'!$E$66:MRR$66))</f>
        <v>0</v>
      </c>
      <c r="MRU66" s="956">
        <f>MIN(MRU60*$C$65,Application!$AO$636-SUM('15 Year Pro Forma'!$E$66:MRT$66))</f>
        <v>0</v>
      </c>
      <c r="MRW66" s="956">
        <f>MIN(MRW60*$C$65,Application!$AO$636-SUM('15 Year Pro Forma'!$E$66:MRV$66))</f>
        <v>0</v>
      </c>
      <c r="MRY66" s="956">
        <f>MIN(MRY60*$C$65,Application!$AO$636-SUM('15 Year Pro Forma'!$E$66:MRX$66))</f>
        <v>0</v>
      </c>
      <c r="MSA66" s="956">
        <f>MIN(MSA60*$C$65,Application!$AO$636-SUM('15 Year Pro Forma'!$E$66:MRZ$66))</f>
        <v>0</v>
      </c>
      <c r="MSC66" s="956">
        <f>MIN(MSC60*$C$65,Application!$AO$636-SUM('15 Year Pro Forma'!$E$66:MSB$66))</f>
        <v>0</v>
      </c>
      <c r="MSE66" s="956">
        <f>MIN(MSE60*$C$65,Application!$AO$636-SUM('15 Year Pro Forma'!$E$66:MSD$66))</f>
        <v>0</v>
      </c>
      <c r="MSG66" s="956">
        <f>MIN(MSG60*$C$65,Application!$AO$636-SUM('15 Year Pro Forma'!$E$66:MSF$66))</f>
        <v>0</v>
      </c>
      <c r="MSI66" s="956">
        <f>MIN(MSI60*$C$65,Application!$AO$636-SUM('15 Year Pro Forma'!$E$66:MSH$66))</f>
        <v>0</v>
      </c>
      <c r="MSK66" s="956">
        <f>MIN(MSK60*$C$65,Application!$AO$636-SUM('15 Year Pro Forma'!$E$66:MSJ$66))</f>
        <v>0</v>
      </c>
      <c r="MSM66" s="956">
        <f>MIN(MSM60*$C$65,Application!$AO$636-SUM('15 Year Pro Forma'!$E$66:MSL$66))</f>
        <v>0</v>
      </c>
      <c r="MSO66" s="956">
        <f>MIN(MSO60*$C$65,Application!$AO$636-SUM('15 Year Pro Forma'!$E$66:MSN$66))</f>
        <v>0</v>
      </c>
      <c r="MSQ66" s="956">
        <f>MIN(MSQ60*$C$65,Application!$AO$636-SUM('15 Year Pro Forma'!$E$66:MSP$66))</f>
        <v>0</v>
      </c>
      <c r="MSS66" s="956">
        <f>MIN(MSS60*$C$65,Application!$AO$636-SUM('15 Year Pro Forma'!$E$66:MSR$66))</f>
        <v>0</v>
      </c>
      <c r="MSU66" s="956">
        <f>MIN(MSU60*$C$65,Application!$AO$636-SUM('15 Year Pro Forma'!$E$66:MST$66))</f>
        <v>0</v>
      </c>
      <c r="MSW66" s="956">
        <f>MIN(MSW60*$C$65,Application!$AO$636-SUM('15 Year Pro Forma'!$E$66:MSV$66))</f>
        <v>0</v>
      </c>
      <c r="MSY66" s="956">
        <f>MIN(MSY60*$C$65,Application!$AO$636-SUM('15 Year Pro Forma'!$E$66:MSX$66))</f>
        <v>0</v>
      </c>
      <c r="MTA66" s="956">
        <f>MIN(MTA60*$C$65,Application!$AO$636-SUM('15 Year Pro Forma'!$E$66:MSZ$66))</f>
        <v>0</v>
      </c>
      <c r="MTC66" s="956">
        <f>MIN(MTC60*$C$65,Application!$AO$636-SUM('15 Year Pro Forma'!$E$66:MTB$66))</f>
        <v>0</v>
      </c>
      <c r="MTE66" s="956">
        <f>MIN(MTE60*$C$65,Application!$AO$636-SUM('15 Year Pro Forma'!$E$66:MTD$66))</f>
        <v>0</v>
      </c>
      <c r="MTG66" s="956">
        <f>MIN(MTG60*$C$65,Application!$AO$636-SUM('15 Year Pro Forma'!$E$66:MTF$66))</f>
        <v>0</v>
      </c>
      <c r="MTI66" s="956">
        <f>MIN(MTI60*$C$65,Application!$AO$636-SUM('15 Year Pro Forma'!$E$66:MTH$66))</f>
        <v>0</v>
      </c>
      <c r="MTK66" s="956">
        <f>MIN(MTK60*$C$65,Application!$AO$636-SUM('15 Year Pro Forma'!$E$66:MTJ$66))</f>
        <v>0</v>
      </c>
      <c r="MTM66" s="956">
        <f>MIN(MTM60*$C$65,Application!$AO$636-SUM('15 Year Pro Forma'!$E$66:MTL$66))</f>
        <v>0</v>
      </c>
      <c r="MTO66" s="956">
        <f>MIN(MTO60*$C$65,Application!$AO$636-SUM('15 Year Pro Forma'!$E$66:MTN$66))</f>
        <v>0</v>
      </c>
      <c r="MTQ66" s="956">
        <f>MIN(MTQ60*$C$65,Application!$AO$636-SUM('15 Year Pro Forma'!$E$66:MTP$66))</f>
        <v>0</v>
      </c>
      <c r="MTS66" s="956">
        <f>MIN(MTS60*$C$65,Application!$AO$636-SUM('15 Year Pro Forma'!$E$66:MTR$66))</f>
        <v>0</v>
      </c>
      <c r="MTU66" s="956">
        <f>MIN(MTU60*$C$65,Application!$AO$636-SUM('15 Year Pro Forma'!$E$66:MTT$66))</f>
        <v>0</v>
      </c>
      <c r="MTW66" s="956">
        <f>MIN(MTW60*$C$65,Application!$AO$636-SUM('15 Year Pro Forma'!$E$66:MTV$66))</f>
        <v>0</v>
      </c>
      <c r="MTY66" s="956">
        <f>MIN(MTY60*$C$65,Application!$AO$636-SUM('15 Year Pro Forma'!$E$66:MTX$66))</f>
        <v>0</v>
      </c>
      <c r="MUA66" s="956">
        <f>MIN(MUA60*$C$65,Application!$AO$636-SUM('15 Year Pro Forma'!$E$66:MTZ$66))</f>
        <v>0</v>
      </c>
      <c r="MUC66" s="956">
        <f>MIN(MUC60*$C$65,Application!$AO$636-SUM('15 Year Pro Forma'!$E$66:MUB$66))</f>
        <v>0</v>
      </c>
      <c r="MUE66" s="956">
        <f>MIN(MUE60*$C$65,Application!$AO$636-SUM('15 Year Pro Forma'!$E$66:MUD$66))</f>
        <v>0</v>
      </c>
      <c r="MUG66" s="956">
        <f>MIN(MUG60*$C$65,Application!$AO$636-SUM('15 Year Pro Forma'!$E$66:MUF$66))</f>
        <v>0</v>
      </c>
      <c r="MUI66" s="956">
        <f>MIN(MUI60*$C$65,Application!$AO$636-SUM('15 Year Pro Forma'!$E$66:MUH$66))</f>
        <v>0</v>
      </c>
      <c r="MUK66" s="956">
        <f>MIN(MUK60*$C$65,Application!$AO$636-SUM('15 Year Pro Forma'!$E$66:MUJ$66))</f>
        <v>0</v>
      </c>
      <c r="MUM66" s="956">
        <f>MIN(MUM60*$C$65,Application!$AO$636-SUM('15 Year Pro Forma'!$E$66:MUL$66))</f>
        <v>0</v>
      </c>
      <c r="MUO66" s="956">
        <f>MIN(MUO60*$C$65,Application!$AO$636-SUM('15 Year Pro Forma'!$E$66:MUN$66))</f>
        <v>0</v>
      </c>
      <c r="MUQ66" s="956">
        <f>MIN(MUQ60*$C$65,Application!$AO$636-SUM('15 Year Pro Forma'!$E$66:MUP$66))</f>
        <v>0</v>
      </c>
      <c r="MUS66" s="956">
        <f>MIN(MUS60*$C$65,Application!$AO$636-SUM('15 Year Pro Forma'!$E$66:MUR$66))</f>
        <v>0</v>
      </c>
      <c r="MUU66" s="956">
        <f>MIN(MUU60*$C$65,Application!$AO$636-SUM('15 Year Pro Forma'!$E$66:MUT$66))</f>
        <v>0</v>
      </c>
      <c r="MUW66" s="956">
        <f>MIN(MUW60*$C$65,Application!$AO$636-SUM('15 Year Pro Forma'!$E$66:MUV$66))</f>
        <v>0</v>
      </c>
      <c r="MUY66" s="956">
        <f>MIN(MUY60*$C$65,Application!$AO$636-SUM('15 Year Pro Forma'!$E$66:MUX$66))</f>
        <v>0</v>
      </c>
      <c r="MVA66" s="956">
        <f>MIN(MVA60*$C$65,Application!$AO$636-SUM('15 Year Pro Forma'!$E$66:MUZ$66))</f>
        <v>0</v>
      </c>
      <c r="MVC66" s="956">
        <f>MIN(MVC60*$C$65,Application!$AO$636-SUM('15 Year Pro Forma'!$E$66:MVB$66))</f>
        <v>0</v>
      </c>
      <c r="MVE66" s="956">
        <f>MIN(MVE60*$C$65,Application!$AO$636-SUM('15 Year Pro Forma'!$E$66:MVD$66))</f>
        <v>0</v>
      </c>
      <c r="MVG66" s="956">
        <f>MIN(MVG60*$C$65,Application!$AO$636-SUM('15 Year Pro Forma'!$E$66:MVF$66))</f>
        <v>0</v>
      </c>
      <c r="MVI66" s="956">
        <f>MIN(MVI60*$C$65,Application!$AO$636-SUM('15 Year Pro Forma'!$E$66:MVH$66))</f>
        <v>0</v>
      </c>
      <c r="MVK66" s="956">
        <f>MIN(MVK60*$C$65,Application!$AO$636-SUM('15 Year Pro Forma'!$E$66:MVJ$66))</f>
        <v>0</v>
      </c>
      <c r="MVM66" s="956">
        <f>MIN(MVM60*$C$65,Application!$AO$636-SUM('15 Year Pro Forma'!$E$66:MVL$66))</f>
        <v>0</v>
      </c>
      <c r="MVO66" s="956">
        <f>MIN(MVO60*$C$65,Application!$AO$636-SUM('15 Year Pro Forma'!$E$66:MVN$66))</f>
        <v>0</v>
      </c>
      <c r="MVQ66" s="956">
        <f>MIN(MVQ60*$C$65,Application!$AO$636-SUM('15 Year Pro Forma'!$E$66:MVP$66))</f>
        <v>0</v>
      </c>
      <c r="MVS66" s="956">
        <f>MIN(MVS60*$C$65,Application!$AO$636-SUM('15 Year Pro Forma'!$E$66:MVR$66))</f>
        <v>0</v>
      </c>
      <c r="MVU66" s="956">
        <f>MIN(MVU60*$C$65,Application!$AO$636-SUM('15 Year Pro Forma'!$E$66:MVT$66))</f>
        <v>0</v>
      </c>
      <c r="MVW66" s="956">
        <f>MIN(MVW60*$C$65,Application!$AO$636-SUM('15 Year Pro Forma'!$E$66:MVV$66))</f>
        <v>0</v>
      </c>
      <c r="MVY66" s="956">
        <f>MIN(MVY60*$C$65,Application!$AO$636-SUM('15 Year Pro Forma'!$E$66:MVX$66))</f>
        <v>0</v>
      </c>
      <c r="MWA66" s="956">
        <f>MIN(MWA60*$C$65,Application!$AO$636-SUM('15 Year Pro Forma'!$E$66:MVZ$66))</f>
        <v>0</v>
      </c>
      <c r="MWC66" s="956">
        <f>MIN(MWC60*$C$65,Application!$AO$636-SUM('15 Year Pro Forma'!$E$66:MWB$66))</f>
        <v>0</v>
      </c>
      <c r="MWE66" s="956">
        <f>MIN(MWE60*$C$65,Application!$AO$636-SUM('15 Year Pro Forma'!$E$66:MWD$66))</f>
        <v>0</v>
      </c>
      <c r="MWG66" s="956">
        <f>MIN(MWG60*$C$65,Application!$AO$636-SUM('15 Year Pro Forma'!$E$66:MWF$66))</f>
        <v>0</v>
      </c>
      <c r="MWI66" s="956">
        <f>MIN(MWI60*$C$65,Application!$AO$636-SUM('15 Year Pro Forma'!$E$66:MWH$66))</f>
        <v>0</v>
      </c>
      <c r="MWK66" s="956">
        <f>MIN(MWK60*$C$65,Application!$AO$636-SUM('15 Year Pro Forma'!$E$66:MWJ$66))</f>
        <v>0</v>
      </c>
      <c r="MWM66" s="956">
        <f>MIN(MWM60*$C$65,Application!$AO$636-SUM('15 Year Pro Forma'!$E$66:MWL$66))</f>
        <v>0</v>
      </c>
      <c r="MWO66" s="956">
        <f>MIN(MWO60*$C$65,Application!$AO$636-SUM('15 Year Pro Forma'!$E$66:MWN$66))</f>
        <v>0</v>
      </c>
      <c r="MWQ66" s="956">
        <f>MIN(MWQ60*$C$65,Application!$AO$636-SUM('15 Year Pro Forma'!$E$66:MWP$66))</f>
        <v>0</v>
      </c>
      <c r="MWS66" s="956">
        <f>MIN(MWS60*$C$65,Application!$AO$636-SUM('15 Year Pro Forma'!$E$66:MWR$66))</f>
        <v>0</v>
      </c>
      <c r="MWU66" s="956">
        <f>MIN(MWU60*$C$65,Application!$AO$636-SUM('15 Year Pro Forma'!$E$66:MWT$66))</f>
        <v>0</v>
      </c>
      <c r="MWW66" s="956">
        <f>MIN(MWW60*$C$65,Application!$AO$636-SUM('15 Year Pro Forma'!$E$66:MWV$66))</f>
        <v>0</v>
      </c>
      <c r="MWY66" s="956">
        <f>MIN(MWY60*$C$65,Application!$AO$636-SUM('15 Year Pro Forma'!$E$66:MWX$66))</f>
        <v>0</v>
      </c>
      <c r="MXA66" s="956">
        <f>MIN(MXA60*$C$65,Application!$AO$636-SUM('15 Year Pro Forma'!$E$66:MWZ$66))</f>
        <v>0</v>
      </c>
      <c r="MXC66" s="956">
        <f>MIN(MXC60*$C$65,Application!$AO$636-SUM('15 Year Pro Forma'!$E$66:MXB$66))</f>
        <v>0</v>
      </c>
      <c r="MXE66" s="956">
        <f>MIN(MXE60*$C$65,Application!$AO$636-SUM('15 Year Pro Forma'!$E$66:MXD$66))</f>
        <v>0</v>
      </c>
      <c r="MXG66" s="956">
        <f>MIN(MXG60*$C$65,Application!$AO$636-SUM('15 Year Pro Forma'!$E$66:MXF$66))</f>
        <v>0</v>
      </c>
      <c r="MXI66" s="956">
        <f>MIN(MXI60*$C$65,Application!$AO$636-SUM('15 Year Pro Forma'!$E$66:MXH$66))</f>
        <v>0</v>
      </c>
      <c r="MXK66" s="956">
        <f>MIN(MXK60*$C$65,Application!$AO$636-SUM('15 Year Pro Forma'!$E$66:MXJ$66))</f>
        <v>0</v>
      </c>
      <c r="MXM66" s="956">
        <f>MIN(MXM60*$C$65,Application!$AO$636-SUM('15 Year Pro Forma'!$E$66:MXL$66))</f>
        <v>0</v>
      </c>
      <c r="MXO66" s="956">
        <f>MIN(MXO60*$C$65,Application!$AO$636-SUM('15 Year Pro Forma'!$E$66:MXN$66))</f>
        <v>0</v>
      </c>
      <c r="MXQ66" s="956">
        <f>MIN(MXQ60*$C$65,Application!$AO$636-SUM('15 Year Pro Forma'!$E$66:MXP$66))</f>
        <v>0</v>
      </c>
      <c r="MXS66" s="956">
        <f>MIN(MXS60*$C$65,Application!$AO$636-SUM('15 Year Pro Forma'!$E$66:MXR$66))</f>
        <v>0</v>
      </c>
      <c r="MXU66" s="956">
        <f>MIN(MXU60*$C$65,Application!$AO$636-SUM('15 Year Pro Forma'!$E$66:MXT$66))</f>
        <v>0</v>
      </c>
      <c r="MXW66" s="956">
        <f>MIN(MXW60*$C$65,Application!$AO$636-SUM('15 Year Pro Forma'!$E$66:MXV$66))</f>
        <v>0</v>
      </c>
      <c r="MXY66" s="956">
        <f>MIN(MXY60*$C$65,Application!$AO$636-SUM('15 Year Pro Forma'!$E$66:MXX$66))</f>
        <v>0</v>
      </c>
      <c r="MYA66" s="956">
        <f>MIN(MYA60*$C$65,Application!$AO$636-SUM('15 Year Pro Forma'!$E$66:MXZ$66))</f>
        <v>0</v>
      </c>
      <c r="MYC66" s="956">
        <f>MIN(MYC60*$C$65,Application!$AO$636-SUM('15 Year Pro Forma'!$E$66:MYB$66))</f>
        <v>0</v>
      </c>
      <c r="MYE66" s="956">
        <f>MIN(MYE60*$C$65,Application!$AO$636-SUM('15 Year Pro Forma'!$E$66:MYD$66))</f>
        <v>0</v>
      </c>
      <c r="MYG66" s="956">
        <f>MIN(MYG60*$C$65,Application!$AO$636-SUM('15 Year Pro Forma'!$E$66:MYF$66))</f>
        <v>0</v>
      </c>
      <c r="MYI66" s="956">
        <f>MIN(MYI60*$C$65,Application!$AO$636-SUM('15 Year Pro Forma'!$E$66:MYH$66))</f>
        <v>0</v>
      </c>
      <c r="MYK66" s="956">
        <f>MIN(MYK60*$C$65,Application!$AO$636-SUM('15 Year Pro Forma'!$E$66:MYJ$66))</f>
        <v>0</v>
      </c>
      <c r="MYM66" s="956">
        <f>MIN(MYM60*$C$65,Application!$AO$636-SUM('15 Year Pro Forma'!$E$66:MYL$66))</f>
        <v>0</v>
      </c>
      <c r="MYO66" s="956">
        <f>MIN(MYO60*$C$65,Application!$AO$636-SUM('15 Year Pro Forma'!$E$66:MYN$66))</f>
        <v>0</v>
      </c>
      <c r="MYQ66" s="956">
        <f>MIN(MYQ60*$C$65,Application!$AO$636-SUM('15 Year Pro Forma'!$E$66:MYP$66))</f>
        <v>0</v>
      </c>
      <c r="MYS66" s="956">
        <f>MIN(MYS60*$C$65,Application!$AO$636-SUM('15 Year Pro Forma'!$E$66:MYR$66))</f>
        <v>0</v>
      </c>
      <c r="MYU66" s="956">
        <f>MIN(MYU60*$C$65,Application!$AO$636-SUM('15 Year Pro Forma'!$E$66:MYT$66))</f>
        <v>0</v>
      </c>
      <c r="MYW66" s="956">
        <f>MIN(MYW60*$C$65,Application!$AO$636-SUM('15 Year Pro Forma'!$E$66:MYV$66))</f>
        <v>0</v>
      </c>
      <c r="MYY66" s="956">
        <f>MIN(MYY60*$C$65,Application!$AO$636-SUM('15 Year Pro Forma'!$E$66:MYX$66))</f>
        <v>0</v>
      </c>
      <c r="MZA66" s="956">
        <f>MIN(MZA60*$C$65,Application!$AO$636-SUM('15 Year Pro Forma'!$E$66:MYZ$66))</f>
        <v>0</v>
      </c>
      <c r="MZC66" s="956">
        <f>MIN(MZC60*$C$65,Application!$AO$636-SUM('15 Year Pro Forma'!$E$66:MZB$66))</f>
        <v>0</v>
      </c>
      <c r="MZE66" s="956">
        <f>MIN(MZE60*$C$65,Application!$AO$636-SUM('15 Year Pro Forma'!$E$66:MZD$66))</f>
        <v>0</v>
      </c>
      <c r="MZG66" s="956">
        <f>MIN(MZG60*$C$65,Application!$AO$636-SUM('15 Year Pro Forma'!$E$66:MZF$66))</f>
        <v>0</v>
      </c>
      <c r="MZI66" s="956">
        <f>MIN(MZI60*$C$65,Application!$AO$636-SUM('15 Year Pro Forma'!$E$66:MZH$66))</f>
        <v>0</v>
      </c>
      <c r="MZK66" s="956">
        <f>MIN(MZK60*$C$65,Application!$AO$636-SUM('15 Year Pro Forma'!$E$66:MZJ$66))</f>
        <v>0</v>
      </c>
      <c r="MZM66" s="956">
        <f>MIN(MZM60*$C$65,Application!$AO$636-SUM('15 Year Pro Forma'!$E$66:MZL$66))</f>
        <v>0</v>
      </c>
      <c r="MZO66" s="956">
        <f>MIN(MZO60*$C$65,Application!$AO$636-SUM('15 Year Pro Forma'!$E$66:MZN$66))</f>
        <v>0</v>
      </c>
      <c r="MZQ66" s="956">
        <f>MIN(MZQ60*$C$65,Application!$AO$636-SUM('15 Year Pro Forma'!$E$66:MZP$66))</f>
        <v>0</v>
      </c>
      <c r="MZS66" s="956">
        <f>MIN(MZS60*$C$65,Application!$AO$636-SUM('15 Year Pro Forma'!$E$66:MZR$66))</f>
        <v>0</v>
      </c>
      <c r="MZU66" s="956">
        <f>MIN(MZU60*$C$65,Application!$AO$636-SUM('15 Year Pro Forma'!$E$66:MZT$66))</f>
        <v>0</v>
      </c>
      <c r="MZW66" s="956">
        <f>MIN(MZW60*$C$65,Application!$AO$636-SUM('15 Year Pro Forma'!$E$66:MZV$66))</f>
        <v>0</v>
      </c>
      <c r="MZY66" s="956">
        <f>MIN(MZY60*$C$65,Application!$AO$636-SUM('15 Year Pro Forma'!$E$66:MZX$66))</f>
        <v>0</v>
      </c>
      <c r="NAA66" s="956">
        <f>MIN(NAA60*$C$65,Application!$AO$636-SUM('15 Year Pro Forma'!$E$66:MZZ$66))</f>
        <v>0</v>
      </c>
      <c r="NAC66" s="956">
        <f>MIN(NAC60*$C$65,Application!$AO$636-SUM('15 Year Pro Forma'!$E$66:NAB$66))</f>
        <v>0</v>
      </c>
      <c r="NAE66" s="956">
        <f>MIN(NAE60*$C$65,Application!$AO$636-SUM('15 Year Pro Forma'!$E$66:NAD$66))</f>
        <v>0</v>
      </c>
      <c r="NAG66" s="956">
        <f>MIN(NAG60*$C$65,Application!$AO$636-SUM('15 Year Pro Forma'!$E$66:NAF$66))</f>
        <v>0</v>
      </c>
      <c r="NAI66" s="956">
        <f>MIN(NAI60*$C$65,Application!$AO$636-SUM('15 Year Pro Forma'!$E$66:NAH$66))</f>
        <v>0</v>
      </c>
      <c r="NAK66" s="956">
        <f>MIN(NAK60*$C$65,Application!$AO$636-SUM('15 Year Pro Forma'!$E$66:NAJ$66))</f>
        <v>0</v>
      </c>
      <c r="NAM66" s="956">
        <f>MIN(NAM60*$C$65,Application!$AO$636-SUM('15 Year Pro Forma'!$E$66:NAL$66))</f>
        <v>0</v>
      </c>
      <c r="NAO66" s="956">
        <f>MIN(NAO60*$C$65,Application!$AO$636-SUM('15 Year Pro Forma'!$E$66:NAN$66))</f>
        <v>0</v>
      </c>
      <c r="NAQ66" s="956">
        <f>MIN(NAQ60*$C$65,Application!$AO$636-SUM('15 Year Pro Forma'!$E$66:NAP$66))</f>
        <v>0</v>
      </c>
      <c r="NAS66" s="956">
        <f>MIN(NAS60*$C$65,Application!$AO$636-SUM('15 Year Pro Forma'!$E$66:NAR$66))</f>
        <v>0</v>
      </c>
      <c r="NAU66" s="956">
        <f>MIN(NAU60*$C$65,Application!$AO$636-SUM('15 Year Pro Forma'!$E$66:NAT$66))</f>
        <v>0</v>
      </c>
      <c r="NAW66" s="956">
        <f>MIN(NAW60*$C$65,Application!$AO$636-SUM('15 Year Pro Forma'!$E$66:NAV$66))</f>
        <v>0</v>
      </c>
      <c r="NAY66" s="956">
        <f>MIN(NAY60*$C$65,Application!$AO$636-SUM('15 Year Pro Forma'!$E$66:NAX$66))</f>
        <v>0</v>
      </c>
      <c r="NBA66" s="956">
        <f>MIN(NBA60*$C$65,Application!$AO$636-SUM('15 Year Pro Forma'!$E$66:NAZ$66))</f>
        <v>0</v>
      </c>
      <c r="NBC66" s="956">
        <f>MIN(NBC60*$C$65,Application!$AO$636-SUM('15 Year Pro Forma'!$E$66:NBB$66))</f>
        <v>0</v>
      </c>
      <c r="NBE66" s="956">
        <f>MIN(NBE60*$C$65,Application!$AO$636-SUM('15 Year Pro Forma'!$E$66:NBD$66))</f>
        <v>0</v>
      </c>
      <c r="NBG66" s="956">
        <f>MIN(NBG60*$C$65,Application!$AO$636-SUM('15 Year Pro Forma'!$E$66:NBF$66))</f>
        <v>0</v>
      </c>
      <c r="NBI66" s="956">
        <f>MIN(NBI60*$C$65,Application!$AO$636-SUM('15 Year Pro Forma'!$E$66:NBH$66))</f>
        <v>0</v>
      </c>
      <c r="NBK66" s="956">
        <f>MIN(NBK60*$C$65,Application!$AO$636-SUM('15 Year Pro Forma'!$E$66:NBJ$66))</f>
        <v>0</v>
      </c>
      <c r="NBM66" s="956">
        <f>MIN(NBM60*$C$65,Application!$AO$636-SUM('15 Year Pro Forma'!$E$66:NBL$66))</f>
        <v>0</v>
      </c>
      <c r="NBO66" s="956">
        <f>MIN(NBO60*$C$65,Application!$AO$636-SUM('15 Year Pro Forma'!$E$66:NBN$66))</f>
        <v>0</v>
      </c>
      <c r="NBQ66" s="956">
        <f>MIN(NBQ60*$C$65,Application!$AO$636-SUM('15 Year Pro Forma'!$E$66:NBP$66))</f>
        <v>0</v>
      </c>
      <c r="NBS66" s="956">
        <f>MIN(NBS60*$C$65,Application!$AO$636-SUM('15 Year Pro Forma'!$E$66:NBR$66))</f>
        <v>0</v>
      </c>
      <c r="NBU66" s="956">
        <f>MIN(NBU60*$C$65,Application!$AO$636-SUM('15 Year Pro Forma'!$E$66:NBT$66))</f>
        <v>0</v>
      </c>
      <c r="NBW66" s="956">
        <f>MIN(NBW60*$C$65,Application!$AO$636-SUM('15 Year Pro Forma'!$E$66:NBV$66))</f>
        <v>0</v>
      </c>
      <c r="NBY66" s="956">
        <f>MIN(NBY60*$C$65,Application!$AO$636-SUM('15 Year Pro Forma'!$E$66:NBX$66))</f>
        <v>0</v>
      </c>
      <c r="NCA66" s="956">
        <f>MIN(NCA60*$C$65,Application!$AO$636-SUM('15 Year Pro Forma'!$E$66:NBZ$66))</f>
        <v>0</v>
      </c>
      <c r="NCC66" s="956">
        <f>MIN(NCC60*$C$65,Application!$AO$636-SUM('15 Year Pro Forma'!$E$66:NCB$66))</f>
        <v>0</v>
      </c>
      <c r="NCE66" s="956">
        <f>MIN(NCE60*$C$65,Application!$AO$636-SUM('15 Year Pro Forma'!$E$66:NCD$66))</f>
        <v>0</v>
      </c>
      <c r="NCG66" s="956">
        <f>MIN(NCG60*$C$65,Application!$AO$636-SUM('15 Year Pro Forma'!$E$66:NCF$66))</f>
        <v>0</v>
      </c>
      <c r="NCI66" s="956">
        <f>MIN(NCI60*$C$65,Application!$AO$636-SUM('15 Year Pro Forma'!$E$66:NCH$66))</f>
        <v>0</v>
      </c>
      <c r="NCK66" s="956">
        <f>MIN(NCK60*$C$65,Application!$AO$636-SUM('15 Year Pro Forma'!$E$66:NCJ$66))</f>
        <v>0</v>
      </c>
      <c r="NCM66" s="956">
        <f>MIN(NCM60*$C$65,Application!$AO$636-SUM('15 Year Pro Forma'!$E$66:NCL$66))</f>
        <v>0</v>
      </c>
      <c r="NCO66" s="956">
        <f>MIN(NCO60*$C$65,Application!$AO$636-SUM('15 Year Pro Forma'!$E$66:NCN$66))</f>
        <v>0</v>
      </c>
      <c r="NCQ66" s="956">
        <f>MIN(NCQ60*$C$65,Application!$AO$636-SUM('15 Year Pro Forma'!$E$66:NCP$66))</f>
        <v>0</v>
      </c>
      <c r="NCS66" s="956">
        <f>MIN(NCS60*$C$65,Application!$AO$636-SUM('15 Year Pro Forma'!$E$66:NCR$66))</f>
        <v>0</v>
      </c>
      <c r="NCU66" s="956">
        <f>MIN(NCU60*$C$65,Application!$AO$636-SUM('15 Year Pro Forma'!$E$66:NCT$66))</f>
        <v>0</v>
      </c>
      <c r="NCW66" s="956">
        <f>MIN(NCW60*$C$65,Application!$AO$636-SUM('15 Year Pro Forma'!$E$66:NCV$66))</f>
        <v>0</v>
      </c>
      <c r="NCY66" s="956">
        <f>MIN(NCY60*$C$65,Application!$AO$636-SUM('15 Year Pro Forma'!$E$66:NCX$66))</f>
        <v>0</v>
      </c>
      <c r="NDA66" s="956">
        <f>MIN(NDA60*$C$65,Application!$AO$636-SUM('15 Year Pro Forma'!$E$66:NCZ$66))</f>
        <v>0</v>
      </c>
      <c r="NDC66" s="956">
        <f>MIN(NDC60*$C$65,Application!$AO$636-SUM('15 Year Pro Forma'!$E$66:NDB$66))</f>
        <v>0</v>
      </c>
      <c r="NDE66" s="956">
        <f>MIN(NDE60*$C$65,Application!$AO$636-SUM('15 Year Pro Forma'!$E$66:NDD$66))</f>
        <v>0</v>
      </c>
      <c r="NDG66" s="956">
        <f>MIN(NDG60*$C$65,Application!$AO$636-SUM('15 Year Pro Forma'!$E$66:NDF$66))</f>
        <v>0</v>
      </c>
      <c r="NDI66" s="956">
        <f>MIN(NDI60*$C$65,Application!$AO$636-SUM('15 Year Pro Forma'!$E$66:NDH$66))</f>
        <v>0</v>
      </c>
      <c r="NDK66" s="956">
        <f>MIN(NDK60*$C$65,Application!$AO$636-SUM('15 Year Pro Forma'!$E$66:NDJ$66))</f>
        <v>0</v>
      </c>
      <c r="NDM66" s="956">
        <f>MIN(NDM60*$C$65,Application!$AO$636-SUM('15 Year Pro Forma'!$E$66:NDL$66))</f>
        <v>0</v>
      </c>
      <c r="NDO66" s="956">
        <f>MIN(NDO60*$C$65,Application!$AO$636-SUM('15 Year Pro Forma'!$E$66:NDN$66))</f>
        <v>0</v>
      </c>
      <c r="NDQ66" s="956">
        <f>MIN(NDQ60*$C$65,Application!$AO$636-SUM('15 Year Pro Forma'!$E$66:NDP$66))</f>
        <v>0</v>
      </c>
      <c r="NDS66" s="956">
        <f>MIN(NDS60*$C$65,Application!$AO$636-SUM('15 Year Pro Forma'!$E$66:NDR$66))</f>
        <v>0</v>
      </c>
      <c r="NDU66" s="956">
        <f>MIN(NDU60*$C$65,Application!$AO$636-SUM('15 Year Pro Forma'!$E$66:NDT$66))</f>
        <v>0</v>
      </c>
      <c r="NDW66" s="956">
        <f>MIN(NDW60*$C$65,Application!$AO$636-SUM('15 Year Pro Forma'!$E$66:NDV$66))</f>
        <v>0</v>
      </c>
      <c r="NDY66" s="956">
        <f>MIN(NDY60*$C$65,Application!$AO$636-SUM('15 Year Pro Forma'!$E$66:NDX$66))</f>
        <v>0</v>
      </c>
      <c r="NEA66" s="956">
        <f>MIN(NEA60*$C$65,Application!$AO$636-SUM('15 Year Pro Forma'!$E$66:NDZ$66))</f>
        <v>0</v>
      </c>
      <c r="NEC66" s="956">
        <f>MIN(NEC60*$C$65,Application!$AO$636-SUM('15 Year Pro Forma'!$E$66:NEB$66))</f>
        <v>0</v>
      </c>
      <c r="NEE66" s="956">
        <f>MIN(NEE60*$C$65,Application!$AO$636-SUM('15 Year Pro Forma'!$E$66:NED$66))</f>
        <v>0</v>
      </c>
      <c r="NEG66" s="956">
        <f>MIN(NEG60*$C$65,Application!$AO$636-SUM('15 Year Pro Forma'!$E$66:NEF$66))</f>
        <v>0</v>
      </c>
      <c r="NEI66" s="956">
        <f>MIN(NEI60*$C$65,Application!$AO$636-SUM('15 Year Pro Forma'!$E$66:NEH$66))</f>
        <v>0</v>
      </c>
      <c r="NEK66" s="956">
        <f>MIN(NEK60*$C$65,Application!$AO$636-SUM('15 Year Pro Forma'!$E$66:NEJ$66))</f>
        <v>0</v>
      </c>
      <c r="NEM66" s="956">
        <f>MIN(NEM60*$C$65,Application!$AO$636-SUM('15 Year Pro Forma'!$E$66:NEL$66))</f>
        <v>0</v>
      </c>
      <c r="NEO66" s="956">
        <f>MIN(NEO60*$C$65,Application!$AO$636-SUM('15 Year Pro Forma'!$E$66:NEN$66))</f>
        <v>0</v>
      </c>
      <c r="NEQ66" s="956">
        <f>MIN(NEQ60*$C$65,Application!$AO$636-SUM('15 Year Pro Forma'!$E$66:NEP$66))</f>
        <v>0</v>
      </c>
      <c r="NES66" s="956">
        <f>MIN(NES60*$C$65,Application!$AO$636-SUM('15 Year Pro Forma'!$E$66:NER$66))</f>
        <v>0</v>
      </c>
      <c r="NEU66" s="956">
        <f>MIN(NEU60*$C$65,Application!$AO$636-SUM('15 Year Pro Forma'!$E$66:NET$66))</f>
        <v>0</v>
      </c>
      <c r="NEW66" s="956">
        <f>MIN(NEW60*$C$65,Application!$AO$636-SUM('15 Year Pro Forma'!$E$66:NEV$66))</f>
        <v>0</v>
      </c>
      <c r="NEY66" s="956">
        <f>MIN(NEY60*$C$65,Application!$AO$636-SUM('15 Year Pro Forma'!$E$66:NEX$66))</f>
        <v>0</v>
      </c>
      <c r="NFA66" s="956">
        <f>MIN(NFA60*$C$65,Application!$AO$636-SUM('15 Year Pro Forma'!$E$66:NEZ$66))</f>
        <v>0</v>
      </c>
      <c r="NFC66" s="956">
        <f>MIN(NFC60*$C$65,Application!$AO$636-SUM('15 Year Pro Forma'!$E$66:NFB$66))</f>
        <v>0</v>
      </c>
      <c r="NFE66" s="956">
        <f>MIN(NFE60*$C$65,Application!$AO$636-SUM('15 Year Pro Forma'!$E$66:NFD$66))</f>
        <v>0</v>
      </c>
      <c r="NFG66" s="956">
        <f>MIN(NFG60*$C$65,Application!$AO$636-SUM('15 Year Pro Forma'!$E$66:NFF$66))</f>
        <v>0</v>
      </c>
      <c r="NFI66" s="956">
        <f>MIN(NFI60*$C$65,Application!$AO$636-SUM('15 Year Pro Forma'!$E$66:NFH$66))</f>
        <v>0</v>
      </c>
      <c r="NFK66" s="956">
        <f>MIN(NFK60*$C$65,Application!$AO$636-SUM('15 Year Pro Forma'!$E$66:NFJ$66))</f>
        <v>0</v>
      </c>
      <c r="NFM66" s="956">
        <f>MIN(NFM60*$C$65,Application!$AO$636-SUM('15 Year Pro Forma'!$E$66:NFL$66))</f>
        <v>0</v>
      </c>
      <c r="NFO66" s="956">
        <f>MIN(NFO60*$C$65,Application!$AO$636-SUM('15 Year Pro Forma'!$E$66:NFN$66))</f>
        <v>0</v>
      </c>
      <c r="NFQ66" s="956">
        <f>MIN(NFQ60*$C$65,Application!$AO$636-SUM('15 Year Pro Forma'!$E$66:NFP$66))</f>
        <v>0</v>
      </c>
      <c r="NFS66" s="956">
        <f>MIN(NFS60*$C$65,Application!$AO$636-SUM('15 Year Pro Forma'!$E$66:NFR$66))</f>
        <v>0</v>
      </c>
      <c r="NFU66" s="956">
        <f>MIN(NFU60*$C$65,Application!$AO$636-SUM('15 Year Pro Forma'!$E$66:NFT$66))</f>
        <v>0</v>
      </c>
      <c r="NFW66" s="956">
        <f>MIN(NFW60*$C$65,Application!$AO$636-SUM('15 Year Pro Forma'!$E$66:NFV$66))</f>
        <v>0</v>
      </c>
      <c r="NFY66" s="956">
        <f>MIN(NFY60*$C$65,Application!$AO$636-SUM('15 Year Pro Forma'!$E$66:NFX$66))</f>
        <v>0</v>
      </c>
      <c r="NGA66" s="956">
        <f>MIN(NGA60*$C$65,Application!$AO$636-SUM('15 Year Pro Forma'!$E$66:NFZ$66))</f>
        <v>0</v>
      </c>
      <c r="NGC66" s="956">
        <f>MIN(NGC60*$C$65,Application!$AO$636-SUM('15 Year Pro Forma'!$E$66:NGB$66))</f>
        <v>0</v>
      </c>
      <c r="NGE66" s="956">
        <f>MIN(NGE60*$C$65,Application!$AO$636-SUM('15 Year Pro Forma'!$E$66:NGD$66))</f>
        <v>0</v>
      </c>
      <c r="NGG66" s="956">
        <f>MIN(NGG60*$C$65,Application!$AO$636-SUM('15 Year Pro Forma'!$E$66:NGF$66))</f>
        <v>0</v>
      </c>
      <c r="NGI66" s="956">
        <f>MIN(NGI60*$C$65,Application!$AO$636-SUM('15 Year Pro Forma'!$E$66:NGH$66))</f>
        <v>0</v>
      </c>
      <c r="NGK66" s="956">
        <f>MIN(NGK60*$C$65,Application!$AO$636-SUM('15 Year Pro Forma'!$E$66:NGJ$66))</f>
        <v>0</v>
      </c>
      <c r="NGM66" s="956">
        <f>MIN(NGM60*$C$65,Application!$AO$636-SUM('15 Year Pro Forma'!$E$66:NGL$66))</f>
        <v>0</v>
      </c>
      <c r="NGO66" s="956">
        <f>MIN(NGO60*$C$65,Application!$AO$636-SUM('15 Year Pro Forma'!$E$66:NGN$66))</f>
        <v>0</v>
      </c>
      <c r="NGQ66" s="956">
        <f>MIN(NGQ60*$C$65,Application!$AO$636-SUM('15 Year Pro Forma'!$E$66:NGP$66))</f>
        <v>0</v>
      </c>
      <c r="NGS66" s="956">
        <f>MIN(NGS60*$C$65,Application!$AO$636-SUM('15 Year Pro Forma'!$E$66:NGR$66))</f>
        <v>0</v>
      </c>
      <c r="NGU66" s="956">
        <f>MIN(NGU60*$C$65,Application!$AO$636-SUM('15 Year Pro Forma'!$E$66:NGT$66))</f>
        <v>0</v>
      </c>
      <c r="NGW66" s="956">
        <f>MIN(NGW60*$C$65,Application!$AO$636-SUM('15 Year Pro Forma'!$E$66:NGV$66))</f>
        <v>0</v>
      </c>
      <c r="NGY66" s="956">
        <f>MIN(NGY60*$C$65,Application!$AO$636-SUM('15 Year Pro Forma'!$E$66:NGX$66))</f>
        <v>0</v>
      </c>
      <c r="NHA66" s="956">
        <f>MIN(NHA60*$C$65,Application!$AO$636-SUM('15 Year Pro Forma'!$E$66:NGZ$66))</f>
        <v>0</v>
      </c>
      <c r="NHC66" s="956">
        <f>MIN(NHC60*$C$65,Application!$AO$636-SUM('15 Year Pro Forma'!$E$66:NHB$66))</f>
        <v>0</v>
      </c>
      <c r="NHE66" s="956">
        <f>MIN(NHE60*$C$65,Application!$AO$636-SUM('15 Year Pro Forma'!$E$66:NHD$66))</f>
        <v>0</v>
      </c>
      <c r="NHG66" s="956">
        <f>MIN(NHG60*$C$65,Application!$AO$636-SUM('15 Year Pro Forma'!$E$66:NHF$66))</f>
        <v>0</v>
      </c>
      <c r="NHI66" s="956">
        <f>MIN(NHI60*$C$65,Application!$AO$636-SUM('15 Year Pro Forma'!$E$66:NHH$66))</f>
        <v>0</v>
      </c>
      <c r="NHK66" s="956">
        <f>MIN(NHK60*$C$65,Application!$AO$636-SUM('15 Year Pro Forma'!$E$66:NHJ$66))</f>
        <v>0</v>
      </c>
      <c r="NHM66" s="956">
        <f>MIN(NHM60*$C$65,Application!$AO$636-SUM('15 Year Pro Forma'!$E$66:NHL$66))</f>
        <v>0</v>
      </c>
      <c r="NHO66" s="956">
        <f>MIN(NHO60*$C$65,Application!$AO$636-SUM('15 Year Pro Forma'!$E$66:NHN$66))</f>
        <v>0</v>
      </c>
      <c r="NHQ66" s="956">
        <f>MIN(NHQ60*$C$65,Application!$AO$636-SUM('15 Year Pro Forma'!$E$66:NHP$66))</f>
        <v>0</v>
      </c>
      <c r="NHS66" s="956">
        <f>MIN(NHS60*$C$65,Application!$AO$636-SUM('15 Year Pro Forma'!$E$66:NHR$66))</f>
        <v>0</v>
      </c>
      <c r="NHU66" s="956">
        <f>MIN(NHU60*$C$65,Application!$AO$636-SUM('15 Year Pro Forma'!$E$66:NHT$66))</f>
        <v>0</v>
      </c>
      <c r="NHW66" s="956">
        <f>MIN(NHW60*$C$65,Application!$AO$636-SUM('15 Year Pro Forma'!$E$66:NHV$66))</f>
        <v>0</v>
      </c>
      <c r="NHY66" s="956">
        <f>MIN(NHY60*$C$65,Application!$AO$636-SUM('15 Year Pro Forma'!$E$66:NHX$66))</f>
        <v>0</v>
      </c>
      <c r="NIA66" s="956">
        <f>MIN(NIA60*$C$65,Application!$AO$636-SUM('15 Year Pro Forma'!$E$66:NHZ$66))</f>
        <v>0</v>
      </c>
      <c r="NIC66" s="956">
        <f>MIN(NIC60*$C$65,Application!$AO$636-SUM('15 Year Pro Forma'!$E$66:NIB$66))</f>
        <v>0</v>
      </c>
      <c r="NIE66" s="956">
        <f>MIN(NIE60*$C$65,Application!$AO$636-SUM('15 Year Pro Forma'!$E$66:NID$66))</f>
        <v>0</v>
      </c>
      <c r="NIG66" s="956">
        <f>MIN(NIG60*$C$65,Application!$AO$636-SUM('15 Year Pro Forma'!$E$66:NIF$66))</f>
        <v>0</v>
      </c>
      <c r="NII66" s="956">
        <f>MIN(NII60*$C$65,Application!$AO$636-SUM('15 Year Pro Forma'!$E$66:NIH$66))</f>
        <v>0</v>
      </c>
      <c r="NIK66" s="956">
        <f>MIN(NIK60*$C$65,Application!$AO$636-SUM('15 Year Pro Forma'!$E$66:NIJ$66))</f>
        <v>0</v>
      </c>
      <c r="NIM66" s="956">
        <f>MIN(NIM60*$C$65,Application!$AO$636-SUM('15 Year Pro Forma'!$E$66:NIL$66))</f>
        <v>0</v>
      </c>
      <c r="NIO66" s="956">
        <f>MIN(NIO60*$C$65,Application!$AO$636-SUM('15 Year Pro Forma'!$E$66:NIN$66))</f>
        <v>0</v>
      </c>
      <c r="NIQ66" s="956">
        <f>MIN(NIQ60*$C$65,Application!$AO$636-SUM('15 Year Pro Forma'!$E$66:NIP$66))</f>
        <v>0</v>
      </c>
      <c r="NIS66" s="956">
        <f>MIN(NIS60*$C$65,Application!$AO$636-SUM('15 Year Pro Forma'!$E$66:NIR$66))</f>
        <v>0</v>
      </c>
      <c r="NIU66" s="956">
        <f>MIN(NIU60*$C$65,Application!$AO$636-SUM('15 Year Pro Forma'!$E$66:NIT$66))</f>
        <v>0</v>
      </c>
      <c r="NIW66" s="956">
        <f>MIN(NIW60*$C$65,Application!$AO$636-SUM('15 Year Pro Forma'!$E$66:NIV$66))</f>
        <v>0</v>
      </c>
      <c r="NIY66" s="956">
        <f>MIN(NIY60*$C$65,Application!$AO$636-SUM('15 Year Pro Forma'!$E$66:NIX$66))</f>
        <v>0</v>
      </c>
      <c r="NJA66" s="956">
        <f>MIN(NJA60*$C$65,Application!$AO$636-SUM('15 Year Pro Forma'!$E$66:NIZ$66))</f>
        <v>0</v>
      </c>
      <c r="NJC66" s="956">
        <f>MIN(NJC60*$C$65,Application!$AO$636-SUM('15 Year Pro Forma'!$E$66:NJB$66))</f>
        <v>0</v>
      </c>
      <c r="NJE66" s="956">
        <f>MIN(NJE60*$C$65,Application!$AO$636-SUM('15 Year Pro Forma'!$E$66:NJD$66))</f>
        <v>0</v>
      </c>
      <c r="NJG66" s="956">
        <f>MIN(NJG60*$C$65,Application!$AO$636-SUM('15 Year Pro Forma'!$E$66:NJF$66))</f>
        <v>0</v>
      </c>
      <c r="NJI66" s="956">
        <f>MIN(NJI60*$C$65,Application!$AO$636-SUM('15 Year Pro Forma'!$E$66:NJH$66))</f>
        <v>0</v>
      </c>
      <c r="NJK66" s="956">
        <f>MIN(NJK60*$C$65,Application!$AO$636-SUM('15 Year Pro Forma'!$E$66:NJJ$66))</f>
        <v>0</v>
      </c>
      <c r="NJM66" s="956">
        <f>MIN(NJM60*$C$65,Application!$AO$636-SUM('15 Year Pro Forma'!$E$66:NJL$66))</f>
        <v>0</v>
      </c>
      <c r="NJO66" s="956">
        <f>MIN(NJO60*$C$65,Application!$AO$636-SUM('15 Year Pro Forma'!$E$66:NJN$66))</f>
        <v>0</v>
      </c>
      <c r="NJQ66" s="956">
        <f>MIN(NJQ60*$C$65,Application!$AO$636-SUM('15 Year Pro Forma'!$E$66:NJP$66))</f>
        <v>0</v>
      </c>
      <c r="NJS66" s="956">
        <f>MIN(NJS60*$C$65,Application!$AO$636-SUM('15 Year Pro Forma'!$E$66:NJR$66))</f>
        <v>0</v>
      </c>
      <c r="NJU66" s="956">
        <f>MIN(NJU60*$C$65,Application!$AO$636-SUM('15 Year Pro Forma'!$E$66:NJT$66))</f>
        <v>0</v>
      </c>
      <c r="NJW66" s="956">
        <f>MIN(NJW60*$C$65,Application!$AO$636-SUM('15 Year Pro Forma'!$E$66:NJV$66))</f>
        <v>0</v>
      </c>
      <c r="NJY66" s="956">
        <f>MIN(NJY60*$C$65,Application!$AO$636-SUM('15 Year Pro Forma'!$E$66:NJX$66))</f>
        <v>0</v>
      </c>
      <c r="NKA66" s="956">
        <f>MIN(NKA60*$C$65,Application!$AO$636-SUM('15 Year Pro Forma'!$E$66:NJZ$66))</f>
        <v>0</v>
      </c>
      <c r="NKC66" s="956">
        <f>MIN(NKC60*$C$65,Application!$AO$636-SUM('15 Year Pro Forma'!$E$66:NKB$66))</f>
        <v>0</v>
      </c>
      <c r="NKE66" s="956">
        <f>MIN(NKE60*$C$65,Application!$AO$636-SUM('15 Year Pro Forma'!$E$66:NKD$66))</f>
        <v>0</v>
      </c>
      <c r="NKG66" s="956">
        <f>MIN(NKG60*$C$65,Application!$AO$636-SUM('15 Year Pro Forma'!$E$66:NKF$66))</f>
        <v>0</v>
      </c>
      <c r="NKI66" s="956">
        <f>MIN(NKI60*$C$65,Application!$AO$636-SUM('15 Year Pro Forma'!$E$66:NKH$66))</f>
        <v>0</v>
      </c>
      <c r="NKK66" s="956">
        <f>MIN(NKK60*$C$65,Application!$AO$636-SUM('15 Year Pro Forma'!$E$66:NKJ$66))</f>
        <v>0</v>
      </c>
      <c r="NKM66" s="956">
        <f>MIN(NKM60*$C$65,Application!$AO$636-SUM('15 Year Pro Forma'!$E$66:NKL$66))</f>
        <v>0</v>
      </c>
      <c r="NKO66" s="956">
        <f>MIN(NKO60*$C$65,Application!$AO$636-SUM('15 Year Pro Forma'!$E$66:NKN$66))</f>
        <v>0</v>
      </c>
      <c r="NKQ66" s="956">
        <f>MIN(NKQ60*$C$65,Application!$AO$636-SUM('15 Year Pro Forma'!$E$66:NKP$66))</f>
        <v>0</v>
      </c>
      <c r="NKS66" s="956">
        <f>MIN(NKS60*$C$65,Application!$AO$636-SUM('15 Year Pro Forma'!$E$66:NKR$66))</f>
        <v>0</v>
      </c>
      <c r="NKU66" s="956">
        <f>MIN(NKU60*$C$65,Application!$AO$636-SUM('15 Year Pro Forma'!$E$66:NKT$66))</f>
        <v>0</v>
      </c>
      <c r="NKW66" s="956">
        <f>MIN(NKW60*$C$65,Application!$AO$636-SUM('15 Year Pro Forma'!$E$66:NKV$66))</f>
        <v>0</v>
      </c>
      <c r="NKY66" s="956">
        <f>MIN(NKY60*$C$65,Application!$AO$636-SUM('15 Year Pro Forma'!$E$66:NKX$66))</f>
        <v>0</v>
      </c>
      <c r="NLA66" s="956">
        <f>MIN(NLA60*$C$65,Application!$AO$636-SUM('15 Year Pro Forma'!$E$66:NKZ$66))</f>
        <v>0</v>
      </c>
      <c r="NLC66" s="956">
        <f>MIN(NLC60*$C$65,Application!$AO$636-SUM('15 Year Pro Forma'!$E$66:NLB$66))</f>
        <v>0</v>
      </c>
      <c r="NLE66" s="956">
        <f>MIN(NLE60*$C$65,Application!$AO$636-SUM('15 Year Pro Forma'!$E$66:NLD$66))</f>
        <v>0</v>
      </c>
      <c r="NLG66" s="956">
        <f>MIN(NLG60*$C$65,Application!$AO$636-SUM('15 Year Pro Forma'!$E$66:NLF$66))</f>
        <v>0</v>
      </c>
      <c r="NLI66" s="956">
        <f>MIN(NLI60*$C$65,Application!$AO$636-SUM('15 Year Pro Forma'!$E$66:NLH$66))</f>
        <v>0</v>
      </c>
      <c r="NLK66" s="956">
        <f>MIN(NLK60*$C$65,Application!$AO$636-SUM('15 Year Pro Forma'!$E$66:NLJ$66))</f>
        <v>0</v>
      </c>
      <c r="NLM66" s="956">
        <f>MIN(NLM60*$C$65,Application!$AO$636-SUM('15 Year Pro Forma'!$E$66:NLL$66))</f>
        <v>0</v>
      </c>
      <c r="NLO66" s="956">
        <f>MIN(NLO60*$C$65,Application!$AO$636-SUM('15 Year Pro Forma'!$E$66:NLN$66))</f>
        <v>0</v>
      </c>
      <c r="NLQ66" s="956">
        <f>MIN(NLQ60*$C$65,Application!$AO$636-SUM('15 Year Pro Forma'!$E$66:NLP$66))</f>
        <v>0</v>
      </c>
      <c r="NLS66" s="956">
        <f>MIN(NLS60*$C$65,Application!$AO$636-SUM('15 Year Pro Forma'!$E$66:NLR$66))</f>
        <v>0</v>
      </c>
      <c r="NLU66" s="956">
        <f>MIN(NLU60*$C$65,Application!$AO$636-SUM('15 Year Pro Forma'!$E$66:NLT$66))</f>
        <v>0</v>
      </c>
      <c r="NLW66" s="956">
        <f>MIN(NLW60*$C$65,Application!$AO$636-SUM('15 Year Pro Forma'!$E$66:NLV$66))</f>
        <v>0</v>
      </c>
      <c r="NLY66" s="956">
        <f>MIN(NLY60*$C$65,Application!$AO$636-SUM('15 Year Pro Forma'!$E$66:NLX$66))</f>
        <v>0</v>
      </c>
      <c r="NMA66" s="956">
        <f>MIN(NMA60*$C$65,Application!$AO$636-SUM('15 Year Pro Forma'!$E$66:NLZ$66))</f>
        <v>0</v>
      </c>
      <c r="NMC66" s="956">
        <f>MIN(NMC60*$C$65,Application!$AO$636-SUM('15 Year Pro Forma'!$E$66:NMB$66))</f>
        <v>0</v>
      </c>
      <c r="NME66" s="956">
        <f>MIN(NME60*$C$65,Application!$AO$636-SUM('15 Year Pro Forma'!$E$66:NMD$66))</f>
        <v>0</v>
      </c>
      <c r="NMG66" s="956">
        <f>MIN(NMG60*$C$65,Application!$AO$636-SUM('15 Year Pro Forma'!$E$66:NMF$66))</f>
        <v>0</v>
      </c>
      <c r="NMI66" s="956">
        <f>MIN(NMI60*$C$65,Application!$AO$636-SUM('15 Year Pro Forma'!$E$66:NMH$66))</f>
        <v>0</v>
      </c>
      <c r="NMK66" s="956">
        <f>MIN(NMK60*$C$65,Application!$AO$636-SUM('15 Year Pro Forma'!$E$66:NMJ$66))</f>
        <v>0</v>
      </c>
      <c r="NMM66" s="956">
        <f>MIN(NMM60*$C$65,Application!$AO$636-SUM('15 Year Pro Forma'!$E$66:NML$66))</f>
        <v>0</v>
      </c>
      <c r="NMO66" s="956">
        <f>MIN(NMO60*$C$65,Application!$AO$636-SUM('15 Year Pro Forma'!$E$66:NMN$66))</f>
        <v>0</v>
      </c>
      <c r="NMQ66" s="956">
        <f>MIN(NMQ60*$C$65,Application!$AO$636-SUM('15 Year Pro Forma'!$E$66:NMP$66))</f>
        <v>0</v>
      </c>
      <c r="NMS66" s="956">
        <f>MIN(NMS60*$C$65,Application!$AO$636-SUM('15 Year Pro Forma'!$E$66:NMR$66))</f>
        <v>0</v>
      </c>
      <c r="NMU66" s="956">
        <f>MIN(NMU60*$C$65,Application!$AO$636-SUM('15 Year Pro Forma'!$E$66:NMT$66))</f>
        <v>0</v>
      </c>
      <c r="NMW66" s="956">
        <f>MIN(NMW60*$C$65,Application!$AO$636-SUM('15 Year Pro Forma'!$E$66:NMV$66))</f>
        <v>0</v>
      </c>
      <c r="NMY66" s="956">
        <f>MIN(NMY60*$C$65,Application!$AO$636-SUM('15 Year Pro Forma'!$E$66:NMX$66))</f>
        <v>0</v>
      </c>
      <c r="NNA66" s="956">
        <f>MIN(NNA60*$C$65,Application!$AO$636-SUM('15 Year Pro Forma'!$E$66:NMZ$66))</f>
        <v>0</v>
      </c>
      <c r="NNC66" s="956">
        <f>MIN(NNC60*$C$65,Application!$AO$636-SUM('15 Year Pro Forma'!$E$66:NNB$66))</f>
        <v>0</v>
      </c>
      <c r="NNE66" s="956">
        <f>MIN(NNE60*$C$65,Application!$AO$636-SUM('15 Year Pro Forma'!$E$66:NND$66))</f>
        <v>0</v>
      </c>
      <c r="NNG66" s="956">
        <f>MIN(NNG60*$C$65,Application!$AO$636-SUM('15 Year Pro Forma'!$E$66:NNF$66))</f>
        <v>0</v>
      </c>
      <c r="NNI66" s="956">
        <f>MIN(NNI60*$C$65,Application!$AO$636-SUM('15 Year Pro Forma'!$E$66:NNH$66))</f>
        <v>0</v>
      </c>
      <c r="NNK66" s="956">
        <f>MIN(NNK60*$C$65,Application!$AO$636-SUM('15 Year Pro Forma'!$E$66:NNJ$66))</f>
        <v>0</v>
      </c>
      <c r="NNM66" s="956">
        <f>MIN(NNM60*$C$65,Application!$AO$636-SUM('15 Year Pro Forma'!$E$66:NNL$66))</f>
        <v>0</v>
      </c>
      <c r="NNO66" s="956">
        <f>MIN(NNO60*$C$65,Application!$AO$636-SUM('15 Year Pro Forma'!$E$66:NNN$66))</f>
        <v>0</v>
      </c>
      <c r="NNQ66" s="956">
        <f>MIN(NNQ60*$C$65,Application!$AO$636-SUM('15 Year Pro Forma'!$E$66:NNP$66))</f>
        <v>0</v>
      </c>
      <c r="NNS66" s="956">
        <f>MIN(NNS60*$C$65,Application!$AO$636-SUM('15 Year Pro Forma'!$E$66:NNR$66))</f>
        <v>0</v>
      </c>
      <c r="NNU66" s="956">
        <f>MIN(NNU60*$C$65,Application!$AO$636-SUM('15 Year Pro Forma'!$E$66:NNT$66))</f>
        <v>0</v>
      </c>
      <c r="NNW66" s="956">
        <f>MIN(NNW60*$C$65,Application!$AO$636-SUM('15 Year Pro Forma'!$E$66:NNV$66))</f>
        <v>0</v>
      </c>
      <c r="NNY66" s="956">
        <f>MIN(NNY60*$C$65,Application!$AO$636-SUM('15 Year Pro Forma'!$E$66:NNX$66))</f>
        <v>0</v>
      </c>
      <c r="NOA66" s="956">
        <f>MIN(NOA60*$C$65,Application!$AO$636-SUM('15 Year Pro Forma'!$E$66:NNZ$66))</f>
        <v>0</v>
      </c>
      <c r="NOC66" s="956">
        <f>MIN(NOC60*$C$65,Application!$AO$636-SUM('15 Year Pro Forma'!$E$66:NOB$66))</f>
        <v>0</v>
      </c>
      <c r="NOE66" s="956">
        <f>MIN(NOE60*$C$65,Application!$AO$636-SUM('15 Year Pro Forma'!$E$66:NOD$66))</f>
        <v>0</v>
      </c>
      <c r="NOG66" s="956">
        <f>MIN(NOG60*$C$65,Application!$AO$636-SUM('15 Year Pro Forma'!$E$66:NOF$66))</f>
        <v>0</v>
      </c>
      <c r="NOI66" s="956">
        <f>MIN(NOI60*$C$65,Application!$AO$636-SUM('15 Year Pro Forma'!$E$66:NOH$66))</f>
        <v>0</v>
      </c>
      <c r="NOK66" s="956">
        <f>MIN(NOK60*$C$65,Application!$AO$636-SUM('15 Year Pro Forma'!$E$66:NOJ$66))</f>
        <v>0</v>
      </c>
      <c r="NOM66" s="956">
        <f>MIN(NOM60*$C$65,Application!$AO$636-SUM('15 Year Pro Forma'!$E$66:NOL$66))</f>
        <v>0</v>
      </c>
      <c r="NOO66" s="956">
        <f>MIN(NOO60*$C$65,Application!$AO$636-SUM('15 Year Pro Forma'!$E$66:NON$66))</f>
        <v>0</v>
      </c>
      <c r="NOQ66" s="956">
        <f>MIN(NOQ60*$C$65,Application!$AO$636-SUM('15 Year Pro Forma'!$E$66:NOP$66))</f>
        <v>0</v>
      </c>
      <c r="NOS66" s="956">
        <f>MIN(NOS60*$C$65,Application!$AO$636-SUM('15 Year Pro Forma'!$E$66:NOR$66))</f>
        <v>0</v>
      </c>
      <c r="NOU66" s="956">
        <f>MIN(NOU60*$C$65,Application!$AO$636-SUM('15 Year Pro Forma'!$E$66:NOT$66))</f>
        <v>0</v>
      </c>
      <c r="NOW66" s="956">
        <f>MIN(NOW60*$C$65,Application!$AO$636-SUM('15 Year Pro Forma'!$E$66:NOV$66))</f>
        <v>0</v>
      </c>
      <c r="NOY66" s="956">
        <f>MIN(NOY60*$C$65,Application!$AO$636-SUM('15 Year Pro Forma'!$E$66:NOX$66))</f>
        <v>0</v>
      </c>
      <c r="NPA66" s="956">
        <f>MIN(NPA60*$C$65,Application!$AO$636-SUM('15 Year Pro Forma'!$E$66:NOZ$66))</f>
        <v>0</v>
      </c>
      <c r="NPC66" s="956">
        <f>MIN(NPC60*$C$65,Application!$AO$636-SUM('15 Year Pro Forma'!$E$66:NPB$66))</f>
        <v>0</v>
      </c>
      <c r="NPE66" s="956">
        <f>MIN(NPE60*$C$65,Application!$AO$636-SUM('15 Year Pro Forma'!$E$66:NPD$66))</f>
        <v>0</v>
      </c>
      <c r="NPG66" s="956">
        <f>MIN(NPG60*$C$65,Application!$AO$636-SUM('15 Year Pro Forma'!$E$66:NPF$66))</f>
        <v>0</v>
      </c>
      <c r="NPI66" s="956">
        <f>MIN(NPI60*$C$65,Application!$AO$636-SUM('15 Year Pro Forma'!$E$66:NPH$66))</f>
        <v>0</v>
      </c>
      <c r="NPK66" s="956">
        <f>MIN(NPK60*$C$65,Application!$AO$636-SUM('15 Year Pro Forma'!$E$66:NPJ$66))</f>
        <v>0</v>
      </c>
      <c r="NPM66" s="956">
        <f>MIN(NPM60*$C$65,Application!$AO$636-SUM('15 Year Pro Forma'!$E$66:NPL$66))</f>
        <v>0</v>
      </c>
      <c r="NPO66" s="956">
        <f>MIN(NPO60*$C$65,Application!$AO$636-SUM('15 Year Pro Forma'!$E$66:NPN$66))</f>
        <v>0</v>
      </c>
      <c r="NPQ66" s="956">
        <f>MIN(NPQ60*$C$65,Application!$AO$636-SUM('15 Year Pro Forma'!$E$66:NPP$66))</f>
        <v>0</v>
      </c>
      <c r="NPS66" s="956">
        <f>MIN(NPS60*$C$65,Application!$AO$636-SUM('15 Year Pro Forma'!$E$66:NPR$66))</f>
        <v>0</v>
      </c>
      <c r="NPU66" s="956">
        <f>MIN(NPU60*$C$65,Application!$AO$636-SUM('15 Year Pro Forma'!$E$66:NPT$66))</f>
        <v>0</v>
      </c>
      <c r="NPW66" s="956">
        <f>MIN(NPW60*$C$65,Application!$AO$636-SUM('15 Year Pro Forma'!$E$66:NPV$66))</f>
        <v>0</v>
      </c>
      <c r="NPY66" s="956">
        <f>MIN(NPY60*$C$65,Application!$AO$636-SUM('15 Year Pro Forma'!$E$66:NPX$66))</f>
        <v>0</v>
      </c>
      <c r="NQA66" s="956">
        <f>MIN(NQA60*$C$65,Application!$AO$636-SUM('15 Year Pro Forma'!$E$66:NPZ$66))</f>
        <v>0</v>
      </c>
      <c r="NQC66" s="956">
        <f>MIN(NQC60*$C$65,Application!$AO$636-SUM('15 Year Pro Forma'!$E$66:NQB$66))</f>
        <v>0</v>
      </c>
      <c r="NQE66" s="956">
        <f>MIN(NQE60*$C$65,Application!$AO$636-SUM('15 Year Pro Forma'!$E$66:NQD$66))</f>
        <v>0</v>
      </c>
      <c r="NQG66" s="956">
        <f>MIN(NQG60*$C$65,Application!$AO$636-SUM('15 Year Pro Forma'!$E$66:NQF$66))</f>
        <v>0</v>
      </c>
      <c r="NQI66" s="956">
        <f>MIN(NQI60*$C$65,Application!$AO$636-SUM('15 Year Pro Forma'!$E$66:NQH$66))</f>
        <v>0</v>
      </c>
      <c r="NQK66" s="956">
        <f>MIN(NQK60*$C$65,Application!$AO$636-SUM('15 Year Pro Forma'!$E$66:NQJ$66))</f>
        <v>0</v>
      </c>
      <c r="NQM66" s="956">
        <f>MIN(NQM60*$C$65,Application!$AO$636-SUM('15 Year Pro Forma'!$E$66:NQL$66))</f>
        <v>0</v>
      </c>
      <c r="NQO66" s="956">
        <f>MIN(NQO60*$C$65,Application!$AO$636-SUM('15 Year Pro Forma'!$E$66:NQN$66))</f>
        <v>0</v>
      </c>
      <c r="NQQ66" s="956">
        <f>MIN(NQQ60*$C$65,Application!$AO$636-SUM('15 Year Pro Forma'!$E$66:NQP$66))</f>
        <v>0</v>
      </c>
      <c r="NQS66" s="956">
        <f>MIN(NQS60*$C$65,Application!$AO$636-SUM('15 Year Pro Forma'!$E$66:NQR$66))</f>
        <v>0</v>
      </c>
      <c r="NQU66" s="956">
        <f>MIN(NQU60*$C$65,Application!$AO$636-SUM('15 Year Pro Forma'!$E$66:NQT$66))</f>
        <v>0</v>
      </c>
      <c r="NQW66" s="956">
        <f>MIN(NQW60*$C$65,Application!$AO$636-SUM('15 Year Pro Forma'!$E$66:NQV$66))</f>
        <v>0</v>
      </c>
      <c r="NQY66" s="956">
        <f>MIN(NQY60*$C$65,Application!$AO$636-SUM('15 Year Pro Forma'!$E$66:NQX$66))</f>
        <v>0</v>
      </c>
      <c r="NRA66" s="956">
        <f>MIN(NRA60*$C$65,Application!$AO$636-SUM('15 Year Pro Forma'!$E$66:NQZ$66))</f>
        <v>0</v>
      </c>
      <c r="NRC66" s="956">
        <f>MIN(NRC60*$C$65,Application!$AO$636-SUM('15 Year Pro Forma'!$E$66:NRB$66))</f>
        <v>0</v>
      </c>
      <c r="NRE66" s="956">
        <f>MIN(NRE60*$C$65,Application!$AO$636-SUM('15 Year Pro Forma'!$E$66:NRD$66))</f>
        <v>0</v>
      </c>
      <c r="NRG66" s="956">
        <f>MIN(NRG60*$C$65,Application!$AO$636-SUM('15 Year Pro Forma'!$E$66:NRF$66))</f>
        <v>0</v>
      </c>
      <c r="NRI66" s="956">
        <f>MIN(NRI60*$C$65,Application!$AO$636-SUM('15 Year Pro Forma'!$E$66:NRH$66))</f>
        <v>0</v>
      </c>
      <c r="NRK66" s="956">
        <f>MIN(NRK60*$C$65,Application!$AO$636-SUM('15 Year Pro Forma'!$E$66:NRJ$66))</f>
        <v>0</v>
      </c>
      <c r="NRM66" s="956">
        <f>MIN(NRM60*$C$65,Application!$AO$636-SUM('15 Year Pro Forma'!$E$66:NRL$66))</f>
        <v>0</v>
      </c>
      <c r="NRO66" s="956">
        <f>MIN(NRO60*$C$65,Application!$AO$636-SUM('15 Year Pro Forma'!$E$66:NRN$66))</f>
        <v>0</v>
      </c>
      <c r="NRQ66" s="956">
        <f>MIN(NRQ60*$C$65,Application!$AO$636-SUM('15 Year Pro Forma'!$E$66:NRP$66))</f>
        <v>0</v>
      </c>
      <c r="NRS66" s="956">
        <f>MIN(NRS60*$C$65,Application!$AO$636-SUM('15 Year Pro Forma'!$E$66:NRR$66))</f>
        <v>0</v>
      </c>
      <c r="NRU66" s="956">
        <f>MIN(NRU60*$C$65,Application!$AO$636-SUM('15 Year Pro Forma'!$E$66:NRT$66))</f>
        <v>0</v>
      </c>
      <c r="NRW66" s="956">
        <f>MIN(NRW60*$C$65,Application!$AO$636-SUM('15 Year Pro Forma'!$E$66:NRV$66))</f>
        <v>0</v>
      </c>
      <c r="NRY66" s="956">
        <f>MIN(NRY60*$C$65,Application!$AO$636-SUM('15 Year Pro Forma'!$E$66:NRX$66))</f>
        <v>0</v>
      </c>
      <c r="NSA66" s="956">
        <f>MIN(NSA60*$C$65,Application!$AO$636-SUM('15 Year Pro Forma'!$E$66:NRZ$66))</f>
        <v>0</v>
      </c>
      <c r="NSC66" s="956">
        <f>MIN(NSC60*$C$65,Application!$AO$636-SUM('15 Year Pro Forma'!$E$66:NSB$66))</f>
        <v>0</v>
      </c>
      <c r="NSE66" s="956">
        <f>MIN(NSE60*$C$65,Application!$AO$636-SUM('15 Year Pro Forma'!$E$66:NSD$66))</f>
        <v>0</v>
      </c>
      <c r="NSG66" s="956">
        <f>MIN(NSG60*$C$65,Application!$AO$636-SUM('15 Year Pro Forma'!$E$66:NSF$66))</f>
        <v>0</v>
      </c>
      <c r="NSI66" s="956">
        <f>MIN(NSI60*$C$65,Application!$AO$636-SUM('15 Year Pro Forma'!$E$66:NSH$66))</f>
        <v>0</v>
      </c>
      <c r="NSK66" s="956">
        <f>MIN(NSK60*$C$65,Application!$AO$636-SUM('15 Year Pro Forma'!$E$66:NSJ$66))</f>
        <v>0</v>
      </c>
      <c r="NSM66" s="956">
        <f>MIN(NSM60*$C$65,Application!$AO$636-SUM('15 Year Pro Forma'!$E$66:NSL$66))</f>
        <v>0</v>
      </c>
      <c r="NSO66" s="956">
        <f>MIN(NSO60*$C$65,Application!$AO$636-SUM('15 Year Pro Forma'!$E$66:NSN$66))</f>
        <v>0</v>
      </c>
      <c r="NSQ66" s="956">
        <f>MIN(NSQ60*$C$65,Application!$AO$636-SUM('15 Year Pro Forma'!$E$66:NSP$66))</f>
        <v>0</v>
      </c>
      <c r="NSS66" s="956">
        <f>MIN(NSS60*$C$65,Application!$AO$636-SUM('15 Year Pro Forma'!$E$66:NSR$66))</f>
        <v>0</v>
      </c>
      <c r="NSU66" s="956">
        <f>MIN(NSU60*$C$65,Application!$AO$636-SUM('15 Year Pro Forma'!$E$66:NST$66))</f>
        <v>0</v>
      </c>
      <c r="NSW66" s="956">
        <f>MIN(NSW60*$C$65,Application!$AO$636-SUM('15 Year Pro Forma'!$E$66:NSV$66))</f>
        <v>0</v>
      </c>
      <c r="NSY66" s="956">
        <f>MIN(NSY60*$C$65,Application!$AO$636-SUM('15 Year Pro Forma'!$E$66:NSX$66))</f>
        <v>0</v>
      </c>
      <c r="NTA66" s="956">
        <f>MIN(NTA60*$C$65,Application!$AO$636-SUM('15 Year Pro Forma'!$E$66:NSZ$66))</f>
        <v>0</v>
      </c>
      <c r="NTC66" s="956">
        <f>MIN(NTC60*$C$65,Application!$AO$636-SUM('15 Year Pro Forma'!$E$66:NTB$66))</f>
        <v>0</v>
      </c>
      <c r="NTE66" s="956">
        <f>MIN(NTE60*$C$65,Application!$AO$636-SUM('15 Year Pro Forma'!$E$66:NTD$66))</f>
        <v>0</v>
      </c>
      <c r="NTG66" s="956">
        <f>MIN(NTG60*$C$65,Application!$AO$636-SUM('15 Year Pro Forma'!$E$66:NTF$66))</f>
        <v>0</v>
      </c>
      <c r="NTI66" s="956">
        <f>MIN(NTI60*$C$65,Application!$AO$636-SUM('15 Year Pro Forma'!$E$66:NTH$66))</f>
        <v>0</v>
      </c>
      <c r="NTK66" s="956">
        <f>MIN(NTK60*$C$65,Application!$AO$636-SUM('15 Year Pro Forma'!$E$66:NTJ$66))</f>
        <v>0</v>
      </c>
      <c r="NTM66" s="956">
        <f>MIN(NTM60*$C$65,Application!$AO$636-SUM('15 Year Pro Forma'!$E$66:NTL$66))</f>
        <v>0</v>
      </c>
      <c r="NTO66" s="956">
        <f>MIN(NTO60*$C$65,Application!$AO$636-SUM('15 Year Pro Forma'!$E$66:NTN$66))</f>
        <v>0</v>
      </c>
      <c r="NTQ66" s="956">
        <f>MIN(NTQ60*$C$65,Application!$AO$636-SUM('15 Year Pro Forma'!$E$66:NTP$66))</f>
        <v>0</v>
      </c>
      <c r="NTS66" s="956">
        <f>MIN(NTS60*$C$65,Application!$AO$636-SUM('15 Year Pro Forma'!$E$66:NTR$66))</f>
        <v>0</v>
      </c>
      <c r="NTU66" s="956">
        <f>MIN(NTU60*$C$65,Application!$AO$636-SUM('15 Year Pro Forma'!$E$66:NTT$66))</f>
        <v>0</v>
      </c>
      <c r="NTW66" s="956">
        <f>MIN(NTW60*$C$65,Application!$AO$636-SUM('15 Year Pro Forma'!$E$66:NTV$66))</f>
        <v>0</v>
      </c>
      <c r="NTY66" s="956">
        <f>MIN(NTY60*$C$65,Application!$AO$636-SUM('15 Year Pro Forma'!$E$66:NTX$66))</f>
        <v>0</v>
      </c>
      <c r="NUA66" s="956">
        <f>MIN(NUA60*$C$65,Application!$AO$636-SUM('15 Year Pro Forma'!$E$66:NTZ$66))</f>
        <v>0</v>
      </c>
      <c r="NUC66" s="956">
        <f>MIN(NUC60*$C$65,Application!$AO$636-SUM('15 Year Pro Forma'!$E$66:NUB$66))</f>
        <v>0</v>
      </c>
      <c r="NUE66" s="956">
        <f>MIN(NUE60*$C$65,Application!$AO$636-SUM('15 Year Pro Forma'!$E$66:NUD$66))</f>
        <v>0</v>
      </c>
      <c r="NUG66" s="956">
        <f>MIN(NUG60*$C$65,Application!$AO$636-SUM('15 Year Pro Forma'!$E$66:NUF$66))</f>
        <v>0</v>
      </c>
      <c r="NUI66" s="956">
        <f>MIN(NUI60*$C$65,Application!$AO$636-SUM('15 Year Pro Forma'!$E$66:NUH$66))</f>
        <v>0</v>
      </c>
      <c r="NUK66" s="956">
        <f>MIN(NUK60*$C$65,Application!$AO$636-SUM('15 Year Pro Forma'!$E$66:NUJ$66))</f>
        <v>0</v>
      </c>
      <c r="NUM66" s="956">
        <f>MIN(NUM60*$C$65,Application!$AO$636-SUM('15 Year Pro Forma'!$E$66:NUL$66))</f>
        <v>0</v>
      </c>
      <c r="NUO66" s="956">
        <f>MIN(NUO60*$C$65,Application!$AO$636-SUM('15 Year Pro Forma'!$E$66:NUN$66))</f>
        <v>0</v>
      </c>
      <c r="NUQ66" s="956">
        <f>MIN(NUQ60*$C$65,Application!$AO$636-SUM('15 Year Pro Forma'!$E$66:NUP$66))</f>
        <v>0</v>
      </c>
      <c r="NUS66" s="956">
        <f>MIN(NUS60*$C$65,Application!$AO$636-SUM('15 Year Pro Forma'!$E$66:NUR$66))</f>
        <v>0</v>
      </c>
      <c r="NUU66" s="956">
        <f>MIN(NUU60*$C$65,Application!$AO$636-SUM('15 Year Pro Forma'!$E$66:NUT$66))</f>
        <v>0</v>
      </c>
      <c r="NUW66" s="956">
        <f>MIN(NUW60*$C$65,Application!$AO$636-SUM('15 Year Pro Forma'!$E$66:NUV$66))</f>
        <v>0</v>
      </c>
      <c r="NUY66" s="956">
        <f>MIN(NUY60*$C$65,Application!$AO$636-SUM('15 Year Pro Forma'!$E$66:NUX$66))</f>
        <v>0</v>
      </c>
      <c r="NVA66" s="956">
        <f>MIN(NVA60*$C$65,Application!$AO$636-SUM('15 Year Pro Forma'!$E$66:NUZ$66))</f>
        <v>0</v>
      </c>
      <c r="NVC66" s="956">
        <f>MIN(NVC60*$C$65,Application!$AO$636-SUM('15 Year Pro Forma'!$E$66:NVB$66))</f>
        <v>0</v>
      </c>
      <c r="NVE66" s="956">
        <f>MIN(NVE60*$C$65,Application!$AO$636-SUM('15 Year Pro Forma'!$E$66:NVD$66))</f>
        <v>0</v>
      </c>
      <c r="NVG66" s="956">
        <f>MIN(NVG60*$C$65,Application!$AO$636-SUM('15 Year Pro Forma'!$E$66:NVF$66))</f>
        <v>0</v>
      </c>
      <c r="NVI66" s="956">
        <f>MIN(NVI60*$C$65,Application!$AO$636-SUM('15 Year Pro Forma'!$E$66:NVH$66))</f>
        <v>0</v>
      </c>
      <c r="NVK66" s="956">
        <f>MIN(NVK60*$C$65,Application!$AO$636-SUM('15 Year Pro Forma'!$E$66:NVJ$66))</f>
        <v>0</v>
      </c>
      <c r="NVM66" s="956">
        <f>MIN(NVM60*$C$65,Application!$AO$636-SUM('15 Year Pro Forma'!$E$66:NVL$66))</f>
        <v>0</v>
      </c>
      <c r="NVO66" s="956">
        <f>MIN(NVO60*$C$65,Application!$AO$636-SUM('15 Year Pro Forma'!$E$66:NVN$66))</f>
        <v>0</v>
      </c>
      <c r="NVQ66" s="956">
        <f>MIN(NVQ60*$C$65,Application!$AO$636-SUM('15 Year Pro Forma'!$E$66:NVP$66))</f>
        <v>0</v>
      </c>
      <c r="NVS66" s="956">
        <f>MIN(NVS60*$C$65,Application!$AO$636-SUM('15 Year Pro Forma'!$E$66:NVR$66))</f>
        <v>0</v>
      </c>
      <c r="NVU66" s="956">
        <f>MIN(NVU60*$C$65,Application!$AO$636-SUM('15 Year Pro Forma'!$E$66:NVT$66))</f>
        <v>0</v>
      </c>
      <c r="NVW66" s="956">
        <f>MIN(NVW60*$C$65,Application!$AO$636-SUM('15 Year Pro Forma'!$E$66:NVV$66))</f>
        <v>0</v>
      </c>
      <c r="NVY66" s="956">
        <f>MIN(NVY60*$C$65,Application!$AO$636-SUM('15 Year Pro Forma'!$E$66:NVX$66))</f>
        <v>0</v>
      </c>
      <c r="NWA66" s="956">
        <f>MIN(NWA60*$C$65,Application!$AO$636-SUM('15 Year Pro Forma'!$E$66:NVZ$66))</f>
        <v>0</v>
      </c>
      <c r="NWC66" s="956">
        <f>MIN(NWC60*$C$65,Application!$AO$636-SUM('15 Year Pro Forma'!$E$66:NWB$66))</f>
        <v>0</v>
      </c>
      <c r="NWE66" s="956">
        <f>MIN(NWE60*$C$65,Application!$AO$636-SUM('15 Year Pro Forma'!$E$66:NWD$66))</f>
        <v>0</v>
      </c>
      <c r="NWG66" s="956">
        <f>MIN(NWG60*$C$65,Application!$AO$636-SUM('15 Year Pro Forma'!$E$66:NWF$66))</f>
        <v>0</v>
      </c>
      <c r="NWI66" s="956">
        <f>MIN(NWI60*$C$65,Application!$AO$636-SUM('15 Year Pro Forma'!$E$66:NWH$66))</f>
        <v>0</v>
      </c>
      <c r="NWK66" s="956">
        <f>MIN(NWK60*$C$65,Application!$AO$636-SUM('15 Year Pro Forma'!$E$66:NWJ$66))</f>
        <v>0</v>
      </c>
      <c r="NWM66" s="956">
        <f>MIN(NWM60*$C$65,Application!$AO$636-SUM('15 Year Pro Forma'!$E$66:NWL$66))</f>
        <v>0</v>
      </c>
      <c r="NWO66" s="956">
        <f>MIN(NWO60*$C$65,Application!$AO$636-SUM('15 Year Pro Forma'!$E$66:NWN$66))</f>
        <v>0</v>
      </c>
      <c r="NWQ66" s="956">
        <f>MIN(NWQ60*$C$65,Application!$AO$636-SUM('15 Year Pro Forma'!$E$66:NWP$66))</f>
        <v>0</v>
      </c>
      <c r="NWS66" s="956">
        <f>MIN(NWS60*$C$65,Application!$AO$636-SUM('15 Year Pro Forma'!$E$66:NWR$66))</f>
        <v>0</v>
      </c>
      <c r="NWU66" s="956">
        <f>MIN(NWU60*$C$65,Application!$AO$636-SUM('15 Year Pro Forma'!$E$66:NWT$66))</f>
        <v>0</v>
      </c>
      <c r="NWW66" s="956">
        <f>MIN(NWW60*$C$65,Application!$AO$636-SUM('15 Year Pro Forma'!$E$66:NWV$66))</f>
        <v>0</v>
      </c>
      <c r="NWY66" s="956">
        <f>MIN(NWY60*$C$65,Application!$AO$636-SUM('15 Year Pro Forma'!$E$66:NWX$66))</f>
        <v>0</v>
      </c>
      <c r="NXA66" s="956">
        <f>MIN(NXA60*$C$65,Application!$AO$636-SUM('15 Year Pro Forma'!$E$66:NWZ$66))</f>
        <v>0</v>
      </c>
      <c r="NXC66" s="956">
        <f>MIN(NXC60*$C$65,Application!$AO$636-SUM('15 Year Pro Forma'!$E$66:NXB$66))</f>
        <v>0</v>
      </c>
      <c r="NXE66" s="956">
        <f>MIN(NXE60*$C$65,Application!$AO$636-SUM('15 Year Pro Forma'!$E$66:NXD$66))</f>
        <v>0</v>
      </c>
      <c r="NXG66" s="956">
        <f>MIN(NXG60*$C$65,Application!$AO$636-SUM('15 Year Pro Forma'!$E$66:NXF$66))</f>
        <v>0</v>
      </c>
      <c r="NXI66" s="956">
        <f>MIN(NXI60*$C$65,Application!$AO$636-SUM('15 Year Pro Forma'!$E$66:NXH$66))</f>
        <v>0</v>
      </c>
      <c r="NXK66" s="956">
        <f>MIN(NXK60*$C$65,Application!$AO$636-SUM('15 Year Pro Forma'!$E$66:NXJ$66))</f>
        <v>0</v>
      </c>
      <c r="NXM66" s="956">
        <f>MIN(NXM60*$C$65,Application!$AO$636-SUM('15 Year Pro Forma'!$E$66:NXL$66))</f>
        <v>0</v>
      </c>
      <c r="NXO66" s="956">
        <f>MIN(NXO60*$C$65,Application!$AO$636-SUM('15 Year Pro Forma'!$E$66:NXN$66))</f>
        <v>0</v>
      </c>
      <c r="NXQ66" s="956">
        <f>MIN(NXQ60*$C$65,Application!$AO$636-SUM('15 Year Pro Forma'!$E$66:NXP$66))</f>
        <v>0</v>
      </c>
      <c r="NXS66" s="956">
        <f>MIN(NXS60*$C$65,Application!$AO$636-SUM('15 Year Pro Forma'!$E$66:NXR$66))</f>
        <v>0</v>
      </c>
      <c r="NXU66" s="956">
        <f>MIN(NXU60*$C$65,Application!$AO$636-SUM('15 Year Pro Forma'!$E$66:NXT$66))</f>
        <v>0</v>
      </c>
      <c r="NXW66" s="956">
        <f>MIN(NXW60*$C$65,Application!$AO$636-SUM('15 Year Pro Forma'!$E$66:NXV$66))</f>
        <v>0</v>
      </c>
      <c r="NXY66" s="956">
        <f>MIN(NXY60*$C$65,Application!$AO$636-SUM('15 Year Pro Forma'!$E$66:NXX$66))</f>
        <v>0</v>
      </c>
      <c r="NYA66" s="956">
        <f>MIN(NYA60*$C$65,Application!$AO$636-SUM('15 Year Pro Forma'!$E$66:NXZ$66))</f>
        <v>0</v>
      </c>
      <c r="NYC66" s="956">
        <f>MIN(NYC60*$C$65,Application!$AO$636-SUM('15 Year Pro Forma'!$E$66:NYB$66))</f>
        <v>0</v>
      </c>
      <c r="NYE66" s="956">
        <f>MIN(NYE60*$C$65,Application!$AO$636-SUM('15 Year Pro Forma'!$E$66:NYD$66))</f>
        <v>0</v>
      </c>
      <c r="NYG66" s="956">
        <f>MIN(NYG60*$C$65,Application!$AO$636-SUM('15 Year Pro Forma'!$E$66:NYF$66))</f>
        <v>0</v>
      </c>
      <c r="NYI66" s="956">
        <f>MIN(NYI60*$C$65,Application!$AO$636-SUM('15 Year Pro Forma'!$E$66:NYH$66))</f>
        <v>0</v>
      </c>
      <c r="NYK66" s="956">
        <f>MIN(NYK60*$C$65,Application!$AO$636-SUM('15 Year Pro Forma'!$E$66:NYJ$66))</f>
        <v>0</v>
      </c>
      <c r="NYM66" s="956">
        <f>MIN(NYM60*$C$65,Application!$AO$636-SUM('15 Year Pro Forma'!$E$66:NYL$66))</f>
        <v>0</v>
      </c>
      <c r="NYO66" s="956">
        <f>MIN(NYO60*$C$65,Application!$AO$636-SUM('15 Year Pro Forma'!$E$66:NYN$66))</f>
        <v>0</v>
      </c>
      <c r="NYQ66" s="956">
        <f>MIN(NYQ60*$C$65,Application!$AO$636-SUM('15 Year Pro Forma'!$E$66:NYP$66))</f>
        <v>0</v>
      </c>
      <c r="NYS66" s="956">
        <f>MIN(NYS60*$C$65,Application!$AO$636-SUM('15 Year Pro Forma'!$E$66:NYR$66))</f>
        <v>0</v>
      </c>
      <c r="NYU66" s="956">
        <f>MIN(NYU60*$C$65,Application!$AO$636-SUM('15 Year Pro Forma'!$E$66:NYT$66))</f>
        <v>0</v>
      </c>
      <c r="NYW66" s="956">
        <f>MIN(NYW60*$C$65,Application!$AO$636-SUM('15 Year Pro Forma'!$E$66:NYV$66))</f>
        <v>0</v>
      </c>
      <c r="NYY66" s="956">
        <f>MIN(NYY60*$C$65,Application!$AO$636-SUM('15 Year Pro Forma'!$E$66:NYX$66))</f>
        <v>0</v>
      </c>
      <c r="NZA66" s="956">
        <f>MIN(NZA60*$C$65,Application!$AO$636-SUM('15 Year Pro Forma'!$E$66:NYZ$66))</f>
        <v>0</v>
      </c>
      <c r="NZC66" s="956">
        <f>MIN(NZC60*$C$65,Application!$AO$636-SUM('15 Year Pro Forma'!$E$66:NZB$66))</f>
        <v>0</v>
      </c>
      <c r="NZE66" s="956">
        <f>MIN(NZE60*$C$65,Application!$AO$636-SUM('15 Year Pro Forma'!$E$66:NZD$66))</f>
        <v>0</v>
      </c>
      <c r="NZG66" s="956">
        <f>MIN(NZG60*$C$65,Application!$AO$636-SUM('15 Year Pro Forma'!$E$66:NZF$66))</f>
        <v>0</v>
      </c>
      <c r="NZI66" s="956">
        <f>MIN(NZI60*$C$65,Application!$AO$636-SUM('15 Year Pro Forma'!$E$66:NZH$66))</f>
        <v>0</v>
      </c>
      <c r="NZK66" s="956">
        <f>MIN(NZK60*$C$65,Application!$AO$636-SUM('15 Year Pro Forma'!$E$66:NZJ$66))</f>
        <v>0</v>
      </c>
      <c r="NZM66" s="956">
        <f>MIN(NZM60*$C$65,Application!$AO$636-SUM('15 Year Pro Forma'!$E$66:NZL$66))</f>
        <v>0</v>
      </c>
      <c r="NZO66" s="956">
        <f>MIN(NZO60*$C$65,Application!$AO$636-SUM('15 Year Pro Forma'!$E$66:NZN$66))</f>
        <v>0</v>
      </c>
      <c r="NZQ66" s="956">
        <f>MIN(NZQ60*$C$65,Application!$AO$636-SUM('15 Year Pro Forma'!$E$66:NZP$66))</f>
        <v>0</v>
      </c>
      <c r="NZS66" s="956">
        <f>MIN(NZS60*$C$65,Application!$AO$636-SUM('15 Year Pro Forma'!$E$66:NZR$66))</f>
        <v>0</v>
      </c>
      <c r="NZU66" s="956">
        <f>MIN(NZU60*$C$65,Application!$AO$636-SUM('15 Year Pro Forma'!$E$66:NZT$66))</f>
        <v>0</v>
      </c>
      <c r="NZW66" s="956">
        <f>MIN(NZW60*$C$65,Application!$AO$636-SUM('15 Year Pro Forma'!$E$66:NZV$66))</f>
        <v>0</v>
      </c>
      <c r="NZY66" s="956">
        <f>MIN(NZY60*$C$65,Application!$AO$636-SUM('15 Year Pro Forma'!$E$66:NZX$66))</f>
        <v>0</v>
      </c>
      <c r="OAA66" s="956">
        <f>MIN(OAA60*$C$65,Application!$AO$636-SUM('15 Year Pro Forma'!$E$66:NZZ$66))</f>
        <v>0</v>
      </c>
      <c r="OAC66" s="956">
        <f>MIN(OAC60*$C$65,Application!$AO$636-SUM('15 Year Pro Forma'!$E$66:OAB$66))</f>
        <v>0</v>
      </c>
      <c r="OAE66" s="956">
        <f>MIN(OAE60*$C$65,Application!$AO$636-SUM('15 Year Pro Forma'!$E$66:OAD$66))</f>
        <v>0</v>
      </c>
      <c r="OAG66" s="956">
        <f>MIN(OAG60*$C$65,Application!$AO$636-SUM('15 Year Pro Forma'!$E$66:OAF$66))</f>
        <v>0</v>
      </c>
      <c r="OAI66" s="956">
        <f>MIN(OAI60*$C$65,Application!$AO$636-SUM('15 Year Pro Forma'!$E$66:OAH$66))</f>
        <v>0</v>
      </c>
      <c r="OAK66" s="956">
        <f>MIN(OAK60*$C$65,Application!$AO$636-SUM('15 Year Pro Forma'!$E$66:OAJ$66))</f>
        <v>0</v>
      </c>
      <c r="OAM66" s="956">
        <f>MIN(OAM60*$C$65,Application!$AO$636-SUM('15 Year Pro Forma'!$E$66:OAL$66))</f>
        <v>0</v>
      </c>
      <c r="OAO66" s="956">
        <f>MIN(OAO60*$C$65,Application!$AO$636-SUM('15 Year Pro Forma'!$E$66:OAN$66))</f>
        <v>0</v>
      </c>
      <c r="OAQ66" s="956">
        <f>MIN(OAQ60*$C$65,Application!$AO$636-SUM('15 Year Pro Forma'!$E$66:OAP$66))</f>
        <v>0</v>
      </c>
      <c r="OAS66" s="956">
        <f>MIN(OAS60*$C$65,Application!$AO$636-SUM('15 Year Pro Forma'!$E$66:OAR$66))</f>
        <v>0</v>
      </c>
      <c r="OAU66" s="956">
        <f>MIN(OAU60*$C$65,Application!$AO$636-SUM('15 Year Pro Forma'!$E$66:OAT$66))</f>
        <v>0</v>
      </c>
      <c r="OAW66" s="956">
        <f>MIN(OAW60*$C$65,Application!$AO$636-SUM('15 Year Pro Forma'!$E$66:OAV$66))</f>
        <v>0</v>
      </c>
      <c r="OAY66" s="956">
        <f>MIN(OAY60*$C$65,Application!$AO$636-SUM('15 Year Pro Forma'!$E$66:OAX$66))</f>
        <v>0</v>
      </c>
      <c r="OBA66" s="956">
        <f>MIN(OBA60*$C$65,Application!$AO$636-SUM('15 Year Pro Forma'!$E$66:OAZ$66))</f>
        <v>0</v>
      </c>
      <c r="OBC66" s="956">
        <f>MIN(OBC60*$C$65,Application!$AO$636-SUM('15 Year Pro Forma'!$E$66:OBB$66))</f>
        <v>0</v>
      </c>
      <c r="OBE66" s="956">
        <f>MIN(OBE60*$C$65,Application!$AO$636-SUM('15 Year Pro Forma'!$E$66:OBD$66))</f>
        <v>0</v>
      </c>
      <c r="OBG66" s="956">
        <f>MIN(OBG60*$C$65,Application!$AO$636-SUM('15 Year Pro Forma'!$E$66:OBF$66))</f>
        <v>0</v>
      </c>
      <c r="OBI66" s="956">
        <f>MIN(OBI60*$C$65,Application!$AO$636-SUM('15 Year Pro Forma'!$E$66:OBH$66))</f>
        <v>0</v>
      </c>
      <c r="OBK66" s="956">
        <f>MIN(OBK60*$C$65,Application!$AO$636-SUM('15 Year Pro Forma'!$E$66:OBJ$66))</f>
        <v>0</v>
      </c>
      <c r="OBM66" s="956">
        <f>MIN(OBM60*$C$65,Application!$AO$636-SUM('15 Year Pro Forma'!$E$66:OBL$66))</f>
        <v>0</v>
      </c>
      <c r="OBO66" s="956">
        <f>MIN(OBO60*$C$65,Application!$AO$636-SUM('15 Year Pro Forma'!$E$66:OBN$66))</f>
        <v>0</v>
      </c>
      <c r="OBQ66" s="956">
        <f>MIN(OBQ60*$C$65,Application!$AO$636-SUM('15 Year Pro Forma'!$E$66:OBP$66))</f>
        <v>0</v>
      </c>
      <c r="OBS66" s="956">
        <f>MIN(OBS60*$C$65,Application!$AO$636-SUM('15 Year Pro Forma'!$E$66:OBR$66))</f>
        <v>0</v>
      </c>
      <c r="OBU66" s="956">
        <f>MIN(OBU60*$C$65,Application!$AO$636-SUM('15 Year Pro Forma'!$E$66:OBT$66))</f>
        <v>0</v>
      </c>
      <c r="OBW66" s="956">
        <f>MIN(OBW60*$C$65,Application!$AO$636-SUM('15 Year Pro Forma'!$E$66:OBV$66))</f>
        <v>0</v>
      </c>
      <c r="OBY66" s="956">
        <f>MIN(OBY60*$C$65,Application!$AO$636-SUM('15 Year Pro Forma'!$E$66:OBX$66))</f>
        <v>0</v>
      </c>
      <c r="OCA66" s="956">
        <f>MIN(OCA60*$C$65,Application!$AO$636-SUM('15 Year Pro Forma'!$E$66:OBZ$66))</f>
        <v>0</v>
      </c>
      <c r="OCC66" s="956">
        <f>MIN(OCC60*$C$65,Application!$AO$636-SUM('15 Year Pro Forma'!$E$66:OCB$66))</f>
        <v>0</v>
      </c>
      <c r="OCE66" s="956">
        <f>MIN(OCE60*$C$65,Application!$AO$636-SUM('15 Year Pro Forma'!$E$66:OCD$66))</f>
        <v>0</v>
      </c>
      <c r="OCG66" s="956">
        <f>MIN(OCG60*$C$65,Application!$AO$636-SUM('15 Year Pro Forma'!$E$66:OCF$66))</f>
        <v>0</v>
      </c>
      <c r="OCI66" s="956">
        <f>MIN(OCI60*$C$65,Application!$AO$636-SUM('15 Year Pro Forma'!$E$66:OCH$66))</f>
        <v>0</v>
      </c>
      <c r="OCK66" s="956">
        <f>MIN(OCK60*$C$65,Application!$AO$636-SUM('15 Year Pro Forma'!$E$66:OCJ$66))</f>
        <v>0</v>
      </c>
      <c r="OCM66" s="956">
        <f>MIN(OCM60*$C$65,Application!$AO$636-SUM('15 Year Pro Forma'!$E$66:OCL$66))</f>
        <v>0</v>
      </c>
      <c r="OCO66" s="956">
        <f>MIN(OCO60*$C$65,Application!$AO$636-SUM('15 Year Pro Forma'!$E$66:OCN$66))</f>
        <v>0</v>
      </c>
      <c r="OCQ66" s="956">
        <f>MIN(OCQ60*$C$65,Application!$AO$636-SUM('15 Year Pro Forma'!$E$66:OCP$66))</f>
        <v>0</v>
      </c>
      <c r="OCS66" s="956">
        <f>MIN(OCS60*$C$65,Application!$AO$636-SUM('15 Year Pro Forma'!$E$66:OCR$66))</f>
        <v>0</v>
      </c>
      <c r="OCU66" s="956">
        <f>MIN(OCU60*$C$65,Application!$AO$636-SUM('15 Year Pro Forma'!$E$66:OCT$66))</f>
        <v>0</v>
      </c>
      <c r="OCW66" s="956">
        <f>MIN(OCW60*$C$65,Application!$AO$636-SUM('15 Year Pro Forma'!$E$66:OCV$66))</f>
        <v>0</v>
      </c>
      <c r="OCY66" s="956">
        <f>MIN(OCY60*$C$65,Application!$AO$636-SUM('15 Year Pro Forma'!$E$66:OCX$66))</f>
        <v>0</v>
      </c>
      <c r="ODA66" s="956">
        <f>MIN(ODA60*$C$65,Application!$AO$636-SUM('15 Year Pro Forma'!$E$66:OCZ$66))</f>
        <v>0</v>
      </c>
      <c r="ODC66" s="956">
        <f>MIN(ODC60*$C$65,Application!$AO$636-SUM('15 Year Pro Forma'!$E$66:ODB$66))</f>
        <v>0</v>
      </c>
      <c r="ODE66" s="956">
        <f>MIN(ODE60*$C$65,Application!$AO$636-SUM('15 Year Pro Forma'!$E$66:ODD$66))</f>
        <v>0</v>
      </c>
      <c r="ODG66" s="956">
        <f>MIN(ODG60*$C$65,Application!$AO$636-SUM('15 Year Pro Forma'!$E$66:ODF$66))</f>
        <v>0</v>
      </c>
      <c r="ODI66" s="956">
        <f>MIN(ODI60*$C$65,Application!$AO$636-SUM('15 Year Pro Forma'!$E$66:ODH$66))</f>
        <v>0</v>
      </c>
      <c r="ODK66" s="956">
        <f>MIN(ODK60*$C$65,Application!$AO$636-SUM('15 Year Pro Forma'!$E$66:ODJ$66))</f>
        <v>0</v>
      </c>
      <c r="ODM66" s="956">
        <f>MIN(ODM60*$C$65,Application!$AO$636-SUM('15 Year Pro Forma'!$E$66:ODL$66))</f>
        <v>0</v>
      </c>
      <c r="ODO66" s="956">
        <f>MIN(ODO60*$C$65,Application!$AO$636-SUM('15 Year Pro Forma'!$E$66:ODN$66))</f>
        <v>0</v>
      </c>
      <c r="ODQ66" s="956">
        <f>MIN(ODQ60*$C$65,Application!$AO$636-SUM('15 Year Pro Forma'!$E$66:ODP$66))</f>
        <v>0</v>
      </c>
      <c r="ODS66" s="956">
        <f>MIN(ODS60*$C$65,Application!$AO$636-SUM('15 Year Pro Forma'!$E$66:ODR$66))</f>
        <v>0</v>
      </c>
      <c r="ODU66" s="956">
        <f>MIN(ODU60*$C$65,Application!$AO$636-SUM('15 Year Pro Forma'!$E$66:ODT$66))</f>
        <v>0</v>
      </c>
      <c r="ODW66" s="956">
        <f>MIN(ODW60*$C$65,Application!$AO$636-SUM('15 Year Pro Forma'!$E$66:ODV$66))</f>
        <v>0</v>
      </c>
      <c r="ODY66" s="956">
        <f>MIN(ODY60*$C$65,Application!$AO$636-SUM('15 Year Pro Forma'!$E$66:ODX$66))</f>
        <v>0</v>
      </c>
      <c r="OEA66" s="956">
        <f>MIN(OEA60*$C$65,Application!$AO$636-SUM('15 Year Pro Forma'!$E$66:ODZ$66))</f>
        <v>0</v>
      </c>
      <c r="OEC66" s="956">
        <f>MIN(OEC60*$C$65,Application!$AO$636-SUM('15 Year Pro Forma'!$E$66:OEB$66))</f>
        <v>0</v>
      </c>
      <c r="OEE66" s="956">
        <f>MIN(OEE60*$C$65,Application!$AO$636-SUM('15 Year Pro Forma'!$E$66:OED$66))</f>
        <v>0</v>
      </c>
      <c r="OEG66" s="956">
        <f>MIN(OEG60*$C$65,Application!$AO$636-SUM('15 Year Pro Forma'!$E$66:OEF$66))</f>
        <v>0</v>
      </c>
      <c r="OEI66" s="956">
        <f>MIN(OEI60*$C$65,Application!$AO$636-SUM('15 Year Pro Forma'!$E$66:OEH$66))</f>
        <v>0</v>
      </c>
      <c r="OEK66" s="956">
        <f>MIN(OEK60*$C$65,Application!$AO$636-SUM('15 Year Pro Forma'!$E$66:OEJ$66))</f>
        <v>0</v>
      </c>
      <c r="OEM66" s="956">
        <f>MIN(OEM60*$C$65,Application!$AO$636-SUM('15 Year Pro Forma'!$E$66:OEL$66))</f>
        <v>0</v>
      </c>
      <c r="OEO66" s="956">
        <f>MIN(OEO60*$C$65,Application!$AO$636-SUM('15 Year Pro Forma'!$E$66:OEN$66))</f>
        <v>0</v>
      </c>
      <c r="OEQ66" s="956">
        <f>MIN(OEQ60*$C$65,Application!$AO$636-SUM('15 Year Pro Forma'!$E$66:OEP$66))</f>
        <v>0</v>
      </c>
      <c r="OES66" s="956">
        <f>MIN(OES60*$C$65,Application!$AO$636-SUM('15 Year Pro Forma'!$E$66:OER$66))</f>
        <v>0</v>
      </c>
      <c r="OEU66" s="956">
        <f>MIN(OEU60*$C$65,Application!$AO$636-SUM('15 Year Pro Forma'!$E$66:OET$66))</f>
        <v>0</v>
      </c>
      <c r="OEW66" s="956">
        <f>MIN(OEW60*$C$65,Application!$AO$636-SUM('15 Year Pro Forma'!$E$66:OEV$66))</f>
        <v>0</v>
      </c>
      <c r="OEY66" s="956">
        <f>MIN(OEY60*$C$65,Application!$AO$636-SUM('15 Year Pro Forma'!$E$66:OEX$66))</f>
        <v>0</v>
      </c>
      <c r="OFA66" s="956">
        <f>MIN(OFA60*$C$65,Application!$AO$636-SUM('15 Year Pro Forma'!$E$66:OEZ$66))</f>
        <v>0</v>
      </c>
      <c r="OFC66" s="956">
        <f>MIN(OFC60*$C$65,Application!$AO$636-SUM('15 Year Pro Forma'!$E$66:OFB$66))</f>
        <v>0</v>
      </c>
      <c r="OFE66" s="956">
        <f>MIN(OFE60*$C$65,Application!$AO$636-SUM('15 Year Pro Forma'!$E$66:OFD$66))</f>
        <v>0</v>
      </c>
      <c r="OFG66" s="956">
        <f>MIN(OFG60*$C$65,Application!$AO$636-SUM('15 Year Pro Forma'!$E$66:OFF$66))</f>
        <v>0</v>
      </c>
      <c r="OFI66" s="956">
        <f>MIN(OFI60*$C$65,Application!$AO$636-SUM('15 Year Pro Forma'!$E$66:OFH$66))</f>
        <v>0</v>
      </c>
      <c r="OFK66" s="956">
        <f>MIN(OFK60*$C$65,Application!$AO$636-SUM('15 Year Pro Forma'!$E$66:OFJ$66))</f>
        <v>0</v>
      </c>
      <c r="OFM66" s="956">
        <f>MIN(OFM60*$C$65,Application!$AO$636-SUM('15 Year Pro Forma'!$E$66:OFL$66))</f>
        <v>0</v>
      </c>
      <c r="OFO66" s="956">
        <f>MIN(OFO60*$C$65,Application!$AO$636-SUM('15 Year Pro Forma'!$E$66:OFN$66))</f>
        <v>0</v>
      </c>
      <c r="OFQ66" s="956">
        <f>MIN(OFQ60*$C$65,Application!$AO$636-SUM('15 Year Pro Forma'!$E$66:OFP$66))</f>
        <v>0</v>
      </c>
      <c r="OFS66" s="956">
        <f>MIN(OFS60*$C$65,Application!$AO$636-SUM('15 Year Pro Forma'!$E$66:OFR$66))</f>
        <v>0</v>
      </c>
      <c r="OFU66" s="956">
        <f>MIN(OFU60*$C$65,Application!$AO$636-SUM('15 Year Pro Forma'!$E$66:OFT$66))</f>
        <v>0</v>
      </c>
      <c r="OFW66" s="956">
        <f>MIN(OFW60*$C$65,Application!$AO$636-SUM('15 Year Pro Forma'!$E$66:OFV$66))</f>
        <v>0</v>
      </c>
      <c r="OFY66" s="956">
        <f>MIN(OFY60*$C$65,Application!$AO$636-SUM('15 Year Pro Forma'!$E$66:OFX$66))</f>
        <v>0</v>
      </c>
      <c r="OGA66" s="956">
        <f>MIN(OGA60*$C$65,Application!$AO$636-SUM('15 Year Pro Forma'!$E$66:OFZ$66))</f>
        <v>0</v>
      </c>
      <c r="OGC66" s="956">
        <f>MIN(OGC60*$C$65,Application!$AO$636-SUM('15 Year Pro Forma'!$E$66:OGB$66))</f>
        <v>0</v>
      </c>
      <c r="OGE66" s="956">
        <f>MIN(OGE60*$C$65,Application!$AO$636-SUM('15 Year Pro Forma'!$E$66:OGD$66))</f>
        <v>0</v>
      </c>
      <c r="OGG66" s="956">
        <f>MIN(OGG60*$C$65,Application!$AO$636-SUM('15 Year Pro Forma'!$E$66:OGF$66))</f>
        <v>0</v>
      </c>
      <c r="OGI66" s="956">
        <f>MIN(OGI60*$C$65,Application!$AO$636-SUM('15 Year Pro Forma'!$E$66:OGH$66))</f>
        <v>0</v>
      </c>
      <c r="OGK66" s="956">
        <f>MIN(OGK60*$C$65,Application!$AO$636-SUM('15 Year Pro Forma'!$E$66:OGJ$66))</f>
        <v>0</v>
      </c>
      <c r="OGM66" s="956">
        <f>MIN(OGM60*$C$65,Application!$AO$636-SUM('15 Year Pro Forma'!$E$66:OGL$66))</f>
        <v>0</v>
      </c>
      <c r="OGO66" s="956">
        <f>MIN(OGO60*$C$65,Application!$AO$636-SUM('15 Year Pro Forma'!$E$66:OGN$66))</f>
        <v>0</v>
      </c>
      <c r="OGQ66" s="956">
        <f>MIN(OGQ60*$C$65,Application!$AO$636-SUM('15 Year Pro Forma'!$E$66:OGP$66))</f>
        <v>0</v>
      </c>
      <c r="OGS66" s="956">
        <f>MIN(OGS60*$C$65,Application!$AO$636-SUM('15 Year Pro Forma'!$E$66:OGR$66))</f>
        <v>0</v>
      </c>
      <c r="OGU66" s="956">
        <f>MIN(OGU60*$C$65,Application!$AO$636-SUM('15 Year Pro Forma'!$E$66:OGT$66))</f>
        <v>0</v>
      </c>
      <c r="OGW66" s="956">
        <f>MIN(OGW60*$C$65,Application!$AO$636-SUM('15 Year Pro Forma'!$E$66:OGV$66))</f>
        <v>0</v>
      </c>
      <c r="OGY66" s="956">
        <f>MIN(OGY60*$C$65,Application!$AO$636-SUM('15 Year Pro Forma'!$E$66:OGX$66))</f>
        <v>0</v>
      </c>
      <c r="OHA66" s="956">
        <f>MIN(OHA60*$C$65,Application!$AO$636-SUM('15 Year Pro Forma'!$E$66:OGZ$66))</f>
        <v>0</v>
      </c>
      <c r="OHC66" s="956">
        <f>MIN(OHC60*$C$65,Application!$AO$636-SUM('15 Year Pro Forma'!$E$66:OHB$66))</f>
        <v>0</v>
      </c>
      <c r="OHE66" s="956">
        <f>MIN(OHE60*$C$65,Application!$AO$636-SUM('15 Year Pro Forma'!$E$66:OHD$66))</f>
        <v>0</v>
      </c>
      <c r="OHG66" s="956">
        <f>MIN(OHG60*$C$65,Application!$AO$636-SUM('15 Year Pro Forma'!$E$66:OHF$66))</f>
        <v>0</v>
      </c>
      <c r="OHI66" s="956">
        <f>MIN(OHI60*$C$65,Application!$AO$636-SUM('15 Year Pro Forma'!$E$66:OHH$66))</f>
        <v>0</v>
      </c>
      <c r="OHK66" s="956">
        <f>MIN(OHK60*$C$65,Application!$AO$636-SUM('15 Year Pro Forma'!$E$66:OHJ$66))</f>
        <v>0</v>
      </c>
      <c r="OHM66" s="956">
        <f>MIN(OHM60*$C$65,Application!$AO$636-SUM('15 Year Pro Forma'!$E$66:OHL$66))</f>
        <v>0</v>
      </c>
      <c r="OHO66" s="956">
        <f>MIN(OHO60*$C$65,Application!$AO$636-SUM('15 Year Pro Forma'!$E$66:OHN$66))</f>
        <v>0</v>
      </c>
      <c r="OHQ66" s="956">
        <f>MIN(OHQ60*$C$65,Application!$AO$636-SUM('15 Year Pro Forma'!$E$66:OHP$66))</f>
        <v>0</v>
      </c>
      <c r="OHS66" s="956">
        <f>MIN(OHS60*$C$65,Application!$AO$636-SUM('15 Year Pro Forma'!$E$66:OHR$66))</f>
        <v>0</v>
      </c>
      <c r="OHU66" s="956">
        <f>MIN(OHU60*$C$65,Application!$AO$636-SUM('15 Year Pro Forma'!$E$66:OHT$66))</f>
        <v>0</v>
      </c>
      <c r="OHW66" s="956">
        <f>MIN(OHW60*$C$65,Application!$AO$636-SUM('15 Year Pro Forma'!$E$66:OHV$66))</f>
        <v>0</v>
      </c>
      <c r="OHY66" s="956">
        <f>MIN(OHY60*$C$65,Application!$AO$636-SUM('15 Year Pro Forma'!$E$66:OHX$66))</f>
        <v>0</v>
      </c>
      <c r="OIA66" s="956">
        <f>MIN(OIA60*$C$65,Application!$AO$636-SUM('15 Year Pro Forma'!$E$66:OHZ$66))</f>
        <v>0</v>
      </c>
      <c r="OIC66" s="956">
        <f>MIN(OIC60*$C$65,Application!$AO$636-SUM('15 Year Pro Forma'!$E$66:OIB$66))</f>
        <v>0</v>
      </c>
      <c r="OIE66" s="956">
        <f>MIN(OIE60*$C$65,Application!$AO$636-SUM('15 Year Pro Forma'!$E$66:OID$66))</f>
        <v>0</v>
      </c>
      <c r="OIG66" s="956">
        <f>MIN(OIG60*$C$65,Application!$AO$636-SUM('15 Year Pro Forma'!$E$66:OIF$66))</f>
        <v>0</v>
      </c>
      <c r="OII66" s="956">
        <f>MIN(OII60*$C$65,Application!$AO$636-SUM('15 Year Pro Forma'!$E$66:OIH$66))</f>
        <v>0</v>
      </c>
      <c r="OIK66" s="956">
        <f>MIN(OIK60*$C$65,Application!$AO$636-SUM('15 Year Pro Forma'!$E$66:OIJ$66))</f>
        <v>0</v>
      </c>
      <c r="OIM66" s="956">
        <f>MIN(OIM60*$C$65,Application!$AO$636-SUM('15 Year Pro Forma'!$E$66:OIL$66))</f>
        <v>0</v>
      </c>
      <c r="OIO66" s="956">
        <f>MIN(OIO60*$C$65,Application!$AO$636-SUM('15 Year Pro Forma'!$E$66:OIN$66))</f>
        <v>0</v>
      </c>
      <c r="OIQ66" s="956">
        <f>MIN(OIQ60*$C$65,Application!$AO$636-SUM('15 Year Pro Forma'!$E$66:OIP$66))</f>
        <v>0</v>
      </c>
      <c r="OIS66" s="956">
        <f>MIN(OIS60*$C$65,Application!$AO$636-SUM('15 Year Pro Forma'!$E$66:OIR$66))</f>
        <v>0</v>
      </c>
      <c r="OIU66" s="956">
        <f>MIN(OIU60*$C$65,Application!$AO$636-SUM('15 Year Pro Forma'!$E$66:OIT$66))</f>
        <v>0</v>
      </c>
      <c r="OIW66" s="956">
        <f>MIN(OIW60*$C$65,Application!$AO$636-SUM('15 Year Pro Forma'!$E$66:OIV$66))</f>
        <v>0</v>
      </c>
      <c r="OIY66" s="956">
        <f>MIN(OIY60*$C$65,Application!$AO$636-SUM('15 Year Pro Forma'!$E$66:OIX$66))</f>
        <v>0</v>
      </c>
      <c r="OJA66" s="956">
        <f>MIN(OJA60*$C$65,Application!$AO$636-SUM('15 Year Pro Forma'!$E$66:OIZ$66))</f>
        <v>0</v>
      </c>
      <c r="OJC66" s="956">
        <f>MIN(OJC60*$C$65,Application!$AO$636-SUM('15 Year Pro Forma'!$E$66:OJB$66))</f>
        <v>0</v>
      </c>
      <c r="OJE66" s="956">
        <f>MIN(OJE60*$C$65,Application!$AO$636-SUM('15 Year Pro Forma'!$E$66:OJD$66))</f>
        <v>0</v>
      </c>
      <c r="OJG66" s="956">
        <f>MIN(OJG60*$C$65,Application!$AO$636-SUM('15 Year Pro Forma'!$E$66:OJF$66))</f>
        <v>0</v>
      </c>
      <c r="OJI66" s="956">
        <f>MIN(OJI60*$C$65,Application!$AO$636-SUM('15 Year Pro Forma'!$E$66:OJH$66))</f>
        <v>0</v>
      </c>
      <c r="OJK66" s="956">
        <f>MIN(OJK60*$C$65,Application!$AO$636-SUM('15 Year Pro Forma'!$E$66:OJJ$66))</f>
        <v>0</v>
      </c>
      <c r="OJM66" s="956">
        <f>MIN(OJM60*$C$65,Application!$AO$636-SUM('15 Year Pro Forma'!$E$66:OJL$66))</f>
        <v>0</v>
      </c>
      <c r="OJO66" s="956">
        <f>MIN(OJO60*$C$65,Application!$AO$636-SUM('15 Year Pro Forma'!$E$66:OJN$66))</f>
        <v>0</v>
      </c>
      <c r="OJQ66" s="956">
        <f>MIN(OJQ60*$C$65,Application!$AO$636-SUM('15 Year Pro Forma'!$E$66:OJP$66))</f>
        <v>0</v>
      </c>
      <c r="OJS66" s="956">
        <f>MIN(OJS60*$C$65,Application!$AO$636-SUM('15 Year Pro Forma'!$E$66:OJR$66))</f>
        <v>0</v>
      </c>
      <c r="OJU66" s="956">
        <f>MIN(OJU60*$C$65,Application!$AO$636-SUM('15 Year Pro Forma'!$E$66:OJT$66))</f>
        <v>0</v>
      </c>
      <c r="OJW66" s="956">
        <f>MIN(OJW60*$C$65,Application!$AO$636-SUM('15 Year Pro Forma'!$E$66:OJV$66))</f>
        <v>0</v>
      </c>
      <c r="OJY66" s="956">
        <f>MIN(OJY60*$C$65,Application!$AO$636-SUM('15 Year Pro Forma'!$E$66:OJX$66))</f>
        <v>0</v>
      </c>
      <c r="OKA66" s="956">
        <f>MIN(OKA60*$C$65,Application!$AO$636-SUM('15 Year Pro Forma'!$E$66:OJZ$66))</f>
        <v>0</v>
      </c>
      <c r="OKC66" s="956">
        <f>MIN(OKC60*$C$65,Application!$AO$636-SUM('15 Year Pro Forma'!$E$66:OKB$66))</f>
        <v>0</v>
      </c>
      <c r="OKE66" s="956">
        <f>MIN(OKE60*$C$65,Application!$AO$636-SUM('15 Year Pro Forma'!$E$66:OKD$66))</f>
        <v>0</v>
      </c>
      <c r="OKG66" s="956">
        <f>MIN(OKG60*$C$65,Application!$AO$636-SUM('15 Year Pro Forma'!$E$66:OKF$66))</f>
        <v>0</v>
      </c>
      <c r="OKI66" s="956">
        <f>MIN(OKI60*$C$65,Application!$AO$636-SUM('15 Year Pro Forma'!$E$66:OKH$66))</f>
        <v>0</v>
      </c>
      <c r="OKK66" s="956">
        <f>MIN(OKK60*$C$65,Application!$AO$636-SUM('15 Year Pro Forma'!$E$66:OKJ$66))</f>
        <v>0</v>
      </c>
      <c r="OKM66" s="956">
        <f>MIN(OKM60*$C$65,Application!$AO$636-SUM('15 Year Pro Forma'!$E$66:OKL$66))</f>
        <v>0</v>
      </c>
      <c r="OKO66" s="956">
        <f>MIN(OKO60*$C$65,Application!$AO$636-SUM('15 Year Pro Forma'!$E$66:OKN$66))</f>
        <v>0</v>
      </c>
      <c r="OKQ66" s="956">
        <f>MIN(OKQ60*$C$65,Application!$AO$636-SUM('15 Year Pro Forma'!$E$66:OKP$66))</f>
        <v>0</v>
      </c>
      <c r="OKS66" s="956">
        <f>MIN(OKS60*$C$65,Application!$AO$636-SUM('15 Year Pro Forma'!$E$66:OKR$66))</f>
        <v>0</v>
      </c>
      <c r="OKU66" s="956">
        <f>MIN(OKU60*$C$65,Application!$AO$636-SUM('15 Year Pro Forma'!$E$66:OKT$66))</f>
        <v>0</v>
      </c>
      <c r="OKW66" s="956">
        <f>MIN(OKW60*$C$65,Application!$AO$636-SUM('15 Year Pro Forma'!$E$66:OKV$66))</f>
        <v>0</v>
      </c>
      <c r="OKY66" s="956">
        <f>MIN(OKY60*$C$65,Application!$AO$636-SUM('15 Year Pro Forma'!$E$66:OKX$66))</f>
        <v>0</v>
      </c>
      <c r="OLA66" s="956">
        <f>MIN(OLA60*$C$65,Application!$AO$636-SUM('15 Year Pro Forma'!$E$66:OKZ$66))</f>
        <v>0</v>
      </c>
      <c r="OLC66" s="956">
        <f>MIN(OLC60*$C$65,Application!$AO$636-SUM('15 Year Pro Forma'!$E$66:OLB$66))</f>
        <v>0</v>
      </c>
      <c r="OLE66" s="956">
        <f>MIN(OLE60*$C$65,Application!$AO$636-SUM('15 Year Pro Forma'!$E$66:OLD$66))</f>
        <v>0</v>
      </c>
      <c r="OLG66" s="956">
        <f>MIN(OLG60*$C$65,Application!$AO$636-SUM('15 Year Pro Forma'!$E$66:OLF$66))</f>
        <v>0</v>
      </c>
      <c r="OLI66" s="956">
        <f>MIN(OLI60*$C$65,Application!$AO$636-SUM('15 Year Pro Forma'!$E$66:OLH$66))</f>
        <v>0</v>
      </c>
      <c r="OLK66" s="956">
        <f>MIN(OLK60*$C$65,Application!$AO$636-SUM('15 Year Pro Forma'!$E$66:OLJ$66))</f>
        <v>0</v>
      </c>
      <c r="OLM66" s="956">
        <f>MIN(OLM60*$C$65,Application!$AO$636-SUM('15 Year Pro Forma'!$E$66:OLL$66))</f>
        <v>0</v>
      </c>
      <c r="OLO66" s="956">
        <f>MIN(OLO60*$C$65,Application!$AO$636-SUM('15 Year Pro Forma'!$E$66:OLN$66))</f>
        <v>0</v>
      </c>
      <c r="OLQ66" s="956">
        <f>MIN(OLQ60*$C$65,Application!$AO$636-SUM('15 Year Pro Forma'!$E$66:OLP$66))</f>
        <v>0</v>
      </c>
      <c r="OLS66" s="956">
        <f>MIN(OLS60*$C$65,Application!$AO$636-SUM('15 Year Pro Forma'!$E$66:OLR$66))</f>
        <v>0</v>
      </c>
      <c r="OLU66" s="956">
        <f>MIN(OLU60*$C$65,Application!$AO$636-SUM('15 Year Pro Forma'!$E$66:OLT$66))</f>
        <v>0</v>
      </c>
      <c r="OLW66" s="956">
        <f>MIN(OLW60*$C$65,Application!$AO$636-SUM('15 Year Pro Forma'!$E$66:OLV$66))</f>
        <v>0</v>
      </c>
      <c r="OLY66" s="956">
        <f>MIN(OLY60*$C$65,Application!$AO$636-SUM('15 Year Pro Forma'!$E$66:OLX$66))</f>
        <v>0</v>
      </c>
      <c r="OMA66" s="956">
        <f>MIN(OMA60*$C$65,Application!$AO$636-SUM('15 Year Pro Forma'!$E$66:OLZ$66))</f>
        <v>0</v>
      </c>
      <c r="OMC66" s="956">
        <f>MIN(OMC60*$C$65,Application!$AO$636-SUM('15 Year Pro Forma'!$E$66:OMB$66))</f>
        <v>0</v>
      </c>
      <c r="OME66" s="956">
        <f>MIN(OME60*$C$65,Application!$AO$636-SUM('15 Year Pro Forma'!$E$66:OMD$66))</f>
        <v>0</v>
      </c>
      <c r="OMG66" s="956">
        <f>MIN(OMG60*$C$65,Application!$AO$636-SUM('15 Year Pro Forma'!$E$66:OMF$66))</f>
        <v>0</v>
      </c>
      <c r="OMI66" s="956">
        <f>MIN(OMI60*$C$65,Application!$AO$636-SUM('15 Year Pro Forma'!$E$66:OMH$66))</f>
        <v>0</v>
      </c>
      <c r="OMK66" s="956">
        <f>MIN(OMK60*$C$65,Application!$AO$636-SUM('15 Year Pro Forma'!$E$66:OMJ$66))</f>
        <v>0</v>
      </c>
      <c r="OMM66" s="956">
        <f>MIN(OMM60*$C$65,Application!$AO$636-SUM('15 Year Pro Forma'!$E$66:OML$66))</f>
        <v>0</v>
      </c>
      <c r="OMO66" s="956">
        <f>MIN(OMO60*$C$65,Application!$AO$636-SUM('15 Year Pro Forma'!$E$66:OMN$66))</f>
        <v>0</v>
      </c>
      <c r="OMQ66" s="956">
        <f>MIN(OMQ60*$C$65,Application!$AO$636-SUM('15 Year Pro Forma'!$E$66:OMP$66))</f>
        <v>0</v>
      </c>
      <c r="OMS66" s="956">
        <f>MIN(OMS60*$C$65,Application!$AO$636-SUM('15 Year Pro Forma'!$E$66:OMR$66))</f>
        <v>0</v>
      </c>
      <c r="OMU66" s="956">
        <f>MIN(OMU60*$C$65,Application!$AO$636-SUM('15 Year Pro Forma'!$E$66:OMT$66))</f>
        <v>0</v>
      </c>
      <c r="OMW66" s="956">
        <f>MIN(OMW60*$C$65,Application!$AO$636-SUM('15 Year Pro Forma'!$E$66:OMV$66))</f>
        <v>0</v>
      </c>
      <c r="OMY66" s="956">
        <f>MIN(OMY60*$C$65,Application!$AO$636-SUM('15 Year Pro Forma'!$E$66:OMX$66))</f>
        <v>0</v>
      </c>
      <c r="ONA66" s="956">
        <f>MIN(ONA60*$C$65,Application!$AO$636-SUM('15 Year Pro Forma'!$E$66:OMZ$66))</f>
        <v>0</v>
      </c>
      <c r="ONC66" s="956">
        <f>MIN(ONC60*$C$65,Application!$AO$636-SUM('15 Year Pro Forma'!$E$66:ONB$66))</f>
        <v>0</v>
      </c>
      <c r="ONE66" s="956">
        <f>MIN(ONE60*$C$65,Application!$AO$636-SUM('15 Year Pro Forma'!$E$66:OND$66))</f>
        <v>0</v>
      </c>
      <c r="ONG66" s="956">
        <f>MIN(ONG60*$C$65,Application!$AO$636-SUM('15 Year Pro Forma'!$E$66:ONF$66))</f>
        <v>0</v>
      </c>
      <c r="ONI66" s="956">
        <f>MIN(ONI60*$C$65,Application!$AO$636-SUM('15 Year Pro Forma'!$E$66:ONH$66))</f>
        <v>0</v>
      </c>
      <c r="ONK66" s="956">
        <f>MIN(ONK60*$C$65,Application!$AO$636-SUM('15 Year Pro Forma'!$E$66:ONJ$66))</f>
        <v>0</v>
      </c>
      <c r="ONM66" s="956">
        <f>MIN(ONM60*$C$65,Application!$AO$636-SUM('15 Year Pro Forma'!$E$66:ONL$66))</f>
        <v>0</v>
      </c>
      <c r="ONO66" s="956">
        <f>MIN(ONO60*$C$65,Application!$AO$636-SUM('15 Year Pro Forma'!$E$66:ONN$66))</f>
        <v>0</v>
      </c>
      <c r="ONQ66" s="956">
        <f>MIN(ONQ60*$C$65,Application!$AO$636-SUM('15 Year Pro Forma'!$E$66:ONP$66))</f>
        <v>0</v>
      </c>
      <c r="ONS66" s="956">
        <f>MIN(ONS60*$C$65,Application!$AO$636-SUM('15 Year Pro Forma'!$E$66:ONR$66))</f>
        <v>0</v>
      </c>
      <c r="ONU66" s="956">
        <f>MIN(ONU60*$C$65,Application!$AO$636-SUM('15 Year Pro Forma'!$E$66:ONT$66))</f>
        <v>0</v>
      </c>
      <c r="ONW66" s="956">
        <f>MIN(ONW60*$C$65,Application!$AO$636-SUM('15 Year Pro Forma'!$E$66:ONV$66))</f>
        <v>0</v>
      </c>
      <c r="ONY66" s="956">
        <f>MIN(ONY60*$C$65,Application!$AO$636-SUM('15 Year Pro Forma'!$E$66:ONX$66))</f>
        <v>0</v>
      </c>
      <c r="OOA66" s="956">
        <f>MIN(OOA60*$C$65,Application!$AO$636-SUM('15 Year Pro Forma'!$E$66:ONZ$66))</f>
        <v>0</v>
      </c>
      <c r="OOC66" s="956">
        <f>MIN(OOC60*$C$65,Application!$AO$636-SUM('15 Year Pro Forma'!$E$66:OOB$66))</f>
        <v>0</v>
      </c>
      <c r="OOE66" s="956">
        <f>MIN(OOE60*$C$65,Application!$AO$636-SUM('15 Year Pro Forma'!$E$66:OOD$66))</f>
        <v>0</v>
      </c>
      <c r="OOG66" s="956">
        <f>MIN(OOG60*$C$65,Application!$AO$636-SUM('15 Year Pro Forma'!$E$66:OOF$66))</f>
        <v>0</v>
      </c>
      <c r="OOI66" s="956">
        <f>MIN(OOI60*$C$65,Application!$AO$636-SUM('15 Year Pro Forma'!$E$66:OOH$66))</f>
        <v>0</v>
      </c>
      <c r="OOK66" s="956">
        <f>MIN(OOK60*$C$65,Application!$AO$636-SUM('15 Year Pro Forma'!$E$66:OOJ$66))</f>
        <v>0</v>
      </c>
      <c r="OOM66" s="956">
        <f>MIN(OOM60*$C$65,Application!$AO$636-SUM('15 Year Pro Forma'!$E$66:OOL$66))</f>
        <v>0</v>
      </c>
      <c r="OOO66" s="956">
        <f>MIN(OOO60*$C$65,Application!$AO$636-SUM('15 Year Pro Forma'!$E$66:OON$66))</f>
        <v>0</v>
      </c>
      <c r="OOQ66" s="956">
        <f>MIN(OOQ60*$C$65,Application!$AO$636-SUM('15 Year Pro Forma'!$E$66:OOP$66))</f>
        <v>0</v>
      </c>
      <c r="OOS66" s="956">
        <f>MIN(OOS60*$C$65,Application!$AO$636-SUM('15 Year Pro Forma'!$E$66:OOR$66))</f>
        <v>0</v>
      </c>
      <c r="OOU66" s="956">
        <f>MIN(OOU60*$C$65,Application!$AO$636-SUM('15 Year Pro Forma'!$E$66:OOT$66))</f>
        <v>0</v>
      </c>
      <c r="OOW66" s="956">
        <f>MIN(OOW60*$C$65,Application!$AO$636-SUM('15 Year Pro Forma'!$E$66:OOV$66))</f>
        <v>0</v>
      </c>
      <c r="OOY66" s="956">
        <f>MIN(OOY60*$C$65,Application!$AO$636-SUM('15 Year Pro Forma'!$E$66:OOX$66))</f>
        <v>0</v>
      </c>
      <c r="OPA66" s="956">
        <f>MIN(OPA60*$C$65,Application!$AO$636-SUM('15 Year Pro Forma'!$E$66:OOZ$66))</f>
        <v>0</v>
      </c>
      <c r="OPC66" s="956">
        <f>MIN(OPC60*$C$65,Application!$AO$636-SUM('15 Year Pro Forma'!$E$66:OPB$66))</f>
        <v>0</v>
      </c>
      <c r="OPE66" s="956">
        <f>MIN(OPE60*$C$65,Application!$AO$636-SUM('15 Year Pro Forma'!$E$66:OPD$66))</f>
        <v>0</v>
      </c>
      <c r="OPG66" s="956">
        <f>MIN(OPG60*$C$65,Application!$AO$636-SUM('15 Year Pro Forma'!$E$66:OPF$66))</f>
        <v>0</v>
      </c>
      <c r="OPI66" s="956">
        <f>MIN(OPI60*$C$65,Application!$AO$636-SUM('15 Year Pro Forma'!$E$66:OPH$66))</f>
        <v>0</v>
      </c>
      <c r="OPK66" s="956">
        <f>MIN(OPK60*$C$65,Application!$AO$636-SUM('15 Year Pro Forma'!$E$66:OPJ$66))</f>
        <v>0</v>
      </c>
      <c r="OPM66" s="956">
        <f>MIN(OPM60*$C$65,Application!$AO$636-SUM('15 Year Pro Forma'!$E$66:OPL$66))</f>
        <v>0</v>
      </c>
      <c r="OPO66" s="956">
        <f>MIN(OPO60*$C$65,Application!$AO$636-SUM('15 Year Pro Forma'!$E$66:OPN$66))</f>
        <v>0</v>
      </c>
      <c r="OPQ66" s="956">
        <f>MIN(OPQ60*$C$65,Application!$AO$636-SUM('15 Year Pro Forma'!$E$66:OPP$66))</f>
        <v>0</v>
      </c>
      <c r="OPS66" s="956">
        <f>MIN(OPS60*$C$65,Application!$AO$636-SUM('15 Year Pro Forma'!$E$66:OPR$66))</f>
        <v>0</v>
      </c>
      <c r="OPU66" s="956">
        <f>MIN(OPU60*$C$65,Application!$AO$636-SUM('15 Year Pro Forma'!$E$66:OPT$66))</f>
        <v>0</v>
      </c>
      <c r="OPW66" s="956">
        <f>MIN(OPW60*$C$65,Application!$AO$636-SUM('15 Year Pro Forma'!$E$66:OPV$66))</f>
        <v>0</v>
      </c>
      <c r="OPY66" s="956">
        <f>MIN(OPY60*$C$65,Application!$AO$636-SUM('15 Year Pro Forma'!$E$66:OPX$66))</f>
        <v>0</v>
      </c>
      <c r="OQA66" s="956">
        <f>MIN(OQA60*$C$65,Application!$AO$636-SUM('15 Year Pro Forma'!$E$66:OPZ$66))</f>
        <v>0</v>
      </c>
      <c r="OQC66" s="956">
        <f>MIN(OQC60*$C$65,Application!$AO$636-SUM('15 Year Pro Forma'!$E$66:OQB$66))</f>
        <v>0</v>
      </c>
      <c r="OQE66" s="956">
        <f>MIN(OQE60*$C$65,Application!$AO$636-SUM('15 Year Pro Forma'!$E$66:OQD$66))</f>
        <v>0</v>
      </c>
      <c r="OQG66" s="956">
        <f>MIN(OQG60*$C$65,Application!$AO$636-SUM('15 Year Pro Forma'!$E$66:OQF$66))</f>
        <v>0</v>
      </c>
      <c r="OQI66" s="956">
        <f>MIN(OQI60*$C$65,Application!$AO$636-SUM('15 Year Pro Forma'!$E$66:OQH$66))</f>
        <v>0</v>
      </c>
      <c r="OQK66" s="956">
        <f>MIN(OQK60*$C$65,Application!$AO$636-SUM('15 Year Pro Forma'!$E$66:OQJ$66))</f>
        <v>0</v>
      </c>
      <c r="OQM66" s="956">
        <f>MIN(OQM60*$C$65,Application!$AO$636-SUM('15 Year Pro Forma'!$E$66:OQL$66))</f>
        <v>0</v>
      </c>
      <c r="OQO66" s="956">
        <f>MIN(OQO60*$C$65,Application!$AO$636-SUM('15 Year Pro Forma'!$E$66:OQN$66))</f>
        <v>0</v>
      </c>
      <c r="OQQ66" s="956">
        <f>MIN(OQQ60*$C$65,Application!$AO$636-SUM('15 Year Pro Forma'!$E$66:OQP$66))</f>
        <v>0</v>
      </c>
      <c r="OQS66" s="956">
        <f>MIN(OQS60*$C$65,Application!$AO$636-SUM('15 Year Pro Forma'!$E$66:OQR$66))</f>
        <v>0</v>
      </c>
      <c r="OQU66" s="956">
        <f>MIN(OQU60*$C$65,Application!$AO$636-SUM('15 Year Pro Forma'!$E$66:OQT$66))</f>
        <v>0</v>
      </c>
      <c r="OQW66" s="956">
        <f>MIN(OQW60*$C$65,Application!$AO$636-SUM('15 Year Pro Forma'!$E$66:OQV$66))</f>
        <v>0</v>
      </c>
      <c r="OQY66" s="956">
        <f>MIN(OQY60*$C$65,Application!$AO$636-SUM('15 Year Pro Forma'!$E$66:OQX$66))</f>
        <v>0</v>
      </c>
      <c r="ORA66" s="956">
        <f>MIN(ORA60*$C$65,Application!$AO$636-SUM('15 Year Pro Forma'!$E$66:OQZ$66))</f>
        <v>0</v>
      </c>
      <c r="ORC66" s="956">
        <f>MIN(ORC60*$C$65,Application!$AO$636-SUM('15 Year Pro Forma'!$E$66:ORB$66))</f>
        <v>0</v>
      </c>
      <c r="ORE66" s="956">
        <f>MIN(ORE60*$C$65,Application!$AO$636-SUM('15 Year Pro Forma'!$E$66:ORD$66))</f>
        <v>0</v>
      </c>
      <c r="ORG66" s="956">
        <f>MIN(ORG60*$C$65,Application!$AO$636-SUM('15 Year Pro Forma'!$E$66:ORF$66))</f>
        <v>0</v>
      </c>
      <c r="ORI66" s="956">
        <f>MIN(ORI60*$C$65,Application!$AO$636-SUM('15 Year Pro Forma'!$E$66:ORH$66))</f>
        <v>0</v>
      </c>
      <c r="ORK66" s="956">
        <f>MIN(ORK60*$C$65,Application!$AO$636-SUM('15 Year Pro Forma'!$E$66:ORJ$66))</f>
        <v>0</v>
      </c>
      <c r="ORM66" s="956">
        <f>MIN(ORM60*$C$65,Application!$AO$636-SUM('15 Year Pro Forma'!$E$66:ORL$66))</f>
        <v>0</v>
      </c>
      <c r="ORO66" s="956">
        <f>MIN(ORO60*$C$65,Application!$AO$636-SUM('15 Year Pro Forma'!$E$66:ORN$66))</f>
        <v>0</v>
      </c>
      <c r="ORQ66" s="956">
        <f>MIN(ORQ60*$C$65,Application!$AO$636-SUM('15 Year Pro Forma'!$E$66:ORP$66))</f>
        <v>0</v>
      </c>
      <c r="ORS66" s="956">
        <f>MIN(ORS60*$C$65,Application!$AO$636-SUM('15 Year Pro Forma'!$E$66:ORR$66))</f>
        <v>0</v>
      </c>
      <c r="ORU66" s="956">
        <f>MIN(ORU60*$C$65,Application!$AO$636-SUM('15 Year Pro Forma'!$E$66:ORT$66))</f>
        <v>0</v>
      </c>
      <c r="ORW66" s="956">
        <f>MIN(ORW60*$C$65,Application!$AO$636-SUM('15 Year Pro Forma'!$E$66:ORV$66))</f>
        <v>0</v>
      </c>
      <c r="ORY66" s="956">
        <f>MIN(ORY60*$C$65,Application!$AO$636-SUM('15 Year Pro Forma'!$E$66:ORX$66))</f>
        <v>0</v>
      </c>
      <c r="OSA66" s="956">
        <f>MIN(OSA60*$C$65,Application!$AO$636-SUM('15 Year Pro Forma'!$E$66:ORZ$66))</f>
        <v>0</v>
      </c>
      <c r="OSC66" s="956">
        <f>MIN(OSC60*$C$65,Application!$AO$636-SUM('15 Year Pro Forma'!$E$66:OSB$66))</f>
        <v>0</v>
      </c>
      <c r="OSE66" s="956">
        <f>MIN(OSE60*$C$65,Application!$AO$636-SUM('15 Year Pro Forma'!$E$66:OSD$66))</f>
        <v>0</v>
      </c>
      <c r="OSG66" s="956">
        <f>MIN(OSG60*$C$65,Application!$AO$636-SUM('15 Year Pro Forma'!$E$66:OSF$66))</f>
        <v>0</v>
      </c>
      <c r="OSI66" s="956">
        <f>MIN(OSI60*$C$65,Application!$AO$636-SUM('15 Year Pro Forma'!$E$66:OSH$66))</f>
        <v>0</v>
      </c>
      <c r="OSK66" s="956">
        <f>MIN(OSK60*$C$65,Application!$AO$636-SUM('15 Year Pro Forma'!$E$66:OSJ$66))</f>
        <v>0</v>
      </c>
      <c r="OSM66" s="956">
        <f>MIN(OSM60*$C$65,Application!$AO$636-SUM('15 Year Pro Forma'!$E$66:OSL$66))</f>
        <v>0</v>
      </c>
      <c r="OSO66" s="956">
        <f>MIN(OSO60*$C$65,Application!$AO$636-SUM('15 Year Pro Forma'!$E$66:OSN$66))</f>
        <v>0</v>
      </c>
      <c r="OSQ66" s="956">
        <f>MIN(OSQ60*$C$65,Application!$AO$636-SUM('15 Year Pro Forma'!$E$66:OSP$66))</f>
        <v>0</v>
      </c>
      <c r="OSS66" s="956">
        <f>MIN(OSS60*$C$65,Application!$AO$636-SUM('15 Year Pro Forma'!$E$66:OSR$66))</f>
        <v>0</v>
      </c>
      <c r="OSU66" s="956">
        <f>MIN(OSU60*$C$65,Application!$AO$636-SUM('15 Year Pro Forma'!$E$66:OST$66))</f>
        <v>0</v>
      </c>
      <c r="OSW66" s="956">
        <f>MIN(OSW60*$C$65,Application!$AO$636-SUM('15 Year Pro Forma'!$E$66:OSV$66))</f>
        <v>0</v>
      </c>
      <c r="OSY66" s="956">
        <f>MIN(OSY60*$C$65,Application!$AO$636-SUM('15 Year Pro Forma'!$E$66:OSX$66))</f>
        <v>0</v>
      </c>
      <c r="OTA66" s="956">
        <f>MIN(OTA60*$C$65,Application!$AO$636-SUM('15 Year Pro Forma'!$E$66:OSZ$66))</f>
        <v>0</v>
      </c>
      <c r="OTC66" s="956">
        <f>MIN(OTC60*$C$65,Application!$AO$636-SUM('15 Year Pro Forma'!$E$66:OTB$66))</f>
        <v>0</v>
      </c>
      <c r="OTE66" s="956">
        <f>MIN(OTE60*$C$65,Application!$AO$636-SUM('15 Year Pro Forma'!$E$66:OTD$66))</f>
        <v>0</v>
      </c>
      <c r="OTG66" s="956">
        <f>MIN(OTG60*$C$65,Application!$AO$636-SUM('15 Year Pro Forma'!$E$66:OTF$66))</f>
        <v>0</v>
      </c>
      <c r="OTI66" s="956">
        <f>MIN(OTI60*$C$65,Application!$AO$636-SUM('15 Year Pro Forma'!$E$66:OTH$66))</f>
        <v>0</v>
      </c>
      <c r="OTK66" s="956">
        <f>MIN(OTK60*$C$65,Application!$AO$636-SUM('15 Year Pro Forma'!$E$66:OTJ$66))</f>
        <v>0</v>
      </c>
      <c r="OTM66" s="956">
        <f>MIN(OTM60*$C$65,Application!$AO$636-SUM('15 Year Pro Forma'!$E$66:OTL$66))</f>
        <v>0</v>
      </c>
      <c r="OTO66" s="956">
        <f>MIN(OTO60*$C$65,Application!$AO$636-SUM('15 Year Pro Forma'!$E$66:OTN$66))</f>
        <v>0</v>
      </c>
      <c r="OTQ66" s="956">
        <f>MIN(OTQ60*$C$65,Application!$AO$636-SUM('15 Year Pro Forma'!$E$66:OTP$66))</f>
        <v>0</v>
      </c>
      <c r="OTS66" s="956">
        <f>MIN(OTS60*$C$65,Application!$AO$636-SUM('15 Year Pro Forma'!$E$66:OTR$66))</f>
        <v>0</v>
      </c>
      <c r="OTU66" s="956">
        <f>MIN(OTU60*$C$65,Application!$AO$636-SUM('15 Year Pro Forma'!$E$66:OTT$66))</f>
        <v>0</v>
      </c>
      <c r="OTW66" s="956">
        <f>MIN(OTW60*$C$65,Application!$AO$636-SUM('15 Year Pro Forma'!$E$66:OTV$66))</f>
        <v>0</v>
      </c>
      <c r="OTY66" s="956">
        <f>MIN(OTY60*$C$65,Application!$AO$636-SUM('15 Year Pro Forma'!$E$66:OTX$66))</f>
        <v>0</v>
      </c>
      <c r="OUA66" s="956">
        <f>MIN(OUA60*$C$65,Application!$AO$636-SUM('15 Year Pro Forma'!$E$66:OTZ$66))</f>
        <v>0</v>
      </c>
      <c r="OUC66" s="956">
        <f>MIN(OUC60*$C$65,Application!$AO$636-SUM('15 Year Pro Forma'!$E$66:OUB$66))</f>
        <v>0</v>
      </c>
      <c r="OUE66" s="956">
        <f>MIN(OUE60*$C$65,Application!$AO$636-SUM('15 Year Pro Forma'!$E$66:OUD$66))</f>
        <v>0</v>
      </c>
      <c r="OUG66" s="956">
        <f>MIN(OUG60*$C$65,Application!$AO$636-SUM('15 Year Pro Forma'!$E$66:OUF$66))</f>
        <v>0</v>
      </c>
      <c r="OUI66" s="956">
        <f>MIN(OUI60*$C$65,Application!$AO$636-SUM('15 Year Pro Forma'!$E$66:OUH$66))</f>
        <v>0</v>
      </c>
      <c r="OUK66" s="956">
        <f>MIN(OUK60*$C$65,Application!$AO$636-SUM('15 Year Pro Forma'!$E$66:OUJ$66))</f>
        <v>0</v>
      </c>
      <c r="OUM66" s="956">
        <f>MIN(OUM60*$C$65,Application!$AO$636-SUM('15 Year Pro Forma'!$E$66:OUL$66))</f>
        <v>0</v>
      </c>
      <c r="OUO66" s="956">
        <f>MIN(OUO60*$C$65,Application!$AO$636-SUM('15 Year Pro Forma'!$E$66:OUN$66))</f>
        <v>0</v>
      </c>
      <c r="OUQ66" s="956">
        <f>MIN(OUQ60*$C$65,Application!$AO$636-SUM('15 Year Pro Forma'!$E$66:OUP$66))</f>
        <v>0</v>
      </c>
      <c r="OUS66" s="956">
        <f>MIN(OUS60*$C$65,Application!$AO$636-SUM('15 Year Pro Forma'!$E$66:OUR$66))</f>
        <v>0</v>
      </c>
      <c r="OUU66" s="956">
        <f>MIN(OUU60*$C$65,Application!$AO$636-SUM('15 Year Pro Forma'!$E$66:OUT$66))</f>
        <v>0</v>
      </c>
      <c r="OUW66" s="956">
        <f>MIN(OUW60*$C$65,Application!$AO$636-SUM('15 Year Pro Forma'!$E$66:OUV$66))</f>
        <v>0</v>
      </c>
      <c r="OUY66" s="956">
        <f>MIN(OUY60*$C$65,Application!$AO$636-SUM('15 Year Pro Forma'!$E$66:OUX$66))</f>
        <v>0</v>
      </c>
      <c r="OVA66" s="956">
        <f>MIN(OVA60*$C$65,Application!$AO$636-SUM('15 Year Pro Forma'!$E$66:OUZ$66))</f>
        <v>0</v>
      </c>
      <c r="OVC66" s="956">
        <f>MIN(OVC60*$C$65,Application!$AO$636-SUM('15 Year Pro Forma'!$E$66:OVB$66))</f>
        <v>0</v>
      </c>
      <c r="OVE66" s="956">
        <f>MIN(OVE60*$C$65,Application!$AO$636-SUM('15 Year Pro Forma'!$E$66:OVD$66))</f>
        <v>0</v>
      </c>
      <c r="OVG66" s="956">
        <f>MIN(OVG60*$C$65,Application!$AO$636-SUM('15 Year Pro Forma'!$E$66:OVF$66))</f>
        <v>0</v>
      </c>
      <c r="OVI66" s="956">
        <f>MIN(OVI60*$C$65,Application!$AO$636-SUM('15 Year Pro Forma'!$E$66:OVH$66))</f>
        <v>0</v>
      </c>
      <c r="OVK66" s="956">
        <f>MIN(OVK60*$C$65,Application!$AO$636-SUM('15 Year Pro Forma'!$E$66:OVJ$66))</f>
        <v>0</v>
      </c>
      <c r="OVM66" s="956">
        <f>MIN(OVM60*$C$65,Application!$AO$636-SUM('15 Year Pro Forma'!$E$66:OVL$66))</f>
        <v>0</v>
      </c>
      <c r="OVO66" s="956">
        <f>MIN(OVO60*$C$65,Application!$AO$636-SUM('15 Year Pro Forma'!$E$66:OVN$66))</f>
        <v>0</v>
      </c>
      <c r="OVQ66" s="956">
        <f>MIN(OVQ60*$C$65,Application!$AO$636-SUM('15 Year Pro Forma'!$E$66:OVP$66))</f>
        <v>0</v>
      </c>
      <c r="OVS66" s="956">
        <f>MIN(OVS60*$C$65,Application!$AO$636-SUM('15 Year Pro Forma'!$E$66:OVR$66))</f>
        <v>0</v>
      </c>
      <c r="OVU66" s="956">
        <f>MIN(OVU60*$C$65,Application!$AO$636-SUM('15 Year Pro Forma'!$E$66:OVT$66))</f>
        <v>0</v>
      </c>
      <c r="OVW66" s="956">
        <f>MIN(OVW60*$C$65,Application!$AO$636-SUM('15 Year Pro Forma'!$E$66:OVV$66))</f>
        <v>0</v>
      </c>
      <c r="OVY66" s="956">
        <f>MIN(OVY60*$C$65,Application!$AO$636-SUM('15 Year Pro Forma'!$E$66:OVX$66))</f>
        <v>0</v>
      </c>
      <c r="OWA66" s="956">
        <f>MIN(OWA60*$C$65,Application!$AO$636-SUM('15 Year Pro Forma'!$E$66:OVZ$66))</f>
        <v>0</v>
      </c>
      <c r="OWC66" s="956">
        <f>MIN(OWC60*$C$65,Application!$AO$636-SUM('15 Year Pro Forma'!$E$66:OWB$66))</f>
        <v>0</v>
      </c>
      <c r="OWE66" s="956">
        <f>MIN(OWE60*$C$65,Application!$AO$636-SUM('15 Year Pro Forma'!$E$66:OWD$66))</f>
        <v>0</v>
      </c>
      <c r="OWG66" s="956">
        <f>MIN(OWG60*$C$65,Application!$AO$636-SUM('15 Year Pro Forma'!$E$66:OWF$66))</f>
        <v>0</v>
      </c>
      <c r="OWI66" s="956">
        <f>MIN(OWI60*$C$65,Application!$AO$636-SUM('15 Year Pro Forma'!$E$66:OWH$66))</f>
        <v>0</v>
      </c>
      <c r="OWK66" s="956">
        <f>MIN(OWK60*$C$65,Application!$AO$636-SUM('15 Year Pro Forma'!$E$66:OWJ$66))</f>
        <v>0</v>
      </c>
      <c r="OWM66" s="956">
        <f>MIN(OWM60*$C$65,Application!$AO$636-SUM('15 Year Pro Forma'!$E$66:OWL$66))</f>
        <v>0</v>
      </c>
      <c r="OWO66" s="956">
        <f>MIN(OWO60*$C$65,Application!$AO$636-SUM('15 Year Pro Forma'!$E$66:OWN$66))</f>
        <v>0</v>
      </c>
      <c r="OWQ66" s="956">
        <f>MIN(OWQ60*$C$65,Application!$AO$636-SUM('15 Year Pro Forma'!$E$66:OWP$66))</f>
        <v>0</v>
      </c>
      <c r="OWS66" s="956">
        <f>MIN(OWS60*$C$65,Application!$AO$636-SUM('15 Year Pro Forma'!$E$66:OWR$66))</f>
        <v>0</v>
      </c>
      <c r="OWU66" s="956">
        <f>MIN(OWU60*$C$65,Application!$AO$636-SUM('15 Year Pro Forma'!$E$66:OWT$66))</f>
        <v>0</v>
      </c>
      <c r="OWW66" s="956">
        <f>MIN(OWW60*$C$65,Application!$AO$636-SUM('15 Year Pro Forma'!$E$66:OWV$66))</f>
        <v>0</v>
      </c>
      <c r="OWY66" s="956">
        <f>MIN(OWY60*$C$65,Application!$AO$636-SUM('15 Year Pro Forma'!$E$66:OWX$66))</f>
        <v>0</v>
      </c>
      <c r="OXA66" s="956">
        <f>MIN(OXA60*$C$65,Application!$AO$636-SUM('15 Year Pro Forma'!$E$66:OWZ$66))</f>
        <v>0</v>
      </c>
      <c r="OXC66" s="956">
        <f>MIN(OXC60*$C$65,Application!$AO$636-SUM('15 Year Pro Forma'!$E$66:OXB$66))</f>
        <v>0</v>
      </c>
      <c r="OXE66" s="956">
        <f>MIN(OXE60*$C$65,Application!$AO$636-SUM('15 Year Pro Forma'!$E$66:OXD$66))</f>
        <v>0</v>
      </c>
      <c r="OXG66" s="956">
        <f>MIN(OXG60*$C$65,Application!$AO$636-SUM('15 Year Pro Forma'!$E$66:OXF$66))</f>
        <v>0</v>
      </c>
      <c r="OXI66" s="956">
        <f>MIN(OXI60*$C$65,Application!$AO$636-SUM('15 Year Pro Forma'!$E$66:OXH$66))</f>
        <v>0</v>
      </c>
      <c r="OXK66" s="956">
        <f>MIN(OXK60*$C$65,Application!$AO$636-SUM('15 Year Pro Forma'!$E$66:OXJ$66))</f>
        <v>0</v>
      </c>
      <c r="OXM66" s="956">
        <f>MIN(OXM60*$C$65,Application!$AO$636-SUM('15 Year Pro Forma'!$E$66:OXL$66))</f>
        <v>0</v>
      </c>
      <c r="OXO66" s="956">
        <f>MIN(OXO60*$C$65,Application!$AO$636-SUM('15 Year Pro Forma'!$E$66:OXN$66))</f>
        <v>0</v>
      </c>
      <c r="OXQ66" s="956">
        <f>MIN(OXQ60*$C$65,Application!$AO$636-SUM('15 Year Pro Forma'!$E$66:OXP$66))</f>
        <v>0</v>
      </c>
      <c r="OXS66" s="956">
        <f>MIN(OXS60*$C$65,Application!$AO$636-SUM('15 Year Pro Forma'!$E$66:OXR$66))</f>
        <v>0</v>
      </c>
      <c r="OXU66" s="956">
        <f>MIN(OXU60*$C$65,Application!$AO$636-SUM('15 Year Pro Forma'!$E$66:OXT$66))</f>
        <v>0</v>
      </c>
      <c r="OXW66" s="956">
        <f>MIN(OXW60*$C$65,Application!$AO$636-SUM('15 Year Pro Forma'!$E$66:OXV$66))</f>
        <v>0</v>
      </c>
      <c r="OXY66" s="956">
        <f>MIN(OXY60*$C$65,Application!$AO$636-SUM('15 Year Pro Forma'!$E$66:OXX$66))</f>
        <v>0</v>
      </c>
      <c r="OYA66" s="956">
        <f>MIN(OYA60*$C$65,Application!$AO$636-SUM('15 Year Pro Forma'!$E$66:OXZ$66))</f>
        <v>0</v>
      </c>
      <c r="OYC66" s="956">
        <f>MIN(OYC60*$C$65,Application!$AO$636-SUM('15 Year Pro Forma'!$E$66:OYB$66))</f>
        <v>0</v>
      </c>
      <c r="OYE66" s="956">
        <f>MIN(OYE60*$C$65,Application!$AO$636-SUM('15 Year Pro Forma'!$E$66:OYD$66))</f>
        <v>0</v>
      </c>
      <c r="OYG66" s="956">
        <f>MIN(OYG60*$C$65,Application!$AO$636-SUM('15 Year Pro Forma'!$E$66:OYF$66))</f>
        <v>0</v>
      </c>
      <c r="OYI66" s="956">
        <f>MIN(OYI60*$C$65,Application!$AO$636-SUM('15 Year Pro Forma'!$E$66:OYH$66))</f>
        <v>0</v>
      </c>
      <c r="OYK66" s="956">
        <f>MIN(OYK60*$C$65,Application!$AO$636-SUM('15 Year Pro Forma'!$E$66:OYJ$66))</f>
        <v>0</v>
      </c>
      <c r="OYM66" s="956">
        <f>MIN(OYM60*$C$65,Application!$AO$636-SUM('15 Year Pro Forma'!$E$66:OYL$66))</f>
        <v>0</v>
      </c>
      <c r="OYO66" s="956">
        <f>MIN(OYO60*$C$65,Application!$AO$636-SUM('15 Year Pro Forma'!$E$66:OYN$66))</f>
        <v>0</v>
      </c>
      <c r="OYQ66" s="956">
        <f>MIN(OYQ60*$C$65,Application!$AO$636-SUM('15 Year Pro Forma'!$E$66:OYP$66))</f>
        <v>0</v>
      </c>
      <c r="OYS66" s="956">
        <f>MIN(OYS60*$C$65,Application!$AO$636-SUM('15 Year Pro Forma'!$E$66:OYR$66))</f>
        <v>0</v>
      </c>
      <c r="OYU66" s="956">
        <f>MIN(OYU60*$C$65,Application!$AO$636-SUM('15 Year Pro Forma'!$E$66:OYT$66))</f>
        <v>0</v>
      </c>
      <c r="OYW66" s="956">
        <f>MIN(OYW60*$C$65,Application!$AO$636-SUM('15 Year Pro Forma'!$E$66:OYV$66))</f>
        <v>0</v>
      </c>
      <c r="OYY66" s="956">
        <f>MIN(OYY60*$C$65,Application!$AO$636-SUM('15 Year Pro Forma'!$E$66:OYX$66))</f>
        <v>0</v>
      </c>
      <c r="OZA66" s="956">
        <f>MIN(OZA60*$C$65,Application!$AO$636-SUM('15 Year Pro Forma'!$E$66:OYZ$66))</f>
        <v>0</v>
      </c>
      <c r="OZC66" s="956">
        <f>MIN(OZC60*$C$65,Application!$AO$636-SUM('15 Year Pro Forma'!$E$66:OZB$66))</f>
        <v>0</v>
      </c>
      <c r="OZE66" s="956">
        <f>MIN(OZE60*$C$65,Application!$AO$636-SUM('15 Year Pro Forma'!$E$66:OZD$66))</f>
        <v>0</v>
      </c>
      <c r="OZG66" s="956">
        <f>MIN(OZG60*$C$65,Application!$AO$636-SUM('15 Year Pro Forma'!$E$66:OZF$66))</f>
        <v>0</v>
      </c>
      <c r="OZI66" s="956">
        <f>MIN(OZI60*$C$65,Application!$AO$636-SUM('15 Year Pro Forma'!$E$66:OZH$66))</f>
        <v>0</v>
      </c>
      <c r="OZK66" s="956">
        <f>MIN(OZK60*$C$65,Application!$AO$636-SUM('15 Year Pro Forma'!$E$66:OZJ$66))</f>
        <v>0</v>
      </c>
      <c r="OZM66" s="956">
        <f>MIN(OZM60*$C$65,Application!$AO$636-SUM('15 Year Pro Forma'!$E$66:OZL$66))</f>
        <v>0</v>
      </c>
      <c r="OZO66" s="956">
        <f>MIN(OZO60*$C$65,Application!$AO$636-SUM('15 Year Pro Forma'!$E$66:OZN$66))</f>
        <v>0</v>
      </c>
      <c r="OZQ66" s="956">
        <f>MIN(OZQ60*$C$65,Application!$AO$636-SUM('15 Year Pro Forma'!$E$66:OZP$66))</f>
        <v>0</v>
      </c>
      <c r="OZS66" s="956">
        <f>MIN(OZS60*$C$65,Application!$AO$636-SUM('15 Year Pro Forma'!$E$66:OZR$66))</f>
        <v>0</v>
      </c>
      <c r="OZU66" s="956">
        <f>MIN(OZU60*$C$65,Application!$AO$636-SUM('15 Year Pro Forma'!$E$66:OZT$66))</f>
        <v>0</v>
      </c>
      <c r="OZW66" s="956">
        <f>MIN(OZW60*$C$65,Application!$AO$636-SUM('15 Year Pro Forma'!$E$66:OZV$66))</f>
        <v>0</v>
      </c>
      <c r="OZY66" s="956">
        <f>MIN(OZY60*$C$65,Application!$AO$636-SUM('15 Year Pro Forma'!$E$66:OZX$66))</f>
        <v>0</v>
      </c>
      <c r="PAA66" s="956">
        <f>MIN(PAA60*$C$65,Application!$AO$636-SUM('15 Year Pro Forma'!$E$66:OZZ$66))</f>
        <v>0</v>
      </c>
      <c r="PAC66" s="956">
        <f>MIN(PAC60*$C$65,Application!$AO$636-SUM('15 Year Pro Forma'!$E$66:PAB$66))</f>
        <v>0</v>
      </c>
      <c r="PAE66" s="956">
        <f>MIN(PAE60*$C$65,Application!$AO$636-SUM('15 Year Pro Forma'!$E$66:PAD$66))</f>
        <v>0</v>
      </c>
      <c r="PAG66" s="956">
        <f>MIN(PAG60*$C$65,Application!$AO$636-SUM('15 Year Pro Forma'!$E$66:PAF$66))</f>
        <v>0</v>
      </c>
      <c r="PAI66" s="956">
        <f>MIN(PAI60*$C$65,Application!$AO$636-SUM('15 Year Pro Forma'!$E$66:PAH$66))</f>
        <v>0</v>
      </c>
      <c r="PAK66" s="956">
        <f>MIN(PAK60*$C$65,Application!$AO$636-SUM('15 Year Pro Forma'!$E$66:PAJ$66))</f>
        <v>0</v>
      </c>
      <c r="PAM66" s="956">
        <f>MIN(PAM60*$C$65,Application!$AO$636-SUM('15 Year Pro Forma'!$E$66:PAL$66))</f>
        <v>0</v>
      </c>
      <c r="PAO66" s="956">
        <f>MIN(PAO60*$C$65,Application!$AO$636-SUM('15 Year Pro Forma'!$E$66:PAN$66))</f>
        <v>0</v>
      </c>
      <c r="PAQ66" s="956">
        <f>MIN(PAQ60*$C$65,Application!$AO$636-SUM('15 Year Pro Forma'!$E$66:PAP$66))</f>
        <v>0</v>
      </c>
      <c r="PAS66" s="956">
        <f>MIN(PAS60*$C$65,Application!$AO$636-SUM('15 Year Pro Forma'!$E$66:PAR$66))</f>
        <v>0</v>
      </c>
      <c r="PAU66" s="956">
        <f>MIN(PAU60*$C$65,Application!$AO$636-SUM('15 Year Pro Forma'!$E$66:PAT$66))</f>
        <v>0</v>
      </c>
      <c r="PAW66" s="956">
        <f>MIN(PAW60*$C$65,Application!$AO$636-SUM('15 Year Pro Forma'!$E$66:PAV$66))</f>
        <v>0</v>
      </c>
      <c r="PAY66" s="956">
        <f>MIN(PAY60*$C$65,Application!$AO$636-SUM('15 Year Pro Forma'!$E$66:PAX$66))</f>
        <v>0</v>
      </c>
      <c r="PBA66" s="956">
        <f>MIN(PBA60*$C$65,Application!$AO$636-SUM('15 Year Pro Forma'!$E$66:PAZ$66))</f>
        <v>0</v>
      </c>
      <c r="PBC66" s="956">
        <f>MIN(PBC60*$C$65,Application!$AO$636-SUM('15 Year Pro Forma'!$E$66:PBB$66))</f>
        <v>0</v>
      </c>
      <c r="PBE66" s="956">
        <f>MIN(PBE60*$C$65,Application!$AO$636-SUM('15 Year Pro Forma'!$E$66:PBD$66))</f>
        <v>0</v>
      </c>
      <c r="PBG66" s="956">
        <f>MIN(PBG60*$C$65,Application!$AO$636-SUM('15 Year Pro Forma'!$E$66:PBF$66))</f>
        <v>0</v>
      </c>
      <c r="PBI66" s="956">
        <f>MIN(PBI60*$C$65,Application!$AO$636-SUM('15 Year Pro Forma'!$E$66:PBH$66))</f>
        <v>0</v>
      </c>
      <c r="PBK66" s="956">
        <f>MIN(PBK60*$C$65,Application!$AO$636-SUM('15 Year Pro Forma'!$E$66:PBJ$66))</f>
        <v>0</v>
      </c>
      <c r="PBM66" s="956">
        <f>MIN(PBM60*$C$65,Application!$AO$636-SUM('15 Year Pro Forma'!$E$66:PBL$66))</f>
        <v>0</v>
      </c>
      <c r="PBO66" s="956">
        <f>MIN(PBO60*$C$65,Application!$AO$636-SUM('15 Year Pro Forma'!$E$66:PBN$66))</f>
        <v>0</v>
      </c>
      <c r="PBQ66" s="956">
        <f>MIN(PBQ60*$C$65,Application!$AO$636-SUM('15 Year Pro Forma'!$E$66:PBP$66))</f>
        <v>0</v>
      </c>
      <c r="PBS66" s="956">
        <f>MIN(PBS60*$C$65,Application!$AO$636-SUM('15 Year Pro Forma'!$E$66:PBR$66))</f>
        <v>0</v>
      </c>
      <c r="PBU66" s="956">
        <f>MIN(PBU60*$C$65,Application!$AO$636-SUM('15 Year Pro Forma'!$E$66:PBT$66))</f>
        <v>0</v>
      </c>
      <c r="PBW66" s="956">
        <f>MIN(PBW60*$C$65,Application!$AO$636-SUM('15 Year Pro Forma'!$E$66:PBV$66))</f>
        <v>0</v>
      </c>
      <c r="PBY66" s="956">
        <f>MIN(PBY60*$C$65,Application!$AO$636-SUM('15 Year Pro Forma'!$E$66:PBX$66))</f>
        <v>0</v>
      </c>
      <c r="PCA66" s="956">
        <f>MIN(PCA60*$C$65,Application!$AO$636-SUM('15 Year Pro Forma'!$E$66:PBZ$66))</f>
        <v>0</v>
      </c>
      <c r="PCC66" s="956">
        <f>MIN(PCC60*$C$65,Application!$AO$636-SUM('15 Year Pro Forma'!$E$66:PCB$66))</f>
        <v>0</v>
      </c>
      <c r="PCE66" s="956">
        <f>MIN(PCE60*$C$65,Application!$AO$636-SUM('15 Year Pro Forma'!$E$66:PCD$66))</f>
        <v>0</v>
      </c>
      <c r="PCG66" s="956">
        <f>MIN(PCG60*$C$65,Application!$AO$636-SUM('15 Year Pro Forma'!$E$66:PCF$66))</f>
        <v>0</v>
      </c>
      <c r="PCI66" s="956">
        <f>MIN(PCI60*$C$65,Application!$AO$636-SUM('15 Year Pro Forma'!$E$66:PCH$66))</f>
        <v>0</v>
      </c>
      <c r="PCK66" s="956">
        <f>MIN(PCK60*$C$65,Application!$AO$636-SUM('15 Year Pro Forma'!$E$66:PCJ$66))</f>
        <v>0</v>
      </c>
      <c r="PCM66" s="956">
        <f>MIN(PCM60*$C$65,Application!$AO$636-SUM('15 Year Pro Forma'!$E$66:PCL$66))</f>
        <v>0</v>
      </c>
      <c r="PCO66" s="956">
        <f>MIN(PCO60*$C$65,Application!$AO$636-SUM('15 Year Pro Forma'!$E$66:PCN$66))</f>
        <v>0</v>
      </c>
      <c r="PCQ66" s="956">
        <f>MIN(PCQ60*$C$65,Application!$AO$636-SUM('15 Year Pro Forma'!$E$66:PCP$66))</f>
        <v>0</v>
      </c>
      <c r="PCS66" s="956">
        <f>MIN(PCS60*$C$65,Application!$AO$636-SUM('15 Year Pro Forma'!$E$66:PCR$66))</f>
        <v>0</v>
      </c>
      <c r="PCU66" s="956">
        <f>MIN(PCU60*$C$65,Application!$AO$636-SUM('15 Year Pro Forma'!$E$66:PCT$66))</f>
        <v>0</v>
      </c>
      <c r="PCW66" s="956">
        <f>MIN(PCW60*$C$65,Application!$AO$636-SUM('15 Year Pro Forma'!$E$66:PCV$66))</f>
        <v>0</v>
      </c>
      <c r="PCY66" s="956">
        <f>MIN(PCY60*$C$65,Application!$AO$636-SUM('15 Year Pro Forma'!$E$66:PCX$66))</f>
        <v>0</v>
      </c>
      <c r="PDA66" s="956">
        <f>MIN(PDA60*$C$65,Application!$AO$636-SUM('15 Year Pro Forma'!$E$66:PCZ$66))</f>
        <v>0</v>
      </c>
      <c r="PDC66" s="956">
        <f>MIN(PDC60*$C$65,Application!$AO$636-SUM('15 Year Pro Forma'!$E$66:PDB$66))</f>
        <v>0</v>
      </c>
      <c r="PDE66" s="956">
        <f>MIN(PDE60*$C$65,Application!$AO$636-SUM('15 Year Pro Forma'!$E$66:PDD$66))</f>
        <v>0</v>
      </c>
      <c r="PDG66" s="956">
        <f>MIN(PDG60*$C$65,Application!$AO$636-SUM('15 Year Pro Forma'!$E$66:PDF$66))</f>
        <v>0</v>
      </c>
      <c r="PDI66" s="956">
        <f>MIN(PDI60*$C$65,Application!$AO$636-SUM('15 Year Pro Forma'!$E$66:PDH$66))</f>
        <v>0</v>
      </c>
      <c r="PDK66" s="956">
        <f>MIN(PDK60*$C$65,Application!$AO$636-SUM('15 Year Pro Forma'!$E$66:PDJ$66))</f>
        <v>0</v>
      </c>
      <c r="PDM66" s="956">
        <f>MIN(PDM60*$C$65,Application!$AO$636-SUM('15 Year Pro Forma'!$E$66:PDL$66))</f>
        <v>0</v>
      </c>
      <c r="PDO66" s="956">
        <f>MIN(PDO60*$C$65,Application!$AO$636-SUM('15 Year Pro Forma'!$E$66:PDN$66))</f>
        <v>0</v>
      </c>
      <c r="PDQ66" s="956">
        <f>MIN(PDQ60*$C$65,Application!$AO$636-SUM('15 Year Pro Forma'!$E$66:PDP$66))</f>
        <v>0</v>
      </c>
      <c r="PDS66" s="956">
        <f>MIN(PDS60*$C$65,Application!$AO$636-SUM('15 Year Pro Forma'!$E$66:PDR$66))</f>
        <v>0</v>
      </c>
      <c r="PDU66" s="956">
        <f>MIN(PDU60*$C$65,Application!$AO$636-SUM('15 Year Pro Forma'!$E$66:PDT$66))</f>
        <v>0</v>
      </c>
      <c r="PDW66" s="956">
        <f>MIN(PDW60*$C$65,Application!$AO$636-SUM('15 Year Pro Forma'!$E$66:PDV$66))</f>
        <v>0</v>
      </c>
      <c r="PDY66" s="956">
        <f>MIN(PDY60*$C$65,Application!$AO$636-SUM('15 Year Pro Forma'!$E$66:PDX$66))</f>
        <v>0</v>
      </c>
      <c r="PEA66" s="956">
        <f>MIN(PEA60*$C$65,Application!$AO$636-SUM('15 Year Pro Forma'!$E$66:PDZ$66))</f>
        <v>0</v>
      </c>
      <c r="PEC66" s="956">
        <f>MIN(PEC60*$C$65,Application!$AO$636-SUM('15 Year Pro Forma'!$E$66:PEB$66))</f>
        <v>0</v>
      </c>
      <c r="PEE66" s="956">
        <f>MIN(PEE60*$C$65,Application!$AO$636-SUM('15 Year Pro Forma'!$E$66:PED$66))</f>
        <v>0</v>
      </c>
      <c r="PEG66" s="956">
        <f>MIN(PEG60*$C$65,Application!$AO$636-SUM('15 Year Pro Forma'!$E$66:PEF$66))</f>
        <v>0</v>
      </c>
      <c r="PEI66" s="956">
        <f>MIN(PEI60*$C$65,Application!$AO$636-SUM('15 Year Pro Forma'!$E$66:PEH$66))</f>
        <v>0</v>
      </c>
      <c r="PEK66" s="956">
        <f>MIN(PEK60*$C$65,Application!$AO$636-SUM('15 Year Pro Forma'!$E$66:PEJ$66))</f>
        <v>0</v>
      </c>
      <c r="PEM66" s="956">
        <f>MIN(PEM60*$C$65,Application!$AO$636-SUM('15 Year Pro Forma'!$E$66:PEL$66))</f>
        <v>0</v>
      </c>
      <c r="PEO66" s="956">
        <f>MIN(PEO60*$C$65,Application!$AO$636-SUM('15 Year Pro Forma'!$E$66:PEN$66))</f>
        <v>0</v>
      </c>
      <c r="PEQ66" s="956">
        <f>MIN(PEQ60*$C$65,Application!$AO$636-SUM('15 Year Pro Forma'!$E$66:PEP$66))</f>
        <v>0</v>
      </c>
      <c r="PES66" s="956">
        <f>MIN(PES60*$C$65,Application!$AO$636-SUM('15 Year Pro Forma'!$E$66:PER$66))</f>
        <v>0</v>
      </c>
      <c r="PEU66" s="956">
        <f>MIN(PEU60*$C$65,Application!$AO$636-SUM('15 Year Pro Forma'!$E$66:PET$66))</f>
        <v>0</v>
      </c>
      <c r="PEW66" s="956">
        <f>MIN(PEW60*$C$65,Application!$AO$636-SUM('15 Year Pro Forma'!$E$66:PEV$66))</f>
        <v>0</v>
      </c>
      <c r="PEY66" s="956">
        <f>MIN(PEY60*$C$65,Application!$AO$636-SUM('15 Year Pro Forma'!$E$66:PEX$66))</f>
        <v>0</v>
      </c>
      <c r="PFA66" s="956">
        <f>MIN(PFA60*$C$65,Application!$AO$636-SUM('15 Year Pro Forma'!$E$66:PEZ$66))</f>
        <v>0</v>
      </c>
      <c r="PFC66" s="956">
        <f>MIN(PFC60*$C$65,Application!$AO$636-SUM('15 Year Pro Forma'!$E$66:PFB$66))</f>
        <v>0</v>
      </c>
      <c r="PFE66" s="956">
        <f>MIN(PFE60*$C$65,Application!$AO$636-SUM('15 Year Pro Forma'!$E$66:PFD$66))</f>
        <v>0</v>
      </c>
      <c r="PFG66" s="956">
        <f>MIN(PFG60*$C$65,Application!$AO$636-SUM('15 Year Pro Forma'!$E$66:PFF$66))</f>
        <v>0</v>
      </c>
      <c r="PFI66" s="956">
        <f>MIN(PFI60*$C$65,Application!$AO$636-SUM('15 Year Pro Forma'!$E$66:PFH$66))</f>
        <v>0</v>
      </c>
      <c r="PFK66" s="956">
        <f>MIN(PFK60*$C$65,Application!$AO$636-SUM('15 Year Pro Forma'!$E$66:PFJ$66))</f>
        <v>0</v>
      </c>
      <c r="PFM66" s="956">
        <f>MIN(PFM60*$C$65,Application!$AO$636-SUM('15 Year Pro Forma'!$E$66:PFL$66))</f>
        <v>0</v>
      </c>
      <c r="PFO66" s="956">
        <f>MIN(PFO60*$C$65,Application!$AO$636-SUM('15 Year Pro Forma'!$E$66:PFN$66))</f>
        <v>0</v>
      </c>
      <c r="PFQ66" s="956">
        <f>MIN(PFQ60*$C$65,Application!$AO$636-SUM('15 Year Pro Forma'!$E$66:PFP$66))</f>
        <v>0</v>
      </c>
      <c r="PFS66" s="956">
        <f>MIN(PFS60*$C$65,Application!$AO$636-SUM('15 Year Pro Forma'!$E$66:PFR$66))</f>
        <v>0</v>
      </c>
      <c r="PFU66" s="956">
        <f>MIN(PFU60*$C$65,Application!$AO$636-SUM('15 Year Pro Forma'!$E$66:PFT$66))</f>
        <v>0</v>
      </c>
      <c r="PFW66" s="956">
        <f>MIN(PFW60*$C$65,Application!$AO$636-SUM('15 Year Pro Forma'!$E$66:PFV$66))</f>
        <v>0</v>
      </c>
      <c r="PFY66" s="956">
        <f>MIN(PFY60*$C$65,Application!$AO$636-SUM('15 Year Pro Forma'!$E$66:PFX$66))</f>
        <v>0</v>
      </c>
      <c r="PGA66" s="956">
        <f>MIN(PGA60*$C$65,Application!$AO$636-SUM('15 Year Pro Forma'!$E$66:PFZ$66))</f>
        <v>0</v>
      </c>
      <c r="PGC66" s="956">
        <f>MIN(PGC60*$C$65,Application!$AO$636-SUM('15 Year Pro Forma'!$E$66:PGB$66))</f>
        <v>0</v>
      </c>
      <c r="PGE66" s="956">
        <f>MIN(PGE60*$C$65,Application!$AO$636-SUM('15 Year Pro Forma'!$E$66:PGD$66))</f>
        <v>0</v>
      </c>
      <c r="PGG66" s="956">
        <f>MIN(PGG60*$C$65,Application!$AO$636-SUM('15 Year Pro Forma'!$E$66:PGF$66))</f>
        <v>0</v>
      </c>
      <c r="PGI66" s="956">
        <f>MIN(PGI60*$C$65,Application!$AO$636-SUM('15 Year Pro Forma'!$E$66:PGH$66))</f>
        <v>0</v>
      </c>
      <c r="PGK66" s="956">
        <f>MIN(PGK60*$C$65,Application!$AO$636-SUM('15 Year Pro Forma'!$E$66:PGJ$66))</f>
        <v>0</v>
      </c>
      <c r="PGM66" s="956">
        <f>MIN(PGM60*$C$65,Application!$AO$636-SUM('15 Year Pro Forma'!$E$66:PGL$66))</f>
        <v>0</v>
      </c>
      <c r="PGO66" s="956">
        <f>MIN(PGO60*$C$65,Application!$AO$636-SUM('15 Year Pro Forma'!$E$66:PGN$66))</f>
        <v>0</v>
      </c>
      <c r="PGQ66" s="956">
        <f>MIN(PGQ60*$C$65,Application!$AO$636-SUM('15 Year Pro Forma'!$E$66:PGP$66))</f>
        <v>0</v>
      </c>
      <c r="PGS66" s="956">
        <f>MIN(PGS60*$C$65,Application!$AO$636-SUM('15 Year Pro Forma'!$E$66:PGR$66))</f>
        <v>0</v>
      </c>
      <c r="PGU66" s="956">
        <f>MIN(PGU60*$C$65,Application!$AO$636-SUM('15 Year Pro Forma'!$E$66:PGT$66))</f>
        <v>0</v>
      </c>
      <c r="PGW66" s="956">
        <f>MIN(PGW60*$C$65,Application!$AO$636-SUM('15 Year Pro Forma'!$E$66:PGV$66))</f>
        <v>0</v>
      </c>
      <c r="PGY66" s="956">
        <f>MIN(PGY60*$C$65,Application!$AO$636-SUM('15 Year Pro Forma'!$E$66:PGX$66))</f>
        <v>0</v>
      </c>
      <c r="PHA66" s="956">
        <f>MIN(PHA60*$C$65,Application!$AO$636-SUM('15 Year Pro Forma'!$E$66:PGZ$66))</f>
        <v>0</v>
      </c>
      <c r="PHC66" s="956">
        <f>MIN(PHC60*$C$65,Application!$AO$636-SUM('15 Year Pro Forma'!$E$66:PHB$66))</f>
        <v>0</v>
      </c>
      <c r="PHE66" s="956">
        <f>MIN(PHE60*$C$65,Application!$AO$636-SUM('15 Year Pro Forma'!$E$66:PHD$66))</f>
        <v>0</v>
      </c>
      <c r="PHG66" s="956">
        <f>MIN(PHG60*$C$65,Application!$AO$636-SUM('15 Year Pro Forma'!$E$66:PHF$66))</f>
        <v>0</v>
      </c>
      <c r="PHI66" s="956">
        <f>MIN(PHI60*$C$65,Application!$AO$636-SUM('15 Year Pro Forma'!$E$66:PHH$66))</f>
        <v>0</v>
      </c>
      <c r="PHK66" s="956">
        <f>MIN(PHK60*$C$65,Application!$AO$636-SUM('15 Year Pro Forma'!$E$66:PHJ$66))</f>
        <v>0</v>
      </c>
      <c r="PHM66" s="956">
        <f>MIN(PHM60*$C$65,Application!$AO$636-SUM('15 Year Pro Forma'!$E$66:PHL$66))</f>
        <v>0</v>
      </c>
      <c r="PHO66" s="956">
        <f>MIN(PHO60*$C$65,Application!$AO$636-SUM('15 Year Pro Forma'!$E$66:PHN$66))</f>
        <v>0</v>
      </c>
      <c r="PHQ66" s="956">
        <f>MIN(PHQ60*$C$65,Application!$AO$636-SUM('15 Year Pro Forma'!$E$66:PHP$66))</f>
        <v>0</v>
      </c>
      <c r="PHS66" s="956">
        <f>MIN(PHS60*$C$65,Application!$AO$636-SUM('15 Year Pro Forma'!$E$66:PHR$66))</f>
        <v>0</v>
      </c>
      <c r="PHU66" s="956">
        <f>MIN(PHU60*$C$65,Application!$AO$636-SUM('15 Year Pro Forma'!$E$66:PHT$66))</f>
        <v>0</v>
      </c>
      <c r="PHW66" s="956">
        <f>MIN(PHW60*$C$65,Application!$AO$636-SUM('15 Year Pro Forma'!$E$66:PHV$66))</f>
        <v>0</v>
      </c>
      <c r="PHY66" s="956">
        <f>MIN(PHY60*$C$65,Application!$AO$636-SUM('15 Year Pro Forma'!$E$66:PHX$66))</f>
        <v>0</v>
      </c>
      <c r="PIA66" s="956">
        <f>MIN(PIA60*$C$65,Application!$AO$636-SUM('15 Year Pro Forma'!$E$66:PHZ$66))</f>
        <v>0</v>
      </c>
      <c r="PIC66" s="956">
        <f>MIN(PIC60*$C$65,Application!$AO$636-SUM('15 Year Pro Forma'!$E$66:PIB$66))</f>
        <v>0</v>
      </c>
      <c r="PIE66" s="956">
        <f>MIN(PIE60*$C$65,Application!$AO$636-SUM('15 Year Pro Forma'!$E$66:PID$66))</f>
        <v>0</v>
      </c>
      <c r="PIG66" s="956">
        <f>MIN(PIG60*$C$65,Application!$AO$636-SUM('15 Year Pro Forma'!$E$66:PIF$66))</f>
        <v>0</v>
      </c>
      <c r="PII66" s="956">
        <f>MIN(PII60*$C$65,Application!$AO$636-SUM('15 Year Pro Forma'!$E$66:PIH$66))</f>
        <v>0</v>
      </c>
      <c r="PIK66" s="956">
        <f>MIN(PIK60*$C$65,Application!$AO$636-SUM('15 Year Pro Forma'!$E$66:PIJ$66))</f>
        <v>0</v>
      </c>
      <c r="PIM66" s="956">
        <f>MIN(PIM60*$C$65,Application!$AO$636-SUM('15 Year Pro Forma'!$E$66:PIL$66))</f>
        <v>0</v>
      </c>
      <c r="PIO66" s="956">
        <f>MIN(PIO60*$C$65,Application!$AO$636-SUM('15 Year Pro Forma'!$E$66:PIN$66))</f>
        <v>0</v>
      </c>
      <c r="PIQ66" s="956">
        <f>MIN(PIQ60*$C$65,Application!$AO$636-SUM('15 Year Pro Forma'!$E$66:PIP$66))</f>
        <v>0</v>
      </c>
      <c r="PIS66" s="956">
        <f>MIN(PIS60*$C$65,Application!$AO$636-SUM('15 Year Pro Forma'!$E$66:PIR$66))</f>
        <v>0</v>
      </c>
      <c r="PIU66" s="956">
        <f>MIN(PIU60*$C$65,Application!$AO$636-SUM('15 Year Pro Forma'!$E$66:PIT$66))</f>
        <v>0</v>
      </c>
      <c r="PIW66" s="956">
        <f>MIN(PIW60*$C$65,Application!$AO$636-SUM('15 Year Pro Forma'!$E$66:PIV$66))</f>
        <v>0</v>
      </c>
      <c r="PIY66" s="956">
        <f>MIN(PIY60*$C$65,Application!$AO$636-SUM('15 Year Pro Forma'!$E$66:PIX$66))</f>
        <v>0</v>
      </c>
      <c r="PJA66" s="956">
        <f>MIN(PJA60*$C$65,Application!$AO$636-SUM('15 Year Pro Forma'!$E$66:PIZ$66))</f>
        <v>0</v>
      </c>
      <c r="PJC66" s="956">
        <f>MIN(PJC60*$C$65,Application!$AO$636-SUM('15 Year Pro Forma'!$E$66:PJB$66))</f>
        <v>0</v>
      </c>
      <c r="PJE66" s="956">
        <f>MIN(PJE60*$C$65,Application!$AO$636-SUM('15 Year Pro Forma'!$E$66:PJD$66))</f>
        <v>0</v>
      </c>
      <c r="PJG66" s="956">
        <f>MIN(PJG60*$C$65,Application!$AO$636-SUM('15 Year Pro Forma'!$E$66:PJF$66))</f>
        <v>0</v>
      </c>
      <c r="PJI66" s="956">
        <f>MIN(PJI60*$C$65,Application!$AO$636-SUM('15 Year Pro Forma'!$E$66:PJH$66))</f>
        <v>0</v>
      </c>
      <c r="PJK66" s="956">
        <f>MIN(PJK60*$C$65,Application!$AO$636-SUM('15 Year Pro Forma'!$E$66:PJJ$66))</f>
        <v>0</v>
      </c>
      <c r="PJM66" s="956">
        <f>MIN(PJM60*$C$65,Application!$AO$636-SUM('15 Year Pro Forma'!$E$66:PJL$66))</f>
        <v>0</v>
      </c>
      <c r="PJO66" s="956">
        <f>MIN(PJO60*$C$65,Application!$AO$636-SUM('15 Year Pro Forma'!$E$66:PJN$66))</f>
        <v>0</v>
      </c>
      <c r="PJQ66" s="956">
        <f>MIN(PJQ60*$C$65,Application!$AO$636-SUM('15 Year Pro Forma'!$E$66:PJP$66))</f>
        <v>0</v>
      </c>
      <c r="PJS66" s="956">
        <f>MIN(PJS60*$C$65,Application!$AO$636-SUM('15 Year Pro Forma'!$E$66:PJR$66))</f>
        <v>0</v>
      </c>
      <c r="PJU66" s="956">
        <f>MIN(PJU60*$C$65,Application!$AO$636-SUM('15 Year Pro Forma'!$E$66:PJT$66))</f>
        <v>0</v>
      </c>
      <c r="PJW66" s="956">
        <f>MIN(PJW60*$C$65,Application!$AO$636-SUM('15 Year Pro Forma'!$E$66:PJV$66))</f>
        <v>0</v>
      </c>
      <c r="PJY66" s="956">
        <f>MIN(PJY60*$C$65,Application!$AO$636-SUM('15 Year Pro Forma'!$E$66:PJX$66))</f>
        <v>0</v>
      </c>
      <c r="PKA66" s="956">
        <f>MIN(PKA60*$C$65,Application!$AO$636-SUM('15 Year Pro Forma'!$E$66:PJZ$66))</f>
        <v>0</v>
      </c>
      <c r="PKC66" s="956">
        <f>MIN(PKC60*$C$65,Application!$AO$636-SUM('15 Year Pro Forma'!$E$66:PKB$66))</f>
        <v>0</v>
      </c>
      <c r="PKE66" s="956">
        <f>MIN(PKE60*$C$65,Application!$AO$636-SUM('15 Year Pro Forma'!$E$66:PKD$66))</f>
        <v>0</v>
      </c>
      <c r="PKG66" s="956">
        <f>MIN(PKG60*$C$65,Application!$AO$636-SUM('15 Year Pro Forma'!$E$66:PKF$66))</f>
        <v>0</v>
      </c>
      <c r="PKI66" s="956">
        <f>MIN(PKI60*$C$65,Application!$AO$636-SUM('15 Year Pro Forma'!$E$66:PKH$66))</f>
        <v>0</v>
      </c>
      <c r="PKK66" s="956">
        <f>MIN(PKK60*$C$65,Application!$AO$636-SUM('15 Year Pro Forma'!$E$66:PKJ$66))</f>
        <v>0</v>
      </c>
      <c r="PKM66" s="956">
        <f>MIN(PKM60*$C$65,Application!$AO$636-SUM('15 Year Pro Forma'!$E$66:PKL$66))</f>
        <v>0</v>
      </c>
      <c r="PKO66" s="956">
        <f>MIN(PKO60*$C$65,Application!$AO$636-SUM('15 Year Pro Forma'!$E$66:PKN$66))</f>
        <v>0</v>
      </c>
      <c r="PKQ66" s="956">
        <f>MIN(PKQ60*$C$65,Application!$AO$636-SUM('15 Year Pro Forma'!$E$66:PKP$66))</f>
        <v>0</v>
      </c>
      <c r="PKS66" s="956">
        <f>MIN(PKS60*$C$65,Application!$AO$636-SUM('15 Year Pro Forma'!$E$66:PKR$66))</f>
        <v>0</v>
      </c>
      <c r="PKU66" s="956">
        <f>MIN(PKU60*$C$65,Application!$AO$636-SUM('15 Year Pro Forma'!$E$66:PKT$66))</f>
        <v>0</v>
      </c>
      <c r="PKW66" s="956">
        <f>MIN(PKW60*$C$65,Application!$AO$636-SUM('15 Year Pro Forma'!$E$66:PKV$66))</f>
        <v>0</v>
      </c>
      <c r="PKY66" s="956">
        <f>MIN(PKY60*$C$65,Application!$AO$636-SUM('15 Year Pro Forma'!$E$66:PKX$66))</f>
        <v>0</v>
      </c>
      <c r="PLA66" s="956">
        <f>MIN(PLA60*$C$65,Application!$AO$636-SUM('15 Year Pro Forma'!$E$66:PKZ$66))</f>
        <v>0</v>
      </c>
      <c r="PLC66" s="956">
        <f>MIN(PLC60*$C$65,Application!$AO$636-SUM('15 Year Pro Forma'!$E$66:PLB$66))</f>
        <v>0</v>
      </c>
      <c r="PLE66" s="956">
        <f>MIN(PLE60*$C$65,Application!$AO$636-SUM('15 Year Pro Forma'!$E$66:PLD$66))</f>
        <v>0</v>
      </c>
      <c r="PLG66" s="956">
        <f>MIN(PLG60*$C$65,Application!$AO$636-SUM('15 Year Pro Forma'!$E$66:PLF$66))</f>
        <v>0</v>
      </c>
      <c r="PLI66" s="956">
        <f>MIN(PLI60*$C$65,Application!$AO$636-SUM('15 Year Pro Forma'!$E$66:PLH$66))</f>
        <v>0</v>
      </c>
      <c r="PLK66" s="956">
        <f>MIN(PLK60*$C$65,Application!$AO$636-SUM('15 Year Pro Forma'!$E$66:PLJ$66))</f>
        <v>0</v>
      </c>
      <c r="PLM66" s="956">
        <f>MIN(PLM60*$C$65,Application!$AO$636-SUM('15 Year Pro Forma'!$E$66:PLL$66))</f>
        <v>0</v>
      </c>
      <c r="PLO66" s="956">
        <f>MIN(PLO60*$C$65,Application!$AO$636-SUM('15 Year Pro Forma'!$E$66:PLN$66))</f>
        <v>0</v>
      </c>
      <c r="PLQ66" s="956">
        <f>MIN(PLQ60*$C$65,Application!$AO$636-SUM('15 Year Pro Forma'!$E$66:PLP$66))</f>
        <v>0</v>
      </c>
      <c r="PLS66" s="956">
        <f>MIN(PLS60*$C$65,Application!$AO$636-SUM('15 Year Pro Forma'!$E$66:PLR$66))</f>
        <v>0</v>
      </c>
      <c r="PLU66" s="956">
        <f>MIN(PLU60*$C$65,Application!$AO$636-SUM('15 Year Pro Forma'!$E$66:PLT$66))</f>
        <v>0</v>
      </c>
      <c r="PLW66" s="956">
        <f>MIN(PLW60*$C$65,Application!$AO$636-SUM('15 Year Pro Forma'!$E$66:PLV$66))</f>
        <v>0</v>
      </c>
      <c r="PLY66" s="956">
        <f>MIN(PLY60*$C$65,Application!$AO$636-SUM('15 Year Pro Forma'!$E$66:PLX$66))</f>
        <v>0</v>
      </c>
      <c r="PMA66" s="956">
        <f>MIN(PMA60*$C$65,Application!$AO$636-SUM('15 Year Pro Forma'!$E$66:PLZ$66))</f>
        <v>0</v>
      </c>
      <c r="PMC66" s="956">
        <f>MIN(PMC60*$C$65,Application!$AO$636-SUM('15 Year Pro Forma'!$E$66:PMB$66))</f>
        <v>0</v>
      </c>
      <c r="PME66" s="956">
        <f>MIN(PME60*$C$65,Application!$AO$636-SUM('15 Year Pro Forma'!$E$66:PMD$66))</f>
        <v>0</v>
      </c>
      <c r="PMG66" s="956">
        <f>MIN(PMG60*$C$65,Application!$AO$636-SUM('15 Year Pro Forma'!$E$66:PMF$66))</f>
        <v>0</v>
      </c>
      <c r="PMI66" s="956">
        <f>MIN(PMI60*$C$65,Application!$AO$636-SUM('15 Year Pro Forma'!$E$66:PMH$66))</f>
        <v>0</v>
      </c>
      <c r="PMK66" s="956">
        <f>MIN(PMK60*$C$65,Application!$AO$636-SUM('15 Year Pro Forma'!$E$66:PMJ$66))</f>
        <v>0</v>
      </c>
      <c r="PMM66" s="956">
        <f>MIN(PMM60*$C$65,Application!$AO$636-SUM('15 Year Pro Forma'!$E$66:PML$66))</f>
        <v>0</v>
      </c>
      <c r="PMO66" s="956">
        <f>MIN(PMO60*$C$65,Application!$AO$636-SUM('15 Year Pro Forma'!$E$66:PMN$66))</f>
        <v>0</v>
      </c>
      <c r="PMQ66" s="956">
        <f>MIN(PMQ60*$C$65,Application!$AO$636-SUM('15 Year Pro Forma'!$E$66:PMP$66))</f>
        <v>0</v>
      </c>
      <c r="PMS66" s="956">
        <f>MIN(PMS60*$C$65,Application!$AO$636-SUM('15 Year Pro Forma'!$E$66:PMR$66))</f>
        <v>0</v>
      </c>
      <c r="PMU66" s="956">
        <f>MIN(PMU60*$C$65,Application!$AO$636-SUM('15 Year Pro Forma'!$E$66:PMT$66))</f>
        <v>0</v>
      </c>
      <c r="PMW66" s="956">
        <f>MIN(PMW60*$C$65,Application!$AO$636-SUM('15 Year Pro Forma'!$E$66:PMV$66))</f>
        <v>0</v>
      </c>
      <c r="PMY66" s="956">
        <f>MIN(PMY60*$C$65,Application!$AO$636-SUM('15 Year Pro Forma'!$E$66:PMX$66))</f>
        <v>0</v>
      </c>
      <c r="PNA66" s="956">
        <f>MIN(PNA60*$C$65,Application!$AO$636-SUM('15 Year Pro Forma'!$E$66:PMZ$66))</f>
        <v>0</v>
      </c>
      <c r="PNC66" s="956">
        <f>MIN(PNC60*$C$65,Application!$AO$636-SUM('15 Year Pro Forma'!$E$66:PNB$66))</f>
        <v>0</v>
      </c>
      <c r="PNE66" s="956">
        <f>MIN(PNE60*$C$65,Application!$AO$636-SUM('15 Year Pro Forma'!$E$66:PND$66))</f>
        <v>0</v>
      </c>
      <c r="PNG66" s="956">
        <f>MIN(PNG60*$C$65,Application!$AO$636-SUM('15 Year Pro Forma'!$E$66:PNF$66))</f>
        <v>0</v>
      </c>
      <c r="PNI66" s="956">
        <f>MIN(PNI60*$C$65,Application!$AO$636-SUM('15 Year Pro Forma'!$E$66:PNH$66))</f>
        <v>0</v>
      </c>
      <c r="PNK66" s="956">
        <f>MIN(PNK60*$C$65,Application!$AO$636-SUM('15 Year Pro Forma'!$E$66:PNJ$66))</f>
        <v>0</v>
      </c>
      <c r="PNM66" s="956">
        <f>MIN(PNM60*$C$65,Application!$AO$636-SUM('15 Year Pro Forma'!$E$66:PNL$66))</f>
        <v>0</v>
      </c>
      <c r="PNO66" s="956">
        <f>MIN(PNO60*$C$65,Application!$AO$636-SUM('15 Year Pro Forma'!$E$66:PNN$66))</f>
        <v>0</v>
      </c>
      <c r="PNQ66" s="956">
        <f>MIN(PNQ60*$C$65,Application!$AO$636-SUM('15 Year Pro Forma'!$E$66:PNP$66))</f>
        <v>0</v>
      </c>
      <c r="PNS66" s="956">
        <f>MIN(PNS60*$C$65,Application!$AO$636-SUM('15 Year Pro Forma'!$E$66:PNR$66))</f>
        <v>0</v>
      </c>
      <c r="PNU66" s="956">
        <f>MIN(PNU60*$C$65,Application!$AO$636-SUM('15 Year Pro Forma'!$E$66:PNT$66))</f>
        <v>0</v>
      </c>
      <c r="PNW66" s="956">
        <f>MIN(PNW60*$C$65,Application!$AO$636-SUM('15 Year Pro Forma'!$E$66:PNV$66))</f>
        <v>0</v>
      </c>
      <c r="PNY66" s="956">
        <f>MIN(PNY60*$C$65,Application!$AO$636-SUM('15 Year Pro Forma'!$E$66:PNX$66))</f>
        <v>0</v>
      </c>
      <c r="POA66" s="956">
        <f>MIN(POA60*$C$65,Application!$AO$636-SUM('15 Year Pro Forma'!$E$66:PNZ$66))</f>
        <v>0</v>
      </c>
      <c r="POC66" s="956">
        <f>MIN(POC60*$C$65,Application!$AO$636-SUM('15 Year Pro Forma'!$E$66:POB$66))</f>
        <v>0</v>
      </c>
      <c r="POE66" s="956">
        <f>MIN(POE60*$C$65,Application!$AO$636-SUM('15 Year Pro Forma'!$E$66:POD$66))</f>
        <v>0</v>
      </c>
      <c r="POG66" s="956">
        <f>MIN(POG60*$C$65,Application!$AO$636-SUM('15 Year Pro Forma'!$E$66:POF$66))</f>
        <v>0</v>
      </c>
      <c r="POI66" s="956">
        <f>MIN(POI60*$C$65,Application!$AO$636-SUM('15 Year Pro Forma'!$E$66:POH$66))</f>
        <v>0</v>
      </c>
      <c r="POK66" s="956">
        <f>MIN(POK60*$C$65,Application!$AO$636-SUM('15 Year Pro Forma'!$E$66:POJ$66))</f>
        <v>0</v>
      </c>
      <c r="POM66" s="956">
        <f>MIN(POM60*$C$65,Application!$AO$636-SUM('15 Year Pro Forma'!$E$66:POL$66))</f>
        <v>0</v>
      </c>
      <c r="POO66" s="956">
        <f>MIN(POO60*$C$65,Application!$AO$636-SUM('15 Year Pro Forma'!$E$66:PON$66))</f>
        <v>0</v>
      </c>
      <c r="POQ66" s="956">
        <f>MIN(POQ60*$C$65,Application!$AO$636-SUM('15 Year Pro Forma'!$E$66:POP$66))</f>
        <v>0</v>
      </c>
      <c r="POS66" s="956">
        <f>MIN(POS60*$C$65,Application!$AO$636-SUM('15 Year Pro Forma'!$E$66:POR$66))</f>
        <v>0</v>
      </c>
      <c r="POU66" s="956">
        <f>MIN(POU60*$C$65,Application!$AO$636-SUM('15 Year Pro Forma'!$E$66:POT$66))</f>
        <v>0</v>
      </c>
      <c r="POW66" s="956">
        <f>MIN(POW60*$C$65,Application!$AO$636-SUM('15 Year Pro Forma'!$E$66:POV$66))</f>
        <v>0</v>
      </c>
      <c r="POY66" s="956">
        <f>MIN(POY60*$C$65,Application!$AO$636-SUM('15 Year Pro Forma'!$E$66:POX$66))</f>
        <v>0</v>
      </c>
      <c r="PPA66" s="956">
        <f>MIN(PPA60*$C$65,Application!$AO$636-SUM('15 Year Pro Forma'!$E$66:POZ$66))</f>
        <v>0</v>
      </c>
      <c r="PPC66" s="956">
        <f>MIN(PPC60*$C$65,Application!$AO$636-SUM('15 Year Pro Forma'!$E$66:PPB$66))</f>
        <v>0</v>
      </c>
      <c r="PPE66" s="956">
        <f>MIN(PPE60*$C$65,Application!$AO$636-SUM('15 Year Pro Forma'!$E$66:PPD$66))</f>
        <v>0</v>
      </c>
      <c r="PPG66" s="956">
        <f>MIN(PPG60*$C$65,Application!$AO$636-SUM('15 Year Pro Forma'!$E$66:PPF$66))</f>
        <v>0</v>
      </c>
      <c r="PPI66" s="956">
        <f>MIN(PPI60*$C$65,Application!$AO$636-SUM('15 Year Pro Forma'!$E$66:PPH$66))</f>
        <v>0</v>
      </c>
      <c r="PPK66" s="956">
        <f>MIN(PPK60*$C$65,Application!$AO$636-SUM('15 Year Pro Forma'!$E$66:PPJ$66))</f>
        <v>0</v>
      </c>
      <c r="PPM66" s="956">
        <f>MIN(PPM60*$C$65,Application!$AO$636-SUM('15 Year Pro Forma'!$E$66:PPL$66))</f>
        <v>0</v>
      </c>
      <c r="PPO66" s="956">
        <f>MIN(PPO60*$C$65,Application!$AO$636-SUM('15 Year Pro Forma'!$E$66:PPN$66))</f>
        <v>0</v>
      </c>
      <c r="PPQ66" s="956">
        <f>MIN(PPQ60*$C$65,Application!$AO$636-SUM('15 Year Pro Forma'!$E$66:PPP$66))</f>
        <v>0</v>
      </c>
      <c r="PPS66" s="956">
        <f>MIN(PPS60*$C$65,Application!$AO$636-SUM('15 Year Pro Forma'!$E$66:PPR$66))</f>
        <v>0</v>
      </c>
      <c r="PPU66" s="956">
        <f>MIN(PPU60*$C$65,Application!$AO$636-SUM('15 Year Pro Forma'!$E$66:PPT$66))</f>
        <v>0</v>
      </c>
      <c r="PPW66" s="956">
        <f>MIN(PPW60*$C$65,Application!$AO$636-SUM('15 Year Pro Forma'!$E$66:PPV$66))</f>
        <v>0</v>
      </c>
      <c r="PPY66" s="956">
        <f>MIN(PPY60*$C$65,Application!$AO$636-SUM('15 Year Pro Forma'!$E$66:PPX$66))</f>
        <v>0</v>
      </c>
      <c r="PQA66" s="956">
        <f>MIN(PQA60*$C$65,Application!$AO$636-SUM('15 Year Pro Forma'!$E$66:PPZ$66))</f>
        <v>0</v>
      </c>
      <c r="PQC66" s="956">
        <f>MIN(PQC60*$C$65,Application!$AO$636-SUM('15 Year Pro Forma'!$E$66:PQB$66))</f>
        <v>0</v>
      </c>
      <c r="PQE66" s="956">
        <f>MIN(PQE60*$C$65,Application!$AO$636-SUM('15 Year Pro Forma'!$E$66:PQD$66))</f>
        <v>0</v>
      </c>
      <c r="PQG66" s="956">
        <f>MIN(PQG60*$C$65,Application!$AO$636-SUM('15 Year Pro Forma'!$E$66:PQF$66))</f>
        <v>0</v>
      </c>
      <c r="PQI66" s="956">
        <f>MIN(PQI60*$C$65,Application!$AO$636-SUM('15 Year Pro Forma'!$E$66:PQH$66))</f>
        <v>0</v>
      </c>
      <c r="PQK66" s="956">
        <f>MIN(PQK60*$C$65,Application!$AO$636-SUM('15 Year Pro Forma'!$E$66:PQJ$66))</f>
        <v>0</v>
      </c>
      <c r="PQM66" s="956">
        <f>MIN(PQM60*$C$65,Application!$AO$636-SUM('15 Year Pro Forma'!$E$66:PQL$66))</f>
        <v>0</v>
      </c>
      <c r="PQO66" s="956">
        <f>MIN(PQO60*$C$65,Application!$AO$636-SUM('15 Year Pro Forma'!$E$66:PQN$66))</f>
        <v>0</v>
      </c>
      <c r="PQQ66" s="956">
        <f>MIN(PQQ60*$C$65,Application!$AO$636-SUM('15 Year Pro Forma'!$E$66:PQP$66))</f>
        <v>0</v>
      </c>
      <c r="PQS66" s="956">
        <f>MIN(PQS60*$C$65,Application!$AO$636-SUM('15 Year Pro Forma'!$E$66:PQR$66))</f>
        <v>0</v>
      </c>
      <c r="PQU66" s="956">
        <f>MIN(PQU60*$C$65,Application!$AO$636-SUM('15 Year Pro Forma'!$E$66:PQT$66))</f>
        <v>0</v>
      </c>
      <c r="PQW66" s="956">
        <f>MIN(PQW60*$C$65,Application!$AO$636-SUM('15 Year Pro Forma'!$E$66:PQV$66))</f>
        <v>0</v>
      </c>
      <c r="PQY66" s="956">
        <f>MIN(PQY60*$C$65,Application!$AO$636-SUM('15 Year Pro Forma'!$E$66:PQX$66))</f>
        <v>0</v>
      </c>
      <c r="PRA66" s="956">
        <f>MIN(PRA60*$C$65,Application!$AO$636-SUM('15 Year Pro Forma'!$E$66:PQZ$66))</f>
        <v>0</v>
      </c>
      <c r="PRC66" s="956">
        <f>MIN(PRC60*$C$65,Application!$AO$636-SUM('15 Year Pro Forma'!$E$66:PRB$66))</f>
        <v>0</v>
      </c>
      <c r="PRE66" s="956">
        <f>MIN(PRE60*$C$65,Application!$AO$636-SUM('15 Year Pro Forma'!$E$66:PRD$66))</f>
        <v>0</v>
      </c>
      <c r="PRG66" s="956">
        <f>MIN(PRG60*$C$65,Application!$AO$636-SUM('15 Year Pro Forma'!$E$66:PRF$66))</f>
        <v>0</v>
      </c>
      <c r="PRI66" s="956">
        <f>MIN(PRI60*$C$65,Application!$AO$636-SUM('15 Year Pro Forma'!$E$66:PRH$66))</f>
        <v>0</v>
      </c>
      <c r="PRK66" s="956">
        <f>MIN(PRK60*$C$65,Application!$AO$636-SUM('15 Year Pro Forma'!$E$66:PRJ$66))</f>
        <v>0</v>
      </c>
      <c r="PRM66" s="956">
        <f>MIN(PRM60*$C$65,Application!$AO$636-SUM('15 Year Pro Forma'!$E$66:PRL$66))</f>
        <v>0</v>
      </c>
      <c r="PRO66" s="956">
        <f>MIN(PRO60*$C$65,Application!$AO$636-SUM('15 Year Pro Forma'!$E$66:PRN$66))</f>
        <v>0</v>
      </c>
      <c r="PRQ66" s="956">
        <f>MIN(PRQ60*$C$65,Application!$AO$636-SUM('15 Year Pro Forma'!$E$66:PRP$66))</f>
        <v>0</v>
      </c>
      <c r="PRS66" s="956">
        <f>MIN(PRS60*$C$65,Application!$AO$636-SUM('15 Year Pro Forma'!$E$66:PRR$66))</f>
        <v>0</v>
      </c>
      <c r="PRU66" s="956">
        <f>MIN(PRU60*$C$65,Application!$AO$636-SUM('15 Year Pro Forma'!$E$66:PRT$66))</f>
        <v>0</v>
      </c>
      <c r="PRW66" s="956">
        <f>MIN(PRW60*$C$65,Application!$AO$636-SUM('15 Year Pro Forma'!$E$66:PRV$66))</f>
        <v>0</v>
      </c>
      <c r="PRY66" s="956">
        <f>MIN(PRY60*$C$65,Application!$AO$636-SUM('15 Year Pro Forma'!$E$66:PRX$66))</f>
        <v>0</v>
      </c>
      <c r="PSA66" s="956">
        <f>MIN(PSA60*$C$65,Application!$AO$636-SUM('15 Year Pro Forma'!$E$66:PRZ$66))</f>
        <v>0</v>
      </c>
      <c r="PSC66" s="956">
        <f>MIN(PSC60*$C$65,Application!$AO$636-SUM('15 Year Pro Forma'!$E$66:PSB$66))</f>
        <v>0</v>
      </c>
      <c r="PSE66" s="956">
        <f>MIN(PSE60*$C$65,Application!$AO$636-SUM('15 Year Pro Forma'!$E$66:PSD$66))</f>
        <v>0</v>
      </c>
      <c r="PSG66" s="956">
        <f>MIN(PSG60*$C$65,Application!$AO$636-SUM('15 Year Pro Forma'!$E$66:PSF$66))</f>
        <v>0</v>
      </c>
      <c r="PSI66" s="956">
        <f>MIN(PSI60*$C$65,Application!$AO$636-SUM('15 Year Pro Forma'!$E$66:PSH$66))</f>
        <v>0</v>
      </c>
      <c r="PSK66" s="956">
        <f>MIN(PSK60*$C$65,Application!$AO$636-SUM('15 Year Pro Forma'!$E$66:PSJ$66))</f>
        <v>0</v>
      </c>
      <c r="PSM66" s="956">
        <f>MIN(PSM60*$C$65,Application!$AO$636-SUM('15 Year Pro Forma'!$E$66:PSL$66))</f>
        <v>0</v>
      </c>
      <c r="PSO66" s="956">
        <f>MIN(PSO60*$C$65,Application!$AO$636-SUM('15 Year Pro Forma'!$E$66:PSN$66))</f>
        <v>0</v>
      </c>
      <c r="PSQ66" s="956">
        <f>MIN(PSQ60*$C$65,Application!$AO$636-SUM('15 Year Pro Forma'!$E$66:PSP$66))</f>
        <v>0</v>
      </c>
      <c r="PSS66" s="956">
        <f>MIN(PSS60*$C$65,Application!$AO$636-SUM('15 Year Pro Forma'!$E$66:PSR$66))</f>
        <v>0</v>
      </c>
      <c r="PSU66" s="956">
        <f>MIN(PSU60*$C$65,Application!$AO$636-SUM('15 Year Pro Forma'!$E$66:PST$66))</f>
        <v>0</v>
      </c>
      <c r="PSW66" s="956">
        <f>MIN(PSW60*$C$65,Application!$AO$636-SUM('15 Year Pro Forma'!$E$66:PSV$66))</f>
        <v>0</v>
      </c>
      <c r="PSY66" s="956">
        <f>MIN(PSY60*$C$65,Application!$AO$636-SUM('15 Year Pro Forma'!$E$66:PSX$66))</f>
        <v>0</v>
      </c>
      <c r="PTA66" s="956">
        <f>MIN(PTA60*$C$65,Application!$AO$636-SUM('15 Year Pro Forma'!$E$66:PSZ$66))</f>
        <v>0</v>
      </c>
      <c r="PTC66" s="956">
        <f>MIN(PTC60*$C$65,Application!$AO$636-SUM('15 Year Pro Forma'!$E$66:PTB$66))</f>
        <v>0</v>
      </c>
      <c r="PTE66" s="956">
        <f>MIN(PTE60*$C$65,Application!$AO$636-SUM('15 Year Pro Forma'!$E$66:PTD$66))</f>
        <v>0</v>
      </c>
      <c r="PTG66" s="956">
        <f>MIN(PTG60*$C$65,Application!$AO$636-SUM('15 Year Pro Forma'!$E$66:PTF$66))</f>
        <v>0</v>
      </c>
      <c r="PTI66" s="956">
        <f>MIN(PTI60*$C$65,Application!$AO$636-SUM('15 Year Pro Forma'!$E$66:PTH$66))</f>
        <v>0</v>
      </c>
      <c r="PTK66" s="956">
        <f>MIN(PTK60*$C$65,Application!$AO$636-SUM('15 Year Pro Forma'!$E$66:PTJ$66))</f>
        <v>0</v>
      </c>
      <c r="PTM66" s="956">
        <f>MIN(PTM60*$C$65,Application!$AO$636-SUM('15 Year Pro Forma'!$E$66:PTL$66))</f>
        <v>0</v>
      </c>
      <c r="PTO66" s="956">
        <f>MIN(PTO60*$C$65,Application!$AO$636-SUM('15 Year Pro Forma'!$E$66:PTN$66))</f>
        <v>0</v>
      </c>
      <c r="PTQ66" s="956">
        <f>MIN(PTQ60*$C$65,Application!$AO$636-SUM('15 Year Pro Forma'!$E$66:PTP$66))</f>
        <v>0</v>
      </c>
      <c r="PTS66" s="956">
        <f>MIN(PTS60*$C$65,Application!$AO$636-SUM('15 Year Pro Forma'!$E$66:PTR$66))</f>
        <v>0</v>
      </c>
      <c r="PTU66" s="956">
        <f>MIN(PTU60*$C$65,Application!$AO$636-SUM('15 Year Pro Forma'!$E$66:PTT$66))</f>
        <v>0</v>
      </c>
      <c r="PTW66" s="956">
        <f>MIN(PTW60*$C$65,Application!$AO$636-SUM('15 Year Pro Forma'!$E$66:PTV$66))</f>
        <v>0</v>
      </c>
      <c r="PTY66" s="956">
        <f>MIN(PTY60*$C$65,Application!$AO$636-SUM('15 Year Pro Forma'!$E$66:PTX$66))</f>
        <v>0</v>
      </c>
      <c r="PUA66" s="956">
        <f>MIN(PUA60*$C$65,Application!$AO$636-SUM('15 Year Pro Forma'!$E$66:PTZ$66))</f>
        <v>0</v>
      </c>
      <c r="PUC66" s="956">
        <f>MIN(PUC60*$C$65,Application!$AO$636-SUM('15 Year Pro Forma'!$E$66:PUB$66))</f>
        <v>0</v>
      </c>
      <c r="PUE66" s="956">
        <f>MIN(PUE60*$C$65,Application!$AO$636-SUM('15 Year Pro Forma'!$E$66:PUD$66))</f>
        <v>0</v>
      </c>
      <c r="PUG66" s="956">
        <f>MIN(PUG60*$C$65,Application!$AO$636-SUM('15 Year Pro Forma'!$E$66:PUF$66))</f>
        <v>0</v>
      </c>
      <c r="PUI66" s="956">
        <f>MIN(PUI60*$C$65,Application!$AO$636-SUM('15 Year Pro Forma'!$E$66:PUH$66))</f>
        <v>0</v>
      </c>
      <c r="PUK66" s="956">
        <f>MIN(PUK60*$C$65,Application!$AO$636-SUM('15 Year Pro Forma'!$E$66:PUJ$66))</f>
        <v>0</v>
      </c>
      <c r="PUM66" s="956">
        <f>MIN(PUM60*$C$65,Application!$AO$636-SUM('15 Year Pro Forma'!$E$66:PUL$66))</f>
        <v>0</v>
      </c>
      <c r="PUO66" s="956">
        <f>MIN(PUO60*$C$65,Application!$AO$636-SUM('15 Year Pro Forma'!$E$66:PUN$66))</f>
        <v>0</v>
      </c>
      <c r="PUQ66" s="956">
        <f>MIN(PUQ60*$C$65,Application!$AO$636-SUM('15 Year Pro Forma'!$E$66:PUP$66))</f>
        <v>0</v>
      </c>
      <c r="PUS66" s="956">
        <f>MIN(PUS60*$C$65,Application!$AO$636-SUM('15 Year Pro Forma'!$E$66:PUR$66))</f>
        <v>0</v>
      </c>
      <c r="PUU66" s="956">
        <f>MIN(PUU60*$C$65,Application!$AO$636-SUM('15 Year Pro Forma'!$E$66:PUT$66))</f>
        <v>0</v>
      </c>
      <c r="PUW66" s="956">
        <f>MIN(PUW60*$C$65,Application!$AO$636-SUM('15 Year Pro Forma'!$E$66:PUV$66))</f>
        <v>0</v>
      </c>
      <c r="PUY66" s="956">
        <f>MIN(PUY60*$C$65,Application!$AO$636-SUM('15 Year Pro Forma'!$E$66:PUX$66))</f>
        <v>0</v>
      </c>
      <c r="PVA66" s="956">
        <f>MIN(PVA60*$C$65,Application!$AO$636-SUM('15 Year Pro Forma'!$E$66:PUZ$66))</f>
        <v>0</v>
      </c>
      <c r="PVC66" s="956">
        <f>MIN(PVC60*$C$65,Application!$AO$636-SUM('15 Year Pro Forma'!$E$66:PVB$66))</f>
        <v>0</v>
      </c>
      <c r="PVE66" s="956">
        <f>MIN(PVE60*$C$65,Application!$AO$636-SUM('15 Year Pro Forma'!$E$66:PVD$66))</f>
        <v>0</v>
      </c>
      <c r="PVG66" s="956">
        <f>MIN(PVG60*$C$65,Application!$AO$636-SUM('15 Year Pro Forma'!$E$66:PVF$66))</f>
        <v>0</v>
      </c>
      <c r="PVI66" s="956">
        <f>MIN(PVI60*$C$65,Application!$AO$636-SUM('15 Year Pro Forma'!$E$66:PVH$66))</f>
        <v>0</v>
      </c>
      <c r="PVK66" s="956">
        <f>MIN(PVK60*$C$65,Application!$AO$636-SUM('15 Year Pro Forma'!$E$66:PVJ$66))</f>
        <v>0</v>
      </c>
      <c r="PVM66" s="956">
        <f>MIN(PVM60*$C$65,Application!$AO$636-SUM('15 Year Pro Forma'!$E$66:PVL$66))</f>
        <v>0</v>
      </c>
      <c r="PVO66" s="956">
        <f>MIN(PVO60*$C$65,Application!$AO$636-SUM('15 Year Pro Forma'!$E$66:PVN$66))</f>
        <v>0</v>
      </c>
      <c r="PVQ66" s="956">
        <f>MIN(PVQ60*$C$65,Application!$AO$636-SUM('15 Year Pro Forma'!$E$66:PVP$66))</f>
        <v>0</v>
      </c>
      <c r="PVS66" s="956">
        <f>MIN(PVS60*$C$65,Application!$AO$636-SUM('15 Year Pro Forma'!$E$66:PVR$66))</f>
        <v>0</v>
      </c>
      <c r="PVU66" s="956">
        <f>MIN(PVU60*$C$65,Application!$AO$636-SUM('15 Year Pro Forma'!$E$66:PVT$66))</f>
        <v>0</v>
      </c>
      <c r="PVW66" s="956">
        <f>MIN(PVW60*$C$65,Application!$AO$636-SUM('15 Year Pro Forma'!$E$66:PVV$66))</f>
        <v>0</v>
      </c>
      <c r="PVY66" s="956">
        <f>MIN(PVY60*$C$65,Application!$AO$636-SUM('15 Year Pro Forma'!$E$66:PVX$66))</f>
        <v>0</v>
      </c>
      <c r="PWA66" s="956">
        <f>MIN(PWA60*$C$65,Application!$AO$636-SUM('15 Year Pro Forma'!$E$66:PVZ$66))</f>
        <v>0</v>
      </c>
      <c r="PWC66" s="956">
        <f>MIN(PWC60*$C$65,Application!$AO$636-SUM('15 Year Pro Forma'!$E$66:PWB$66))</f>
        <v>0</v>
      </c>
      <c r="PWE66" s="956">
        <f>MIN(PWE60*$C$65,Application!$AO$636-SUM('15 Year Pro Forma'!$E$66:PWD$66))</f>
        <v>0</v>
      </c>
      <c r="PWG66" s="956">
        <f>MIN(PWG60*$C$65,Application!$AO$636-SUM('15 Year Pro Forma'!$E$66:PWF$66))</f>
        <v>0</v>
      </c>
      <c r="PWI66" s="956">
        <f>MIN(PWI60*$C$65,Application!$AO$636-SUM('15 Year Pro Forma'!$E$66:PWH$66))</f>
        <v>0</v>
      </c>
      <c r="PWK66" s="956">
        <f>MIN(PWK60*$C$65,Application!$AO$636-SUM('15 Year Pro Forma'!$E$66:PWJ$66))</f>
        <v>0</v>
      </c>
      <c r="PWM66" s="956">
        <f>MIN(PWM60*$C$65,Application!$AO$636-SUM('15 Year Pro Forma'!$E$66:PWL$66))</f>
        <v>0</v>
      </c>
      <c r="PWO66" s="956">
        <f>MIN(PWO60*$C$65,Application!$AO$636-SUM('15 Year Pro Forma'!$E$66:PWN$66))</f>
        <v>0</v>
      </c>
      <c r="PWQ66" s="956">
        <f>MIN(PWQ60*$C$65,Application!$AO$636-SUM('15 Year Pro Forma'!$E$66:PWP$66))</f>
        <v>0</v>
      </c>
      <c r="PWS66" s="956">
        <f>MIN(PWS60*$C$65,Application!$AO$636-SUM('15 Year Pro Forma'!$E$66:PWR$66))</f>
        <v>0</v>
      </c>
      <c r="PWU66" s="956">
        <f>MIN(PWU60*$C$65,Application!$AO$636-SUM('15 Year Pro Forma'!$E$66:PWT$66))</f>
        <v>0</v>
      </c>
      <c r="PWW66" s="956">
        <f>MIN(PWW60*$C$65,Application!$AO$636-SUM('15 Year Pro Forma'!$E$66:PWV$66))</f>
        <v>0</v>
      </c>
      <c r="PWY66" s="956">
        <f>MIN(PWY60*$C$65,Application!$AO$636-SUM('15 Year Pro Forma'!$E$66:PWX$66))</f>
        <v>0</v>
      </c>
      <c r="PXA66" s="956">
        <f>MIN(PXA60*$C$65,Application!$AO$636-SUM('15 Year Pro Forma'!$E$66:PWZ$66))</f>
        <v>0</v>
      </c>
      <c r="PXC66" s="956">
        <f>MIN(PXC60*$C$65,Application!$AO$636-SUM('15 Year Pro Forma'!$E$66:PXB$66))</f>
        <v>0</v>
      </c>
      <c r="PXE66" s="956">
        <f>MIN(PXE60*$C$65,Application!$AO$636-SUM('15 Year Pro Forma'!$E$66:PXD$66))</f>
        <v>0</v>
      </c>
      <c r="PXG66" s="956">
        <f>MIN(PXG60*$C$65,Application!$AO$636-SUM('15 Year Pro Forma'!$E$66:PXF$66))</f>
        <v>0</v>
      </c>
      <c r="PXI66" s="956">
        <f>MIN(PXI60*$C$65,Application!$AO$636-SUM('15 Year Pro Forma'!$E$66:PXH$66))</f>
        <v>0</v>
      </c>
      <c r="PXK66" s="956">
        <f>MIN(PXK60*$C$65,Application!$AO$636-SUM('15 Year Pro Forma'!$E$66:PXJ$66))</f>
        <v>0</v>
      </c>
      <c r="PXM66" s="956">
        <f>MIN(PXM60*$C$65,Application!$AO$636-SUM('15 Year Pro Forma'!$E$66:PXL$66))</f>
        <v>0</v>
      </c>
      <c r="PXO66" s="956">
        <f>MIN(PXO60*$C$65,Application!$AO$636-SUM('15 Year Pro Forma'!$E$66:PXN$66))</f>
        <v>0</v>
      </c>
      <c r="PXQ66" s="956">
        <f>MIN(PXQ60*$C$65,Application!$AO$636-SUM('15 Year Pro Forma'!$E$66:PXP$66))</f>
        <v>0</v>
      </c>
      <c r="PXS66" s="956">
        <f>MIN(PXS60*$C$65,Application!$AO$636-SUM('15 Year Pro Forma'!$E$66:PXR$66))</f>
        <v>0</v>
      </c>
      <c r="PXU66" s="956">
        <f>MIN(PXU60*$C$65,Application!$AO$636-SUM('15 Year Pro Forma'!$E$66:PXT$66))</f>
        <v>0</v>
      </c>
      <c r="PXW66" s="956">
        <f>MIN(PXW60*$C$65,Application!$AO$636-SUM('15 Year Pro Forma'!$E$66:PXV$66))</f>
        <v>0</v>
      </c>
      <c r="PXY66" s="956">
        <f>MIN(PXY60*$C$65,Application!$AO$636-SUM('15 Year Pro Forma'!$E$66:PXX$66))</f>
        <v>0</v>
      </c>
      <c r="PYA66" s="956">
        <f>MIN(PYA60*$C$65,Application!$AO$636-SUM('15 Year Pro Forma'!$E$66:PXZ$66))</f>
        <v>0</v>
      </c>
      <c r="PYC66" s="956">
        <f>MIN(PYC60*$C$65,Application!$AO$636-SUM('15 Year Pro Forma'!$E$66:PYB$66))</f>
        <v>0</v>
      </c>
      <c r="PYE66" s="956">
        <f>MIN(PYE60*$C$65,Application!$AO$636-SUM('15 Year Pro Forma'!$E$66:PYD$66))</f>
        <v>0</v>
      </c>
      <c r="PYG66" s="956">
        <f>MIN(PYG60*$C$65,Application!$AO$636-SUM('15 Year Pro Forma'!$E$66:PYF$66))</f>
        <v>0</v>
      </c>
      <c r="PYI66" s="956">
        <f>MIN(PYI60*$C$65,Application!$AO$636-SUM('15 Year Pro Forma'!$E$66:PYH$66))</f>
        <v>0</v>
      </c>
      <c r="PYK66" s="956">
        <f>MIN(PYK60*$C$65,Application!$AO$636-SUM('15 Year Pro Forma'!$E$66:PYJ$66))</f>
        <v>0</v>
      </c>
      <c r="PYM66" s="956">
        <f>MIN(PYM60*$C$65,Application!$AO$636-SUM('15 Year Pro Forma'!$E$66:PYL$66))</f>
        <v>0</v>
      </c>
      <c r="PYO66" s="956">
        <f>MIN(PYO60*$C$65,Application!$AO$636-SUM('15 Year Pro Forma'!$E$66:PYN$66))</f>
        <v>0</v>
      </c>
      <c r="PYQ66" s="956">
        <f>MIN(PYQ60*$C$65,Application!$AO$636-SUM('15 Year Pro Forma'!$E$66:PYP$66))</f>
        <v>0</v>
      </c>
      <c r="PYS66" s="956">
        <f>MIN(PYS60*$C$65,Application!$AO$636-SUM('15 Year Pro Forma'!$E$66:PYR$66))</f>
        <v>0</v>
      </c>
      <c r="PYU66" s="956">
        <f>MIN(PYU60*$C$65,Application!$AO$636-SUM('15 Year Pro Forma'!$E$66:PYT$66))</f>
        <v>0</v>
      </c>
      <c r="PYW66" s="956">
        <f>MIN(PYW60*$C$65,Application!$AO$636-SUM('15 Year Pro Forma'!$E$66:PYV$66))</f>
        <v>0</v>
      </c>
      <c r="PYY66" s="956">
        <f>MIN(PYY60*$C$65,Application!$AO$636-SUM('15 Year Pro Forma'!$E$66:PYX$66))</f>
        <v>0</v>
      </c>
      <c r="PZA66" s="956">
        <f>MIN(PZA60*$C$65,Application!$AO$636-SUM('15 Year Pro Forma'!$E$66:PYZ$66))</f>
        <v>0</v>
      </c>
      <c r="PZC66" s="956">
        <f>MIN(PZC60*$C$65,Application!$AO$636-SUM('15 Year Pro Forma'!$E$66:PZB$66))</f>
        <v>0</v>
      </c>
      <c r="PZE66" s="956">
        <f>MIN(PZE60*$C$65,Application!$AO$636-SUM('15 Year Pro Forma'!$E$66:PZD$66))</f>
        <v>0</v>
      </c>
      <c r="PZG66" s="956">
        <f>MIN(PZG60*$C$65,Application!$AO$636-SUM('15 Year Pro Forma'!$E$66:PZF$66))</f>
        <v>0</v>
      </c>
      <c r="PZI66" s="956">
        <f>MIN(PZI60*$C$65,Application!$AO$636-SUM('15 Year Pro Forma'!$E$66:PZH$66))</f>
        <v>0</v>
      </c>
      <c r="PZK66" s="956">
        <f>MIN(PZK60*$C$65,Application!$AO$636-SUM('15 Year Pro Forma'!$E$66:PZJ$66))</f>
        <v>0</v>
      </c>
      <c r="PZM66" s="956">
        <f>MIN(PZM60*$C$65,Application!$AO$636-SUM('15 Year Pro Forma'!$E$66:PZL$66))</f>
        <v>0</v>
      </c>
      <c r="PZO66" s="956">
        <f>MIN(PZO60*$C$65,Application!$AO$636-SUM('15 Year Pro Forma'!$E$66:PZN$66))</f>
        <v>0</v>
      </c>
      <c r="PZQ66" s="956">
        <f>MIN(PZQ60*$C$65,Application!$AO$636-SUM('15 Year Pro Forma'!$E$66:PZP$66))</f>
        <v>0</v>
      </c>
      <c r="PZS66" s="956">
        <f>MIN(PZS60*$C$65,Application!$AO$636-SUM('15 Year Pro Forma'!$E$66:PZR$66))</f>
        <v>0</v>
      </c>
      <c r="PZU66" s="956">
        <f>MIN(PZU60*$C$65,Application!$AO$636-SUM('15 Year Pro Forma'!$E$66:PZT$66))</f>
        <v>0</v>
      </c>
      <c r="PZW66" s="956">
        <f>MIN(PZW60*$C$65,Application!$AO$636-SUM('15 Year Pro Forma'!$E$66:PZV$66))</f>
        <v>0</v>
      </c>
      <c r="PZY66" s="956">
        <f>MIN(PZY60*$C$65,Application!$AO$636-SUM('15 Year Pro Forma'!$E$66:PZX$66))</f>
        <v>0</v>
      </c>
      <c r="QAA66" s="956">
        <f>MIN(QAA60*$C$65,Application!$AO$636-SUM('15 Year Pro Forma'!$E$66:PZZ$66))</f>
        <v>0</v>
      </c>
      <c r="QAC66" s="956">
        <f>MIN(QAC60*$C$65,Application!$AO$636-SUM('15 Year Pro Forma'!$E$66:QAB$66))</f>
        <v>0</v>
      </c>
      <c r="QAE66" s="956">
        <f>MIN(QAE60*$C$65,Application!$AO$636-SUM('15 Year Pro Forma'!$E$66:QAD$66))</f>
        <v>0</v>
      </c>
      <c r="QAG66" s="956">
        <f>MIN(QAG60*$C$65,Application!$AO$636-SUM('15 Year Pro Forma'!$E$66:QAF$66))</f>
        <v>0</v>
      </c>
      <c r="QAI66" s="956">
        <f>MIN(QAI60*$C$65,Application!$AO$636-SUM('15 Year Pro Forma'!$E$66:QAH$66))</f>
        <v>0</v>
      </c>
      <c r="QAK66" s="956">
        <f>MIN(QAK60*$C$65,Application!$AO$636-SUM('15 Year Pro Forma'!$E$66:QAJ$66))</f>
        <v>0</v>
      </c>
      <c r="QAM66" s="956">
        <f>MIN(QAM60*$C$65,Application!$AO$636-SUM('15 Year Pro Forma'!$E$66:QAL$66))</f>
        <v>0</v>
      </c>
      <c r="QAO66" s="956">
        <f>MIN(QAO60*$C$65,Application!$AO$636-SUM('15 Year Pro Forma'!$E$66:QAN$66))</f>
        <v>0</v>
      </c>
      <c r="QAQ66" s="956">
        <f>MIN(QAQ60*$C$65,Application!$AO$636-SUM('15 Year Pro Forma'!$E$66:QAP$66))</f>
        <v>0</v>
      </c>
      <c r="QAS66" s="956">
        <f>MIN(QAS60*$C$65,Application!$AO$636-SUM('15 Year Pro Forma'!$E$66:QAR$66))</f>
        <v>0</v>
      </c>
      <c r="QAU66" s="956">
        <f>MIN(QAU60*$C$65,Application!$AO$636-SUM('15 Year Pro Forma'!$E$66:QAT$66))</f>
        <v>0</v>
      </c>
      <c r="QAW66" s="956">
        <f>MIN(QAW60*$C$65,Application!$AO$636-SUM('15 Year Pro Forma'!$E$66:QAV$66))</f>
        <v>0</v>
      </c>
      <c r="QAY66" s="956">
        <f>MIN(QAY60*$C$65,Application!$AO$636-SUM('15 Year Pro Forma'!$E$66:QAX$66))</f>
        <v>0</v>
      </c>
      <c r="QBA66" s="956">
        <f>MIN(QBA60*$C$65,Application!$AO$636-SUM('15 Year Pro Forma'!$E$66:QAZ$66))</f>
        <v>0</v>
      </c>
      <c r="QBC66" s="956">
        <f>MIN(QBC60*$C$65,Application!$AO$636-SUM('15 Year Pro Forma'!$E$66:QBB$66))</f>
        <v>0</v>
      </c>
      <c r="QBE66" s="956">
        <f>MIN(QBE60*$C$65,Application!$AO$636-SUM('15 Year Pro Forma'!$E$66:QBD$66))</f>
        <v>0</v>
      </c>
      <c r="QBG66" s="956">
        <f>MIN(QBG60*$C$65,Application!$AO$636-SUM('15 Year Pro Forma'!$E$66:QBF$66))</f>
        <v>0</v>
      </c>
      <c r="QBI66" s="956">
        <f>MIN(QBI60*$C$65,Application!$AO$636-SUM('15 Year Pro Forma'!$E$66:QBH$66))</f>
        <v>0</v>
      </c>
      <c r="QBK66" s="956">
        <f>MIN(QBK60*$C$65,Application!$AO$636-SUM('15 Year Pro Forma'!$E$66:QBJ$66))</f>
        <v>0</v>
      </c>
      <c r="QBM66" s="956">
        <f>MIN(QBM60*$C$65,Application!$AO$636-SUM('15 Year Pro Forma'!$E$66:QBL$66))</f>
        <v>0</v>
      </c>
      <c r="QBO66" s="956">
        <f>MIN(QBO60*$C$65,Application!$AO$636-SUM('15 Year Pro Forma'!$E$66:QBN$66))</f>
        <v>0</v>
      </c>
      <c r="QBQ66" s="956">
        <f>MIN(QBQ60*$C$65,Application!$AO$636-SUM('15 Year Pro Forma'!$E$66:QBP$66))</f>
        <v>0</v>
      </c>
      <c r="QBS66" s="956">
        <f>MIN(QBS60*$C$65,Application!$AO$636-SUM('15 Year Pro Forma'!$E$66:QBR$66))</f>
        <v>0</v>
      </c>
      <c r="QBU66" s="956">
        <f>MIN(QBU60*$C$65,Application!$AO$636-SUM('15 Year Pro Forma'!$E$66:QBT$66))</f>
        <v>0</v>
      </c>
      <c r="QBW66" s="956">
        <f>MIN(QBW60*$C$65,Application!$AO$636-SUM('15 Year Pro Forma'!$E$66:QBV$66))</f>
        <v>0</v>
      </c>
      <c r="QBY66" s="956">
        <f>MIN(QBY60*$C$65,Application!$AO$636-SUM('15 Year Pro Forma'!$E$66:QBX$66))</f>
        <v>0</v>
      </c>
      <c r="QCA66" s="956">
        <f>MIN(QCA60*$C$65,Application!$AO$636-SUM('15 Year Pro Forma'!$E$66:QBZ$66))</f>
        <v>0</v>
      </c>
      <c r="QCC66" s="956">
        <f>MIN(QCC60*$C$65,Application!$AO$636-SUM('15 Year Pro Forma'!$E$66:QCB$66))</f>
        <v>0</v>
      </c>
      <c r="QCE66" s="956">
        <f>MIN(QCE60*$C$65,Application!$AO$636-SUM('15 Year Pro Forma'!$E$66:QCD$66))</f>
        <v>0</v>
      </c>
      <c r="QCG66" s="956">
        <f>MIN(QCG60*$C$65,Application!$AO$636-SUM('15 Year Pro Forma'!$E$66:QCF$66))</f>
        <v>0</v>
      </c>
      <c r="QCI66" s="956">
        <f>MIN(QCI60*$C$65,Application!$AO$636-SUM('15 Year Pro Forma'!$E$66:QCH$66))</f>
        <v>0</v>
      </c>
      <c r="QCK66" s="956">
        <f>MIN(QCK60*$C$65,Application!$AO$636-SUM('15 Year Pro Forma'!$E$66:QCJ$66))</f>
        <v>0</v>
      </c>
      <c r="QCM66" s="956">
        <f>MIN(QCM60*$C$65,Application!$AO$636-SUM('15 Year Pro Forma'!$E$66:QCL$66))</f>
        <v>0</v>
      </c>
      <c r="QCO66" s="956">
        <f>MIN(QCO60*$C$65,Application!$AO$636-SUM('15 Year Pro Forma'!$E$66:QCN$66))</f>
        <v>0</v>
      </c>
      <c r="QCQ66" s="956">
        <f>MIN(QCQ60*$C$65,Application!$AO$636-SUM('15 Year Pro Forma'!$E$66:QCP$66))</f>
        <v>0</v>
      </c>
      <c r="QCS66" s="956">
        <f>MIN(QCS60*$C$65,Application!$AO$636-SUM('15 Year Pro Forma'!$E$66:QCR$66))</f>
        <v>0</v>
      </c>
      <c r="QCU66" s="956">
        <f>MIN(QCU60*$C$65,Application!$AO$636-SUM('15 Year Pro Forma'!$E$66:QCT$66))</f>
        <v>0</v>
      </c>
      <c r="QCW66" s="956">
        <f>MIN(QCW60*$C$65,Application!$AO$636-SUM('15 Year Pro Forma'!$E$66:QCV$66))</f>
        <v>0</v>
      </c>
      <c r="QCY66" s="956">
        <f>MIN(QCY60*$C$65,Application!$AO$636-SUM('15 Year Pro Forma'!$E$66:QCX$66))</f>
        <v>0</v>
      </c>
      <c r="QDA66" s="956">
        <f>MIN(QDA60*$C$65,Application!$AO$636-SUM('15 Year Pro Forma'!$E$66:QCZ$66))</f>
        <v>0</v>
      </c>
      <c r="QDC66" s="956">
        <f>MIN(QDC60*$C$65,Application!$AO$636-SUM('15 Year Pro Forma'!$E$66:QDB$66))</f>
        <v>0</v>
      </c>
      <c r="QDE66" s="956">
        <f>MIN(QDE60*$C$65,Application!$AO$636-SUM('15 Year Pro Forma'!$E$66:QDD$66))</f>
        <v>0</v>
      </c>
      <c r="QDG66" s="956">
        <f>MIN(QDG60*$C$65,Application!$AO$636-SUM('15 Year Pro Forma'!$E$66:QDF$66))</f>
        <v>0</v>
      </c>
      <c r="QDI66" s="956">
        <f>MIN(QDI60*$C$65,Application!$AO$636-SUM('15 Year Pro Forma'!$E$66:QDH$66))</f>
        <v>0</v>
      </c>
      <c r="QDK66" s="956">
        <f>MIN(QDK60*$C$65,Application!$AO$636-SUM('15 Year Pro Forma'!$E$66:QDJ$66))</f>
        <v>0</v>
      </c>
      <c r="QDM66" s="956">
        <f>MIN(QDM60*$C$65,Application!$AO$636-SUM('15 Year Pro Forma'!$E$66:QDL$66))</f>
        <v>0</v>
      </c>
      <c r="QDO66" s="956">
        <f>MIN(QDO60*$C$65,Application!$AO$636-SUM('15 Year Pro Forma'!$E$66:QDN$66))</f>
        <v>0</v>
      </c>
      <c r="QDQ66" s="956">
        <f>MIN(QDQ60*$C$65,Application!$AO$636-SUM('15 Year Pro Forma'!$E$66:QDP$66))</f>
        <v>0</v>
      </c>
      <c r="QDS66" s="956">
        <f>MIN(QDS60*$C$65,Application!$AO$636-SUM('15 Year Pro Forma'!$E$66:QDR$66))</f>
        <v>0</v>
      </c>
      <c r="QDU66" s="956">
        <f>MIN(QDU60*$C$65,Application!$AO$636-SUM('15 Year Pro Forma'!$E$66:QDT$66))</f>
        <v>0</v>
      </c>
      <c r="QDW66" s="956">
        <f>MIN(QDW60*$C$65,Application!$AO$636-SUM('15 Year Pro Forma'!$E$66:QDV$66))</f>
        <v>0</v>
      </c>
      <c r="QDY66" s="956">
        <f>MIN(QDY60*$C$65,Application!$AO$636-SUM('15 Year Pro Forma'!$E$66:QDX$66))</f>
        <v>0</v>
      </c>
      <c r="QEA66" s="956">
        <f>MIN(QEA60*$C$65,Application!$AO$636-SUM('15 Year Pro Forma'!$E$66:QDZ$66))</f>
        <v>0</v>
      </c>
      <c r="QEC66" s="956">
        <f>MIN(QEC60*$C$65,Application!$AO$636-SUM('15 Year Pro Forma'!$E$66:QEB$66))</f>
        <v>0</v>
      </c>
      <c r="QEE66" s="956">
        <f>MIN(QEE60*$C$65,Application!$AO$636-SUM('15 Year Pro Forma'!$E$66:QED$66))</f>
        <v>0</v>
      </c>
      <c r="QEG66" s="956">
        <f>MIN(QEG60*$C$65,Application!$AO$636-SUM('15 Year Pro Forma'!$E$66:QEF$66))</f>
        <v>0</v>
      </c>
      <c r="QEI66" s="956">
        <f>MIN(QEI60*$C$65,Application!$AO$636-SUM('15 Year Pro Forma'!$E$66:QEH$66))</f>
        <v>0</v>
      </c>
      <c r="QEK66" s="956">
        <f>MIN(QEK60*$C$65,Application!$AO$636-SUM('15 Year Pro Forma'!$E$66:QEJ$66))</f>
        <v>0</v>
      </c>
      <c r="QEM66" s="956">
        <f>MIN(QEM60*$C$65,Application!$AO$636-SUM('15 Year Pro Forma'!$E$66:QEL$66))</f>
        <v>0</v>
      </c>
      <c r="QEO66" s="956">
        <f>MIN(QEO60*$C$65,Application!$AO$636-SUM('15 Year Pro Forma'!$E$66:QEN$66))</f>
        <v>0</v>
      </c>
      <c r="QEQ66" s="956">
        <f>MIN(QEQ60*$C$65,Application!$AO$636-SUM('15 Year Pro Forma'!$E$66:QEP$66))</f>
        <v>0</v>
      </c>
      <c r="QES66" s="956">
        <f>MIN(QES60*$C$65,Application!$AO$636-SUM('15 Year Pro Forma'!$E$66:QER$66))</f>
        <v>0</v>
      </c>
      <c r="QEU66" s="956">
        <f>MIN(QEU60*$C$65,Application!$AO$636-SUM('15 Year Pro Forma'!$E$66:QET$66))</f>
        <v>0</v>
      </c>
      <c r="QEW66" s="956">
        <f>MIN(QEW60*$C$65,Application!$AO$636-SUM('15 Year Pro Forma'!$E$66:QEV$66))</f>
        <v>0</v>
      </c>
      <c r="QEY66" s="956">
        <f>MIN(QEY60*$C$65,Application!$AO$636-SUM('15 Year Pro Forma'!$E$66:QEX$66))</f>
        <v>0</v>
      </c>
      <c r="QFA66" s="956">
        <f>MIN(QFA60*$C$65,Application!$AO$636-SUM('15 Year Pro Forma'!$E$66:QEZ$66))</f>
        <v>0</v>
      </c>
      <c r="QFC66" s="956">
        <f>MIN(QFC60*$C$65,Application!$AO$636-SUM('15 Year Pro Forma'!$E$66:QFB$66))</f>
        <v>0</v>
      </c>
      <c r="QFE66" s="956">
        <f>MIN(QFE60*$C$65,Application!$AO$636-SUM('15 Year Pro Forma'!$E$66:QFD$66))</f>
        <v>0</v>
      </c>
      <c r="QFG66" s="956">
        <f>MIN(QFG60*$C$65,Application!$AO$636-SUM('15 Year Pro Forma'!$E$66:QFF$66))</f>
        <v>0</v>
      </c>
      <c r="QFI66" s="956">
        <f>MIN(QFI60*$C$65,Application!$AO$636-SUM('15 Year Pro Forma'!$E$66:QFH$66))</f>
        <v>0</v>
      </c>
      <c r="QFK66" s="956">
        <f>MIN(QFK60*$C$65,Application!$AO$636-SUM('15 Year Pro Forma'!$E$66:QFJ$66))</f>
        <v>0</v>
      </c>
      <c r="QFM66" s="956">
        <f>MIN(QFM60*$C$65,Application!$AO$636-SUM('15 Year Pro Forma'!$E$66:QFL$66))</f>
        <v>0</v>
      </c>
      <c r="QFO66" s="956">
        <f>MIN(QFO60*$C$65,Application!$AO$636-SUM('15 Year Pro Forma'!$E$66:QFN$66))</f>
        <v>0</v>
      </c>
      <c r="QFQ66" s="956">
        <f>MIN(QFQ60*$C$65,Application!$AO$636-SUM('15 Year Pro Forma'!$E$66:QFP$66))</f>
        <v>0</v>
      </c>
      <c r="QFS66" s="956">
        <f>MIN(QFS60*$C$65,Application!$AO$636-SUM('15 Year Pro Forma'!$E$66:QFR$66))</f>
        <v>0</v>
      </c>
      <c r="QFU66" s="956">
        <f>MIN(QFU60*$C$65,Application!$AO$636-SUM('15 Year Pro Forma'!$E$66:QFT$66))</f>
        <v>0</v>
      </c>
      <c r="QFW66" s="956">
        <f>MIN(QFW60*$C$65,Application!$AO$636-SUM('15 Year Pro Forma'!$E$66:QFV$66))</f>
        <v>0</v>
      </c>
      <c r="QFY66" s="956">
        <f>MIN(QFY60*$C$65,Application!$AO$636-SUM('15 Year Pro Forma'!$E$66:QFX$66))</f>
        <v>0</v>
      </c>
      <c r="QGA66" s="956">
        <f>MIN(QGA60*$C$65,Application!$AO$636-SUM('15 Year Pro Forma'!$E$66:QFZ$66))</f>
        <v>0</v>
      </c>
      <c r="QGC66" s="956">
        <f>MIN(QGC60*$C$65,Application!$AO$636-SUM('15 Year Pro Forma'!$E$66:QGB$66))</f>
        <v>0</v>
      </c>
      <c r="QGE66" s="956">
        <f>MIN(QGE60*$C$65,Application!$AO$636-SUM('15 Year Pro Forma'!$E$66:QGD$66))</f>
        <v>0</v>
      </c>
      <c r="QGG66" s="956">
        <f>MIN(QGG60*$C$65,Application!$AO$636-SUM('15 Year Pro Forma'!$E$66:QGF$66))</f>
        <v>0</v>
      </c>
      <c r="QGI66" s="956">
        <f>MIN(QGI60*$C$65,Application!$AO$636-SUM('15 Year Pro Forma'!$E$66:QGH$66))</f>
        <v>0</v>
      </c>
      <c r="QGK66" s="956">
        <f>MIN(QGK60*$C$65,Application!$AO$636-SUM('15 Year Pro Forma'!$E$66:QGJ$66))</f>
        <v>0</v>
      </c>
      <c r="QGM66" s="956">
        <f>MIN(QGM60*$C$65,Application!$AO$636-SUM('15 Year Pro Forma'!$E$66:QGL$66))</f>
        <v>0</v>
      </c>
      <c r="QGO66" s="956">
        <f>MIN(QGO60*$C$65,Application!$AO$636-SUM('15 Year Pro Forma'!$E$66:QGN$66))</f>
        <v>0</v>
      </c>
      <c r="QGQ66" s="956">
        <f>MIN(QGQ60*$C$65,Application!$AO$636-SUM('15 Year Pro Forma'!$E$66:QGP$66))</f>
        <v>0</v>
      </c>
      <c r="QGS66" s="956">
        <f>MIN(QGS60*$C$65,Application!$AO$636-SUM('15 Year Pro Forma'!$E$66:QGR$66))</f>
        <v>0</v>
      </c>
      <c r="QGU66" s="956">
        <f>MIN(QGU60*$C$65,Application!$AO$636-SUM('15 Year Pro Forma'!$E$66:QGT$66))</f>
        <v>0</v>
      </c>
      <c r="QGW66" s="956">
        <f>MIN(QGW60*$C$65,Application!$AO$636-SUM('15 Year Pro Forma'!$E$66:QGV$66))</f>
        <v>0</v>
      </c>
      <c r="QGY66" s="956">
        <f>MIN(QGY60*$C$65,Application!$AO$636-SUM('15 Year Pro Forma'!$E$66:QGX$66))</f>
        <v>0</v>
      </c>
      <c r="QHA66" s="956">
        <f>MIN(QHA60*$C$65,Application!$AO$636-SUM('15 Year Pro Forma'!$E$66:QGZ$66))</f>
        <v>0</v>
      </c>
      <c r="QHC66" s="956">
        <f>MIN(QHC60*$C$65,Application!$AO$636-SUM('15 Year Pro Forma'!$E$66:QHB$66))</f>
        <v>0</v>
      </c>
      <c r="QHE66" s="956">
        <f>MIN(QHE60*$C$65,Application!$AO$636-SUM('15 Year Pro Forma'!$E$66:QHD$66))</f>
        <v>0</v>
      </c>
      <c r="QHG66" s="956">
        <f>MIN(QHG60*$C$65,Application!$AO$636-SUM('15 Year Pro Forma'!$E$66:QHF$66))</f>
        <v>0</v>
      </c>
      <c r="QHI66" s="956">
        <f>MIN(QHI60*$C$65,Application!$AO$636-SUM('15 Year Pro Forma'!$E$66:QHH$66))</f>
        <v>0</v>
      </c>
      <c r="QHK66" s="956">
        <f>MIN(QHK60*$C$65,Application!$AO$636-SUM('15 Year Pro Forma'!$E$66:QHJ$66))</f>
        <v>0</v>
      </c>
      <c r="QHM66" s="956">
        <f>MIN(QHM60*$C$65,Application!$AO$636-SUM('15 Year Pro Forma'!$E$66:QHL$66))</f>
        <v>0</v>
      </c>
      <c r="QHO66" s="956">
        <f>MIN(QHO60*$C$65,Application!$AO$636-SUM('15 Year Pro Forma'!$E$66:QHN$66))</f>
        <v>0</v>
      </c>
      <c r="QHQ66" s="956">
        <f>MIN(QHQ60*$C$65,Application!$AO$636-SUM('15 Year Pro Forma'!$E$66:QHP$66))</f>
        <v>0</v>
      </c>
      <c r="QHS66" s="956">
        <f>MIN(QHS60*$C$65,Application!$AO$636-SUM('15 Year Pro Forma'!$E$66:QHR$66))</f>
        <v>0</v>
      </c>
      <c r="QHU66" s="956">
        <f>MIN(QHU60*$C$65,Application!$AO$636-SUM('15 Year Pro Forma'!$E$66:QHT$66))</f>
        <v>0</v>
      </c>
      <c r="QHW66" s="956">
        <f>MIN(QHW60*$C$65,Application!$AO$636-SUM('15 Year Pro Forma'!$E$66:QHV$66))</f>
        <v>0</v>
      </c>
      <c r="QHY66" s="956">
        <f>MIN(QHY60*$C$65,Application!$AO$636-SUM('15 Year Pro Forma'!$E$66:QHX$66))</f>
        <v>0</v>
      </c>
      <c r="QIA66" s="956">
        <f>MIN(QIA60*$C$65,Application!$AO$636-SUM('15 Year Pro Forma'!$E$66:QHZ$66))</f>
        <v>0</v>
      </c>
      <c r="QIC66" s="956">
        <f>MIN(QIC60*$C$65,Application!$AO$636-SUM('15 Year Pro Forma'!$E$66:QIB$66))</f>
        <v>0</v>
      </c>
      <c r="QIE66" s="956">
        <f>MIN(QIE60*$C$65,Application!$AO$636-SUM('15 Year Pro Forma'!$E$66:QID$66))</f>
        <v>0</v>
      </c>
      <c r="QIG66" s="956">
        <f>MIN(QIG60*$C$65,Application!$AO$636-SUM('15 Year Pro Forma'!$E$66:QIF$66))</f>
        <v>0</v>
      </c>
      <c r="QII66" s="956">
        <f>MIN(QII60*$C$65,Application!$AO$636-SUM('15 Year Pro Forma'!$E$66:QIH$66))</f>
        <v>0</v>
      </c>
      <c r="QIK66" s="956">
        <f>MIN(QIK60*$C$65,Application!$AO$636-SUM('15 Year Pro Forma'!$E$66:QIJ$66))</f>
        <v>0</v>
      </c>
      <c r="QIM66" s="956">
        <f>MIN(QIM60*$C$65,Application!$AO$636-SUM('15 Year Pro Forma'!$E$66:QIL$66))</f>
        <v>0</v>
      </c>
      <c r="QIO66" s="956">
        <f>MIN(QIO60*$C$65,Application!$AO$636-SUM('15 Year Pro Forma'!$E$66:QIN$66))</f>
        <v>0</v>
      </c>
      <c r="QIQ66" s="956">
        <f>MIN(QIQ60*$C$65,Application!$AO$636-SUM('15 Year Pro Forma'!$E$66:QIP$66))</f>
        <v>0</v>
      </c>
      <c r="QIS66" s="956">
        <f>MIN(QIS60*$C$65,Application!$AO$636-SUM('15 Year Pro Forma'!$E$66:QIR$66))</f>
        <v>0</v>
      </c>
      <c r="QIU66" s="956">
        <f>MIN(QIU60*$C$65,Application!$AO$636-SUM('15 Year Pro Forma'!$E$66:QIT$66))</f>
        <v>0</v>
      </c>
      <c r="QIW66" s="956">
        <f>MIN(QIW60*$C$65,Application!$AO$636-SUM('15 Year Pro Forma'!$E$66:QIV$66))</f>
        <v>0</v>
      </c>
      <c r="QIY66" s="956">
        <f>MIN(QIY60*$C$65,Application!$AO$636-SUM('15 Year Pro Forma'!$E$66:QIX$66))</f>
        <v>0</v>
      </c>
      <c r="QJA66" s="956">
        <f>MIN(QJA60*$C$65,Application!$AO$636-SUM('15 Year Pro Forma'!$E$66:QIZ$66))</f>
        <v>0</v>
      </c>
      <c r="QJC66" s="956">
        <f>MIN(QJC60*$C$65,Application!$AO$636-SUM('15 Year Pro Forma'!$E$66:QJB$66))</f>
        <v>0</v>
      </c>
      <c r="QJE66" s="956">
        <f>MIN(QJE60*$C$65,Application!$AO$636-SUM('15 Year Pro Forma'!$E$66:QJD$66))</f>
        <v>0</v>
      </c>
      <c r="QJG66" s="956">
        <f>MIN(QJG60*$C$65,Application!$AO$636-SUM('15 Year Pro Forma'!$E$66:QJF$66))</f>
        <v>0</v>
      </c>
      <c r="QJI66" s="956">
        <f>MIN(QJI60*$C$65,Application!$AO$636-SUM('15 Year Pro Forma'!$E$66:QJH$66))</f>
        <v>0</v>
      </c>
      <c r="QJK66" s="956">
        <f>MIN(QJK60*$C$65,Application!$AO$636-SUM('15 Year Pro Forma'!$E$66:QJJ$66))</f>
        <v>0</v>
      </c>
      <c r="QJM66" s="956">
        <f>MIN(QJM60*$C$65,Application!$AO$636-SUM('15 Year Pro Forma'!$E$66:QJL$66))</f>
        <v>0</v>
      </c>
      <c r="QJO66" s="956">
        <f>MIN(QJO60*$C$65,Application!$AO$636-SUM('15 Year Pro Forma'!$E$66:QJN$66))</f>
        <v>0</v>
      </c>
      <c r="QJQ66" s="956">
        <f>MIN(QJQ60*$C$65,Application!$AO$636-SUM('15 Year Pro Forma'!$E$66:QJP$66))</f>
        <v>0</v>
      </c>
      <c r="QJS66" s="956">
        <f>MIN(QJS60*$C$65,Application!$AO$636-SUM('15 Year Pro Forma'!$E$66:QJR$66))</f>
        <v>0</v>
      </c>
      <c r="QJU66" s="956">
        <f>MIN(QJU60*$C$65,Application!$AO$636-SUM('15 Year Pro Forma'!$E$66:QJT$66))</f>
        <v>0</v>
      </c>
      <c r="QJW66" s="956">
        <f>MIN(QJW60*$C$65,Application!$AO$636-SUM('15 Year Pro Forma'!$E$66:QJV$66))</f>
        <v>0</v>
      </c>
      <c r="QJY66" s="956">
        <f>MIN(QJY60*$C$65,Application!$AO$636-SUM('15 Year Pro Forma'!$E$66:QJX$66))</f>
        <v>0</v>
      </c>
      <c r="QKA66" s="956">
        <f>MIN(QKA60*$C$65,Application!$AO$636-SUM('15 Year Pro Forma'!$E$66:QJZ$66))</f>
        <v>0</v>
      </c>
      <c r="QKC66" s="956">
        <f>MIN(QKC60*$C$65,Application!$AO$636-SUM('15 Year Pro Forma'!$E$66:QKB$66))</f>
        <v>0</v>
      </c>
      <c r="QKE66" s="956">
        <f>MIN(QKE60*$C$65,Application!$AO$636-SUM('15 Year Pro Forma'!$E$66:QKD$66))</f>
        <v>0</v>
      </c>
      <c r="QKG66" s="956">
        <f>MIN(QKG60*$C$65,Application!$AO$636-SUM('15 Year Pro Forma'!$E$66:QKF$66))</f>
        <v>0</v>
      </c>
      <c r="QKI66" s="956">
        <f>MIN(QKI60*$C$65,Application!$AO$636-SUM('15 Year Pro Forma'!$E$66:QKH$66))</f>
        <v>0</v>
      </c>
      <c r="QKK66" s="956">
        <f>MIN(QKK60*$C$65,Application!$AO$636-SUM('15 Year Pro Forma'!$E$66:QKJ$66))</f>
        <v>0</v>
      </c>
      <c r="QKM66" s="956">
        <f>MIN(QKM60*$C$65,Application!$AO$636-SUM('15 Year Pro Forma'!$E$66:QKL$66))</f>
        <v>0</v>
      </c>
      <c r="QKO66" s="956">
        <f>MIN(QKO60*$C$65,Application!$AO$636-SUM('15 Year Pro Forma'!$E$66:QKN$66))</f>
        <v>0</v>
      </c>
      <c r="QKQ66" s="956">
        <f>MIN(QKQ60*$C$65,Application!$AO$636-SUM('15 Year Pro Forma'!$E$66:QKP$66))</f>
        <v>0</v>
      </c>
      <c r="QKS66" s="956">
        <f>MIN(QKS60*$C$65,Application!$AO$636-SUM('15 Year Pro Forma'!$E$66:QKR$66))</f>
        <v>0</v>
      </c>
      <c r="QKU66" s="956">
        <f>MIN(QKU60*$C$65,Application!$AO$636-SUM('15 Year Pro Forma'!$E$66:QKT$66))</f>
        <v>0</v>
      </c>
      <c r="QKW66" s="956">
        <f>MIN(QKW60*$C$65,Application!$AO$636-SUM('15 Year Pro Forma'!$E$66:QKV$66))</f>
        <v>0</v>
      </c>
      <c r="QKY66" s="956">
        <f>MIN(QKY60*$C$65,Application!$AO$636-SUM('15 Year Pro Forma'!$E$66:QKX$66))</f>
        <v>0</v>
      </c>
      <c r="QLA66" s="956">
        <f>MIN(QLA60*$C$65,Application!$AO$636-SUM('15 Year Pro Forma'!$E$66:QKZ$66))</f>
        <v>0</v>
      </c>
      <c r="QLC66" s="956">
        <f>MIN(QLC60*$C$65,Application!$AO$636-SUM('15 Year Pro Forma'!$E$66:QLB$66))</f>
        <v>0</v>
      </c>
      <c r="QLE66" s="956">
        <f>MIN(QLE60*$C$65,Application!$AO$636-SUM('15 Year Pro Forma'!$E$66:QLD$66))</f>
        <v>0</v>
      </c>
      <c r="QLG66" s="956">
        <f>MIN(QLG60*$C$65,Application!$AO$636-SUM('15 Year Pro Forma'!$E$66:QLF$66))</f>
        <v>0</v>
      </c>
      <c r="QLI66" s="956">
        <f>MIN(QLI60*$C$65,Application!$AO$636-SUM('15 Year Pro Forma'!$E$66:QLH$66))</f>
        <v>0</v>
      </c>
      <c r="QLK66" s="956">
        <f>MIN(QLK60*$C$65,Application!$AO$636-SUM('15 Year Pro Forma'!$E$66:QLJ$66))</f>
        <v>0</v>
      </c>
      <c r="QLM66" s="956">
        <f>MIN(QLM60*$C$65,Application!$AO$636-SUM('15 Year Pro Forma'!$E$66:QLL$66))</f>
        <v>0</v>
      </c>
      <c r="QLO66" s="956">
        <f>MIN(QLO60*$C$65,Application!$AO$636-SUM('15 Year Pro Forma'!$E$66:QLN$66))</f>
        <v>0</v>
      </c>
      <c r="QLQ66" s="956">
        <f>MIN(QLQ60*$C$65,Application!$AO$636-SUM('15 Year Pro Forma'!$E$66:QLP$66))</f>
        <v>0</v>
      </c>
      <c r="QLS66" s="956">
        <f>MIN(QLS60*$C$65,Application!$AO$636-SUM('15 Year Pro Forma'!$E$66:QLR$66))</f>
        <v>0</v>
      </c>
      <c r="QLU66" s="956">
        <f>MIN(QLU60*$C$65,Application!$AO$636-SUM('15 Year Pro Forma'!$E$66:QLT$66))</f>
        <v>0</v>
      </c>
      <c r="QLW66" s="956">
        <f>MIN(QLW60*$C$65,Application!$AO$636-SUM('15 Year Pro Forma'!$E$66:QLV$66))</f>
        <v>0</v>
      </c>
      <c r="QLY66" s="956">
        <f>MIN(QLY60*$C$65,Application!$AO$636-SUM('15 Year Pro Forma'!$E$66:QLX$66))</f>
        <v>0</v>
      </c>
      <c r="QMA66" s="956">
        <f>MIN(QMA60*$C$65,Application!$AO$636-SUM('15 Year Pro Forma'!$E$66:QLZ$66))</f>
        <v>0</v>
      </c>
      <c r="QMC66" s="956">
        <f>MIN(QMC60*$C$65,Application!$AO$636-SUM('15 Year Pro Forma'!$E$66:QMB$66))</f>
        <v>0</v>
      </c>
      <c r="QME66" s="956">
        <f>MIN(QME60*$C$65,Application!$AO$636-SUM('15 Year Pro Forma'!$E$66:QMD$66))</f>
        <v>0</v>
      </c>
      <c r="QMG66" s="956">
        <f>MIN(QMG60*$C$65,Application!$AO$636-SUM('15 Year Pro Forma'!$E$66:QMF$66))</f>
        <v>0</v>
      </c>
      <c r="QMI66" s="956">
        <f>MIN(QMI60*$C$65,Application!$AO$636-SUM('15 Year Pro Forma'!$E$66:QMH$66))</f>
        <v>0</v>
      </c>
      <c r="QMK66" s="956">
        <f>MIN(QMK60*$C$65,Application!$AO$636-SUM('15 Year Pro Forma'!$E$66:QMJ$66))</f>
        <v>0</v>
      </c>
      <c r="QMM66" s="956">
        <f>MIN(QMM60*$C$65,Application!$AO$636-SUM('15 Year Pro Forma'!$E$66:QML$66))</f>
        <v>0</v>
      </c>
      <c r="QMO66" s="956">
        <f>MIN(QMO60*$C$65,Application!$AO$636-SUM('15 Year Pro Forma'!$E$66:QMN$66))</f>
        <v>0</v>
      </c>
      <c r="QMQ66" s="956">
        <f>MIN(QMQ60*$C$65,Application!$AO$636-SUM('15 Year Pro Forma'!$E$66:QMP$66))</f>
        <v>0</v>
      </c>
      <c r="QMS66" s="956">
        <f>MIN(QMS60*$C$65,Application!$AO$636-SUM('15 Year Pro Forma'!$E$66:QMR$66))</f>
        <v>0</v>
      </c>
      <c r="QMU66" s="956">
        <f>MIN(QMU60*$C$65,Application!$AO$636-SUM('15 Year Pro Forma'!$E$66:QMT$66))</f>
        <v>0</v>
      </c>
      <c r="QMW66" s="956">
        <f>MIN(QMW60*$C$65,Application!$AO$636-SUM('15 Year Pro Forma'!$E$66:QMV$66))</f>
        <v>0</v>
      </c>
      <c r="QMY66" s="956">
        <f>MIN(QMY60*$C$65,Application!$AO$636-SUM('15 Year Pro Forma'!$E$66:QMX$66))</f>
        <v>0</v>
      </c>
      <c r="QNA66" s="956">
        <f>MIN(QNA60*$C$65,Application!$AO$636-SUM('15 Year Pro Forma'!$E$66:QMZ$66))</f>
        <v>0</v>
      </c>
      <c r="QNC66" s="956">
        <f>MIN(QNC60*$C$65,Application!$AO$636-SUM('15 Year Pro Forma'!$E$66:QNB$66))</f>
        <v>0</v>
      </c>
      <c r="QNE66" s="956">
        <f>MIN(QNE60*$C$65,Application!$AO$636-SUM('15 Year Pro Forma'!$E$66:QND$66))</f>
        <v>0</v>
      </c>
      <c r="QNG66" s="956">
        <f>MIN(QNG60*$C$65,Application!$AO$636-SUM('15 Year Pro Forma'!$E$66:QNF$66))</f>
        <v>0</v>
      </c>
      <c r="QNI66" s="956">
        <f>MIN(QNI60*$C$65,Application!$AO$636-SUM('15 Year Pro Forma'!$E$66:QNH$66))</f>
        <v>0</v>
      </c>
      <c r="QNK66" s="956">
        <f>MIN(QNK60*$C$65,Application!$AO$636-SUM('15 Year Pro Forma'!$E$66:QNJ$66))</f>
        <v>0</v>
      </c>
      <c r="QNM66" s="956">
        <f>MIN(QNM60*$C$65,Application!$AO$636-SUM('15 Year Pro Forma'!$E$66:QNL$66))</f>
        <v>0</v>
      </c>
      <c r="QNO66" s="956">
        <f>MIN(QNO60*$C$65,Application!$AO$636-SUM('15 Year Pro Forma'!$E$66:QNN$66))</f>
        <v>0</v>
      </c>
      <c r="QNQ66" s="956">
        <f>MIN(QNQ60*$C$65,Application!$AO$636-SUM('15 Year Pro Forma'!$E$66:QNP$66))</f>
        <v>0</v>
      </c>
      <c r="QNS66" s="956">
        <f>MIN(QNS60*$C$65,Application!$AO$636-SUM('15 Year Pro Forma'!$E$66:QNR$66))</f>
        <v>0</v>
      </c>
      <c r="QNU66" s="956">
        <f>MIN(QNU60*$C$65,Application!$AO$636-SUM('15 Year Pro Forma'!$E$66:QNT$66))</f>
        <v>0</v>
      </c>
      <c r="QNW66" s="956">
        <f>MIN(QNW60*$C$65,Application!$AO$636-SUM('15 Year Pro Forma'!$E$66:QNV$66))</f>
        <v>0</v>
      </c>
      <c r="QNY66" s="956">
        <f>MIN(QNY60*$C$65,Application!$AO$636-SUM('15 Year Pro Forma'!$E$66:QNX$66))</f>
        <v>0</v>
      </c>
      <c r="QOA66" s="956">
        <f>MIN(QOA60*$C$65,Application!$AO$636-SUM('15 Year Pro Forma'!$E$66:QNZ$66))</f>
        <v>0</v>
      </c>
      <c r="QOC66" s="956">
        <f>MIN(QOC60*$C$65,Application!$AO$636-SUM('15 Year Pro Forma'!$E$66:QOB$66))</f>
        <v>0</v>
      </c>
      <c r="QOE66" s="956">
        <f>MIN(QOE60*$C$65,Application!$AO$636-SUM('15 Year Pro Forma'!$E$66:QOD$66))</f>
        <v>0</v>
      </c>
      <c r="QOG66" s="956">
        <f>MIN(QOG60*$C$65,Application!$AO$636-SUM('15 Year Pro Forma'!$E$66:QOF$66))</f>
        <v>0</v>
      </c>
      <c r="QOI66" s="956">
        <f>MIN(QOI60*$C$65,Application!$AO$636-SUM('15 Year Pro Forma'!$E$66:QOH$66))</f>
        <v>0</v>
      </c>
      <c r="QOK66" s="956">
        <f>MIN(QOK60*$C$65,Application!$AO$636-SUM('15 Year Pro Forma'!$E$66:QOJ$66))</f>
        <v>0</v>
      </c>
      <c r="QOM66" s="956">
        <f>MIN(QOM60*$C$65,Application!$AO$636-SUM('15 Year Pro Forma'!$E$66:QOL$66))</f>
        <v>0</v>
      </c>
      <c r="QOO66" s="956">
        <f>MIN(QOO60*$C$65,Application!$AO$636-SUM('15 Year Pro Forma'!$E$66:QON$66))</f>
        <v>0</v>
      </c>
      <c r="QOQ66" s="956">
        <f>MIN(QOQ60*$C$65,Application!$AO$636-SUM('15 Year Pro Forma'!$E$66:QOP$66))</f>
        <v>0</v>
      </c>
      <c r="QOS66" s="956">
        <f>MIN(QOS60*$C$65,Application!$AO$636-SUM('15 Year Pro Forma'!$E$66:QOR$66))</f>
        <v>0</v>
      </c>
      <c r="QOU66" s="956">
        <f>MIN(QOU60*$C$65,Application!$AO$636-SUM('15 Year Pro Forma'!$E$66:QOT$66))</f>
        <v>0</v>
      </c>
      <c r="QOW66" s="956">
        <f>MIN(QOW60*$C$65,Application!$AO$636-SUM('15 Year Pro Forma'!$E$66:QOV$66))</f>
        <v>0</v>
      </c>
      <c r="QOY66" s="956">
        <f>MIN(QOY60*$C$65,Application!$AO$636-SUM('15 Year Pro Forma'!$E$66:QOX$66))</f>
        <v>0</v>
      </c>
      <c r="QPA66" s="956">
        <f>MIN(QPA60*$C$65,Application!$AO$636-SUM('15 Year Pro Forma'!$E$66:QOZ$66))</f>
        <v>0</v>
      </c>
      <c r="QPC66" s="956">
        <f>MIN(QPC60*$C$65,Application!$AO$636-SUM('15 Year Pro Forma'!$E$66:QPB$66))</f>
        <v>0</v>
      </c>
      <c r="QPE66" s="956">
        <f>MIN(QPE60*$C$65,Application!$AO$636-SUM('15 Year Pro Forma'!$E$66:QPD$66))</f>
        <v>0</v>
      </c>
      <c r="QPG66" s="956">
        <f>MIN(QPG60*$C$65,Application!$AO$636-SUM('15 Year Pro Forma'!$E$66:QPF$66))</f>
        <v>0</v>
      </c>
      <c r="QPI66" s="956">
        <f>MIN(QPI60*$C$65,Application!$AO$636-SUM('15 Year Pro Forma'!$E$66:QPH$66))</f>
        <v>0</v>
      </c>
      <c r="QPK66" s="956">
        <f>MIN(QPK60*$C$65,Application!$AO$636-SUM('15 Year Pro Forma'!$E$66:QPJ$66))</f>
        <v>0</v>
      </c>
      <c r="QPM66" s="956">
        <f>MIN(QPM60*$C$65,Application!$AO$636-SUM('15 Year Pro Forma'!$E$66:QPL$66))</f>
        <v>0</v>
      </c>
      <c r="QPO66" s="956">
        <f>MIN(QPO60*$C$65,Application!$AO$636-SUM('15 Year Pro Forma'!$E$66:QPN$66))</f>
        <v>0</v>
      </c>
      <c r="QPQ66" s="956">
        <f>MIN(QPQ60*$C$65,Application!$AO$636-SUM('15 Year Pro Forma'!$E$66:QPP$66))</f>
        <v>0</v>
      </c>
      <c r="QPS66" s="956">
        <f>MIN(QPS60*$C$65,Application!$AO$636-SUM('15 Year Pro Forma'!$E$66:QPR$66))</f>
        <v>0</v>
      </c>
      <c r="QPU66" s="956">
        <f>MIN(QPU60*$C$65,Application!$AO$636-SUM('15 Year Pro Forma'!$E$66:QPT$66))</f>
        <v>0</v>
      </c>
      <c r="QPW66" s="956">
        <f>MIN(QPW60*$C$65,Application!$AO$636-SUM('15 Year Pro Forma'!$E$66:QPV$66))</f>
        <v>0</v>
      </c>
      <c r="QPY66" s="956">
        <f>MIN(QPY60*$C$65,Application!$AO$636-SUM('15 Year Pro Forma'!$E$66:QPX$66))</f>
        <v>0</v>
      </c>
      <c r="QQA66" s="956">
        <f>MIN(QQA60*$C$65,Application!$AO$636-SUM('15 Year Pro Forma'!$E$66:QPZ$66))</f>
        <v>0</v>
      </c>
      <c r="QQC66" s="956">
        <f>MIN(QQC60*$C$65,Application!$AO$636-SUM('15 Year Pro Forma'!$E$66:QQB$66))</f>
        <v>0</v>
      </c>
      <c r="QQE66" s="956">
        <f>MIN(QQE60*$C$65,Application!$AO$636-SUM('15 Year Pro Forma'!$E$66:QQD$66))</f>
        <v>0</v>
      </c>
      <c r="QQG66" s="956">
        <f>MIN(QQG60*$C$65,Application!$AO$636-SUM('15 Year Pro Forma'!$E$66:QQF$66))</f>
        <v>0</v>
      </c>
      <c r="QQI66" s="956">
        <f>MIN(QQI60*$C$65,Application!$AO$636-SUM('15 Year Pro Forma'!$E$66:QQH$66))</f>
        <v>0</v>
      </c>
      <c r="QQK66" s="956">
        <f>MIN(QQK60*$C$65,Application!$AO$636-SUM('15 Year Pro Forma'!$E$66:QQJ$66))</f>
        <v>0</v>
      </c>
      <c r="QQM66" s="956">
        <f>MIN(QQM60*$C$65,Application!$AO$636-SUM('15 Year Pro Forma'!$E$66:QQL$66))</f>
        <v>0</v>
      </c>
      <c r="QQO66" s="956">
        <f>MIN(QQO60*$C$65,Application!$AO$636-SUM('15 Year Pro Forma'!$E$66:QQN$66))</f>
        <v>0</v>
      </c>
      <c r="QQQ66" s="956">
        <f>MIN(QQQ60*$C$65,Application!$AO$636-SUM('15 Year Pro Forma'!$E$66:QQP$66))</f>
        <v>0</v>
      </c>
      <c r="QQS66" s="956">
        <f>MIN(QQS60*$C$65,Application!$AO$636-SUM('15 Year Pro Forma'!$E$66:QQR$66))</f>
        <v>0</v>
      </c>
      <c r="QQU66" s="956">
        <f>MIN(QQU60*$C$65,Application!$AO$636-SUM('15 Year Pro Forma'!$E$66:QQT$66))</f>
        <v>0</v>
      </c>
      <c r="QQW66" s="956">
        <f>MIN(QQW60*$C$65,Application!$AO$636-SUM('15 Year Pro Forma'!$E$66:QQV$66))</f>
        <v>0</v>
      </c>
      <c r="QQY66" s="956">
        <f>MIN(QQY60*$C$65,Application!$AO$636-SUM('15 Year Pro Forma'!$E$66:QQX$66))</f>
        <v>0</v>
      </c>
      <c r="QRA66" s="956">
        <f>MIN(QRA60*$C$65,Application!$AO$636-SUM('15 Year Pro Forma'!$E$66:QQZ$66))</f>
        <v>0</v>
      </c>
      <c r="QRC66" s="956">
        <f>MIN(QRC60*$C$65,Application!$AO$636-SUM('15 Year Pro Forma'!$E$66:QRB$66))</f>
        <v>0</v>
      </c>
      <c r="QRE66" s="956">
        <f>MIN(QRE60*$C$65,Application!$AO$636-SUM('15 Year Pro Forma'!$E$66:QRD$66))</f>
        <v>0</v>
      </c>
      <c r="QRG66" s="956">
        <f>MIN(QRG60*$C$65,Application!$AO$636-SUM('15 Year Pro Forma'!$E$66:QRF$66))</f>
        <v>0</v>
      </c>
      <c r="QRI66" s="956">
        <f>MIN(QRI60*$C$65,Application!$AO$636-SUM('15 Year Pro Forma'!$E$66:QRH$66))</f>
        <v>0</v>
      </c>
      <c r="QRK66" s="956">
        <f>MIN(QRK60*$C$65,Application!$AO$636-SUM('15 Year Pro Forma'!$E$66:QRJ$66))</f>
        <v>0</v>
      </c>
      <c r="QRM66" s="956">
        <f>MIN(QRM60*$C$65,Application!$AO$636-SUM('15 Year Pro Forma'!$E$66:QRL$66))</f>
        <v>0</v>
      </c>
      <c r="QRO66" s="956">
        <f>MIN(QRO60*$C$65,Application!$AO$636-SUM('15 Year Pro Forma'!$E$66:QRN$66))</f>
        <v>0</v>
      </c>
      <c r="QRQ66" s="956">
        <f>MIN(QRQ60*$C$65,Application!$AO$636-SUM('15 Year Pro Forma'!$E$66:QRP$66))</f>
        <v>0</v>
      </c>
      <c r="QRS66" s="956">
        <f>MIN(QRS60*$C$65,Application!$AO$636-SUM('15 Year Pro Forma'!$E$66:QRR$66))</f>
        <v>0</v>
      </c>
      <c r="QRU66" s="956">
        <f>MIN(QRU60*$C$65,Application!$AO$636-SUM('15 Year Pro Forma'!$E$66:QRT$66))</f>
        <v>0</v>
      </c>
      <c r="QRW66" s="956">
        <f>MIN(QRW60*$C$65,Application!$AO$636-SUM('15 Year Pro Forma'!$E$66:QRV$66))</f>
        <v>0</v>
      </c>
      <c r="QRY66" s="956">
        <f>MIN(QRY60*$C$65,Application!$AO$636-SUM('15 Year Pro Forma'!$E$66:QRX$66))</f>
        <v>0</v>
      </c>
      <c r="QSA66" s="956">
        <f>MIN(QSA60*$C$65,Application!$AO$636-SUM('15 Year Pro Forma'!$E$66:QRZ$66))</f>
        <v>0</v>
      </c>
      <c r="QSC66" s="956">
        <f>MIN(QSC60*$C$65,Application!$AO$636-SUM('15 Year Pro Forma'!$E$66:QSB$66))</f>
        <v>0</v>
      </c>
      <c r="QSE66" s="956">
        <f>MIN(QSE60*$C$65,Application!$AO$636-SUM('15 Year Pro Forma'!$E$66:QSD$66))</f>
        <v>0</v>
      </c>
      <c r="QSG66" s="956">
        <f>MIN(QSG60*$C$65,Application!$AO$636-SUM('15 Year Pro Forma'!$E$66:QSF$66))</f>
        <v>0</v>
      </c>
      <c r="QSI66" s="956">
        <f>MIN(QSI60*$C$65,Application!$AO$636-SUM('15 Year Pro Forma'!$E$66:QSH$66))</f>
        <v>0</v>
      </c>
      <c r="QSK66" s="956">
        <f>MIN(QSK60*$C$65,Application!$AO$636-SUM('15 Year Pro Forma'!$E$66:QSJ$66))</f>
        <v>0</v>
      </c>
      <c r="QSM66" s="956">
        <f>MIN(QSM60*$C$65,Application!$AO$636-SUM('15 Year Pro Forma'!$E$66:QSL$66))</f>
        <v>0</v>
      </c>
      <c r="QSO66" s="956">
        <f>MIN(QSO60*$C$65,Application!$AO$636-SUM('15 Year Pro Forma'!$E$66:QSN$66))</f>
        <v>0</v>
      </c>
      <c r="QSQ66" s="956">
        <f>MIN(QSQ60*$C$65,Application!$AO$636-SUM('15 Year Pro Forma'!$E$66:QSP$66))</f>
        <v>0</v>
      </c>
      <c r="QSS66" s="956">
        <f>MIN(QSS60*$C$65,Application!$AO$636-SUM('15 Year Pro Forma'!$E$66:QSR$66))</f>
        <v>0</v>
      </c>
      <c r="QSU66" s="956">
        <f>MIN(QSU60*$C$65,Application!$AO$636-SUM('15 Year Pro Forma'!$E$66:QST$66))</f>
        <v>0</v>
      </c>
      <c r="QSW66" s="956">
        <f>MIN(QSW60*$C$65,Application!$AO$636-SUM('15 Year Pro Forma'!$E$66:QSV$66))</f>
        <v>0</v>
      </c>
      <c r="QSY66" s="956">
        <f>MIN(QSY60*$C$65,Application!$AO$636-SUM('15 Year Pro Forma'!$E$66:QSX$66))</f>
        <v>0</v>
      </c>
      <c r="QTA66" s="956">
        <f>MIN(QTA60*$C$65,Application!$AO$636-SUM('15 Year Pro Forma'!$E$66:QSZ$66))</f>
        <v>0</v>
      </c>
      <c r="QTC66" s="956">
        <f>MIN(QTC60*$C$65,Application!$AO$636-SUM('15 Year Pro Forma'!$E$66:QTB$66))</f>
        <v>0</v>
      </c>
      <c r="QTE66" s="956">
        <f>MIN(QTE60*$C$65,Application!$AO$636-SUM('15 Year Pro Forma'!$E$66:QTD$66))</f>
        <v>0</v>
      </c>
      <c r="QTG66" s="956">
        <f>MIN(QTG60*$C$65,Application!$AO$636-SUM('15 Year Pro Forma'!$E$66:QTF$66))</f>
        <v>0</v>
      </c>
      <c r="QTI66" s="956">
        <f>MIN(QTI60*$C$65,Application!$AO$636-SUM('15 Year Pro Forma'!$E$66:QTH$66))</f>
        <v>0</v>
      </c>
      <c r="QTK66" s="956">
        <f>MIN(QTK60*$C$65,Application!$AO$636-SUM('15 Year Pro Forma'!$E$66:QTJ$66))</f>
        <v>0</v>
      </c>
      <c r="QTM66" s="956">
        <f>MIN(QTM60*$C$65,Application!$AO$636-SUM('15 Year Pro Forma'!$E$66:QTL$66))</f>
        <v>0</v>
      </c>
      <c r="QTO66" s="956">
        <f>MIN(QTO60*$C$65,Application!$AO$636-SUM('15 Year Pro Forma'!$E$66:QTN$66))</f>
        <v>0</v>
      </c>
      <c r="QTQ66" s="956">
        <f>MIN(QTQ60*$C$65,Application!$AO$636-SUM('15 Year Pro Forma'!$E$66:QTP$66))</f>
        <v>0</v>
      </c>
      <c r="QTS66" s="956">
        <f>MIN(QTS60*$C$65,Application!$AO$636-SUM('15 Year Pro Forma'!$E$66:QTR$66))</f>
        <v>0</v>
      </c>
      <c r="QTU66" s="956">
        <f>MIN(QTU60*$C$65,Application!$AO$636-SUM('15 Year Pro Forma'!$E$66:QTT$66))</f>
        <v>0</v>
      </c>
      <c r="QTW66" s="956">
        <f>MIN(QTW60*$C$65,Application!$AO$636-SUM('15 Year Pro Forma'!$E$66:QTV$66))</f>
        <v>0</v>
      </c>
      <c r="QTY66" s="956">
        <f>MIN(QTY60*$C$65,Application!$AO$636-SUM('15 Year Pro Forma'!$E$66:QTX$66))</f>
        <v>0</v>
      </c>
      <c r="QUA66" s="956">
        <f>MIN(QUA60*$C$65,Application!$AO$636-SUM('15 Year Pro Forma'!$E$66:QTZ$66))</f>
        <v>0</v>
      </c>
      <c r="QUC66" s="956">
        <f>MIN(QUC60*$C$65,Application!$AO$636-SUM('15 Year Pro Forma'!$E$66:QUB$66))</f>
        <v>0</v>
      </c>
      <c r="QUE66" s="956">
        <f>MIN(QUE60*$C$65,Application!$AO$636-SUM('15 Year Pro Forma'!$E$66:QUD$66))</f>
        <v>0</v>
      </c>
      <c r="QUG66" s="956">
        <f>MIN(QUG60*$C$65,Application!$AO$636-SUM('15 Year Pro Forma'!$E$66:QUF$66))</f>
        <v>0</v>
      </c>
      <c r="QUI66" s="956">
        <f>MIN(QUI60*$C$65,Application!$AO$636-SUM('15 Year Pro Forma'!$E$66:QUH$66))</f>
        <v>0</v>
      </c>
      <c r="QUK66" s="956">
        <f>MIN(QUK60*$C$65,Application!$AO$636-SUM('15 Year Pro Forma'!$E$66:QUJ$66))</f>
        <v>0</v>
      </c>
      <c r="QUM66" s="956">
        <f>MIN(QUM60*$C$65,Application!$AO$636-SUM('15 Year Pro Forma'!$E$66:QUL$66))</f>
        <v>0</v>
      </c>
      <c r="QUO66" s="956">
        <f>MIN(QUO60*$C$65,Application!$AO$636-SUM('15 Year Pro Forma'!$E$66:QUN$66))</f>
        <v>0</v>
      </c>
      <c r="QUQ66" s="956">
        <f>MIN(QUQ60*$C$65,Application!$AO$636-SUM('15 Year Pro Forma'!$E$66:QUP$66))</f>
        <v>0</v>
      </c>
      <c r="QUS66" s="956">
        <f>MIN(QUS60*$C$65,Application!$AO$636-SUM('15 Year Pro Forma'!$E$66:QUR$66))</f>
        <v>0</v>
      </c>
      <c r="QUU66" s="956">
        <f>MIN(QUU60*$C$65,Application!$AO$636-SUM('15 Year Pro Forma'!$E$66:QUT$66))</f>
        <v>0</v>
      </c>
      <c r="QUW66" s="956">
        <f>MIN(QUW60*$C$65,Application!$AO$636-SUM('15 Year Pro Forma'!$E$66:QUV$66))</f>
        <v>0</v>
      </c>
      <c r="QUY66" s="956">
        <f>MIN(QUY60*$C$65,Application!$AO$636-SUM('15 Year Pro Forma'!$E$66:QUX$66))</f>
        <v>0</v>
      </c>
      <c r="QVA66" s="956">
        <f>MIN(QVA60*$C$65,Application!$AO$636-SUM('15 Year Pro Forma'!$E$66:QUZ$66))</f>
        <v>0</v>
      </c>
      <c r="QVC66" s="956">
        <f>MIN(QVC60*$C$65,Application!$AO$636-SUM('15 Year Pro Forma'!$E$66:QVB$66))</f>
        <v>0</v>
      </c>
      <c r="QVE66" s="956">
        <f>MIN(QVE60*$C$65,Application!$AO$636-SUM('15 Year Pro Forma'!$E$66:QVD$66))</f>
        <v>0</v>
      </c>
      <c r="QVG66" s="956">
        <f>MIN(QVG60*$C$65,Application!$AO$636-SUM('15 Year Pro Forma'!$E$66:QVF$66))</f>
        <v>0</v>
      </c>
      <c r="QVI66" s="956">
        <f>MIN(QVI60*$C$65,Application!$AO$636-SUM('15 Year Pro Forma'!$E$66:QVH$66))</f>
        <v>0</v>
      </c>
      <c r="QVK66" s="956">
        <f>MIN(QVK60*$C$65,Application!$AO$636-SUM('15 Year Pro Forma'!$E$66:QVJ$66))</f>
        <v>0</v>
      </c>
      <c r="QVM66" s="956">
        <f>MIN(QVM60*$C$65,Application!$AO$636-SUM('15 Year Pro Forma'!$E$66:QVL$66))</f>
        <v>0</v>
      </c>
      <c r="QVO66" s="956">
        <f>MIN(QVO60*$C$65,Application!$AO$636-SUM('15 Year Pro Forma'!$E$66:QVN$66))</f>
        <v>0</v>
      </c>
      <c r="QVQ66" s="956">
        <f>MIN(QVQ60*$C$65,Application!$AO$636-SUM('15 Year Pro Forma'!$E$66:QVP$66))</f>
        <v>0</v>
      </c>
      <c r="QVS66" s="956">
        <f>MIN(QVS60*$C$65,Application!$AO$636-SUM('15 Year Pro Forma'!$E$66:QVR$66))</f>
        <v>0</v>
      </c>
      <c r="QVU66" s="956">
        <f>MIN(QVU60*$C$65,Application!$AO$636-SUM('15 Year Pro Forma'!$E$66:QVT$66))</f>
        <v>0</v>
      </c>
      <c r="QVW66" s="956">
        <f>MIN(QVW60*$C$65,Application!$AO$636-SUM('15 Year Pro Forma'!$E$66:QVV$66))</f>
        <v>0</v>
      </c>
      <c r="QVY66" s="956">
        <f>MIN(QVY60*$C$65,Application!$AO$636-SUM('15 Year Pro Forma'!$E$66:QVX$66))</f>
        <v>0</v>
      </c>
      <c r="QWA66" s="956">
        <f>MIN(QWA60*$C$65,Application!$AO$636-SUM('15 Year Pro Forma'!$E$66:QVZ$66))</f>
        <v>0</v>
      </c>
      <c r="QWC66" s="956">
        <f>MIN(QWC60*$C$65,Application!$AO$636-SUM('15 Year Pro Forma'!$E$66:QWB$66))</f>
        <v>0</v>
      </c>
      <c r="QWE66" s="956">
        <f>MIN(QWE60*$C$65,Application!$AO$636-SUM('15 Year Pro Forma'!$E$66:QWD$66))</f>
        <v>0</v>
      </c>
      <c r="QWG66" s="956">
        <f>MIN(QWG60*$C$65,Application!$AO$636-SUM('15 Year Pro Forma'!$E$66:QWF$66))</f>
        <v>0</v>
      </c>
      <c r="QWI66" s="956">
        <f>MIN(QWI60*$C$65,Application!$AO$636-SUM('15 Year Pro Forma'!$E$66:QWH$66))</f>
        <v>0</v>
      </c>
      <c r="QWK66" s="956">
        <f>MIN(QWK60*$C$65,Application!$AO$636-SUM('15 Year Pro Forma'!$E$66:QWJ$66))</f>
        <v>0</v>
      </c>
      <c r="QWM66" s="956">
        <f>MIN(QWM60*$C$65,Application!$AO$636-SUM('15 Year Pro Forma'!$E$66:QWL$66))</f>
        <v>0</v>
      </c>
      <c r="QWO66" s="956">
        <f>MIN(QWO60*$C$65,Application!$AO$636-SUM('15 Year Pro Forma'!$E$66:QWN$66))</f>
        <v>0</v>
      </c>
      <c r="QWQ66" s="956">
        <f>MIN(QWQ60*$C$65,Application!$AO$636-SUM('15 Year Pro Forma'!$E$66:QWP$66))</f>
        <v>0</v>
      </c>
      <c r="QWS66" s="956">
        <f>MIN(QWS60*$C$65,Application!$AO$636-SUM('15 Year Pro Forma'!$E$66:QWR$66))</f>
        <v>0</v>
      </c>
      <c r="QWU66" s="956">
        <f>MIN(QWU60*$C$65,Application!$AO$636-SUM('15 Year Pro Forma'!$E$66:QWT$66))</f>
        <v>0</v>
      </c>
      <c r="QWW66" s="956">
        <f>MIN(QWW60*$C$65,Application!$AO$636-SUM('15 Year Pro Forma'!$E$66:QWV$66))</f>
        <v>0</v>
      </c>
      <c r="QWY66" s="956">
        <f>MIN(QWY60*$C$65,Application!$AO$636-SUM('15 Year Pro Forma'!$E$66:QWX$66))</f>
        <v>0</v>
      </c>
      <c r="QXA66" s="956">
        <f>MIN(QXA60*$C$65,Application!$AO$636-SUM('15 Year Pro Forma'!$E$66:QWZ$66))</f>
        <v>0</v>
      </c>
      <c r="QXC66" s="956">
        <f>MIN(QXC60*$C$65,Application!$AO$636-SUM('15 Year Pro Forma'!$E$66:QXB$66))</f>
        <v>0</v>
      </c>
      <c r="QXE66" s="956">
        <f>MIN(QXE60*$C$65,Application!$AO$636-SUM('15 Year Pro Forma'!$E$66:QXD$66))</f>
        <v>0</v>
      </c>
      <c r="QXG66" s="956">
        <f>MIN(QXG60*$C$65,Application!$AO$636-SUM('15 Year Pro Forma'!$E$66:QXF$66))</f>
        <v>0</v>
      </c>
      <c r="QXI66" s="956">
        <f>MIN(QXI60*$C$65,Application!$AO$636-SUM('15 Year Pro Forma'!$E$66:QXH$66))</f>
        <v>0</v>
      </c>
      <c r="QXK66" s="956">
        <f>MIN(QXK60*$C$65,Application!$AO$636-SUM('15 Year Pro Forma'!$E$66:QXJ$66))</f>
        <v>0</v>
      </c>
      <c r="QXM66" s="956">
        <f>MIN(QXM60*$C$65,Application!$AO$636-SUM('15 Year Pro Forma'!$E$66:QXL$66))</f>
        <v>0</v>
      </c>
      <c r="QXO66" s="956">
        <f>MIN(QXO60*$C$65,Application!$AO$636-SUM('15 Year Pro Forma'!$E$66:QXN$66))</f>
        <v>0</v>
      </c>
      <c r="QXQ66" s="956">
        <f>MIN(QXQ60*$C$65,Application!$AO$636-SUM('15 Year Pro Forma'!$E$66:QXP$66))</f>
        <v>0</v>
      </c>
      <c r="QXS66" s="956">
        <f>MIN(QXS60*$C$65,Application!$AO$636-SUM('15 Year Pro Forma'!$E$66:QXR$66))</f>
        <v>0</v>
      </c>
      <c r="QXU66" s="956">
        <f>MIN(QXU60*$C$65,Application!$AO$636-SUM('15 Year Pro Forma'!$E$66:QXT$66))</f>
        <v>0</v>
      </c>
      <c r="QXW66" s="956">
        <f>MIN(QXW60*$C$65,Application!$AO$636-SUM('15 Year Pro Forma'!$E$66:QXV$66))</f>
        <v>0</v>
      </c>
      <c r="QXY66" s="956">
        <f>MIN(QXY60*$C$65,Application!$AO$636-SUM('15 Year Pro Forma'!$E$66:QXX$66))</f>
        <v>0</v>
      </c>
      <c r="QYA66" s="956">
        <f>MIN(QYA60*$C$65,Application!$AO$636-SUM('15 Year Pro Forma'!$E$66:QXZ$66))</f>
        <v>0</v>
      </c>
      <c r="QYC66" s="956">
        <f>MIN(QYC60*$C$65,Application!$AO$636-SUM('15 Year Pro Forma'!$E$66:QYB$66))</f>
        <v>0</v>
      </c>
      <c r="QYE66" s="956">
        <f>MIN(QYE60*$C$65,Application!$AO$636-SUM('15 Year Pro Forma'!$E$66:QYD$66))</f>
        <v>0</v>
      </c>
      <c r="QYG66" s="956">
        <f>MIN(QYG60*$C$65,Application!$AO$636-SUM('15 Year Pro Forma'!$E$66:QYF$66))</f>
        <v>0</v>
      </c>
      <c r="QYI66" s="956">
        <f>MIN(QYI60*$C$65,Application!$AO$636-SUM('15 Year Pro Forma'!$E$66:QYH$66))</f>
        <v>0</v>
      </c>
      <c r="QYK66" s="956">
        <f>MIN(QYK60*$C$65,Application!$AO$636-SUM('15 Year Pro Forma'!$E$66:QYJ$66))</f>
        <v>0</v>
      </c>
      <c r="QYM66" s="956">
        <f>MIN(QYM60*$C$65,Application!$AO$636-SUM('15 Year Pro Forma'!$E$66:QYL$66))</f>
        <v>0</v>
      </c>
      <c r="QYO66" s="956">
        <f>MIN(QYO60*$C$65,Application!$AO$636-SUM('15 Year Pro Forma'!$E$66:QYN$66))</f>
        <v>0</v>
      </c>
      <c r="QYQ66" s="956">
        <f>MIN(QYQ60*$C$65,Application!$AO$636-SUM('15 Year Pro Forma'!$E$66:QYP$66))</f>
        <v>0</v>
      </c>
      <c r="QYS66" s="956">
        <f>MIN(QYS60*$C$65,Application!$AO$636-SUM('15 Year Pro Forma'!$E$66:QYR$66))</f>
        <v>0</v>
      </c>
      <c r="QYU66" s="956">
        <f>MIN(QYU60*$C$65,Application!$AO$636-SUM('15 Year Pro Forma'!$E$66:QYT$66))</f>
        <v>0</v>
      </c>
      <c r="QYW66" s="956">
        <f>MIN(QYW60*$C$65,Application!$AO$636-SUM('15 Year Pro Forma'!$E$66:QYV$66))</f>
        <v>0</v>
      </c>
      <c r="QYY66" s="956">
        <f>MIN(QYY60*$C$65,Application!$AO$636-SUM('15 Year Pro Forma'!$E$66:QYX$66))</f>
        <v>0</v>
      </c>
      <c r="QZA66" s="956">
        <f>MIN(QZA60*$C$65,Application!$AO$636-SUM('15 Year Pro Forma'!$E$66:QYZ$66))</f>
        <v>0</v>
      </c>
      <c r="QZC66" s="956">
        <f>MIN(QZC60*$C$65,Application!$AO$636-SUM('15 Year Pro Forma'!$E$66:QZB$66))</f>
        <v>0</v>
      </c>
      <c r="QZE66" s="956">
        <f>MIN(QZE60*$C$65,Application!$AO$636-SUM('15 Year Pro Forma'!$E$66:QZD$66))</f>
        <v>0</v>
      </c>
      <c r="QZG66" s="956">
        <f>MIN(QZG60*$C$65,Application!$AO$636-SUM('15 Year Pro Forma'!$E$66:QZF$66))</f>
        <v>0</v>
      </c>
      <c r="QZI66" s="956">
        <f>MIN(QZI60*$C$65,Application!$AO$636-SUM('15 Year Pro Forma'!$E$66:QZH$66))</f>
        <v>0</v>
      </c>
      <c r="QZK66" s="956">
        <f>MIN(QZK60*$C$65,Application!$AO$636-SUM('15 Year Pro Forma'!$E$66:QZJ$66))</f>
        <v>0</v>
      </c>
      <c r="QZM66" s="956">
        <f>MIN(QZM60*$C$65,Application!$AO$636-SUM('15 Year Pro Forma'!$E$66:QZL$66))</f>
        <v>0</v>
      </c>
      <c r="QZO66" s="956">
        <f>MIN(QZO60*$C$65,Application!$AO$636-SUM('15 Year Pro Forma'!$E$66:QZN$66))</f>
        <v>0</v>
      </c>
      <c r="QZQ66" s="956">
        <f>MIN(QZQ60*$C$65,Application!$AO$636-SUM('15 Year Pro Forma'!$E$66:QZP$66))</f>
        <v>0</v>
      </c>
      <c r="QZS66" s="956">
        <f>MIN(QZS60*$C$65,Application!$AO$636-SUM('15 Year Pro Forma'!$E$66:QZR$66))</f>
        <v>0</v>
      </c>
      <c r="QZU66" s="956">
        <f>MIN(QZU60*$C$65,Application!$AO$636-SUM('15 Year Pro Forma'!$E$66:QZT$66))</f>
        <v>0</v>
      </c>
      <c r="QZW66" s="956">
        <f>MIN(QZW60*$C$65,Application!$AO$636-SUM('15 Year Pro Forma'!$E$66:QZV$66))</f>
        <v>0</v>
      </c>
      <c r="QZY66" s="956">
        <f>MIN(QZY60*$C$65,Application!$AO$636-SUM('15 Year Pro Forma'!$E$66:QZX$66))</f>
        <v>0</v>
      </c>
      <c r="RAA66" s="956">
        <f>MIN(RAA60*$C$65,Application!$AO$636-SUM('15 Year Pro Forma'!$E$66:QZZ$66))</f>
        <v>0</v>
      </c>
      <c r="RAC66" s="956">
        <f>MIN(RAC60*$C$65,Application!$AO$636-SUM('15 Year Pro Forma'!$E$66:RAB$66))</f>
        <v>0</v>
      </c>
      <c r="RAE66" s="956">
        <f>MIN(RAE60*$C$65,Application!$AO$636-SUM('15 Year Pro Forma'!$E$66:RAD$66))</f>
        <v>0</v>
      </c>
      <c r="RAG66" s="956">
        <f>MIN(RAG60*$C$65,Application!$AO$636-SUM('15 Year Pro Forma'!$E$66:RAF$66))</f>
        <v>0</v>
      </c>
      <c r="RAI66" s="956">
        <f>MIN(RAI60*$C$65,Application!$AO$636-SUM('15 Year Pro Forma'!$E$66:RAH$66))</f>
        <v>0</v>
      </c>
      <c r="RAK66" s="956">
        <f>MIN(RAK60*$C$65,Application!$AO$636-SUM('15 Year Pro Forma'!$E$66:RAJ$66))</f>
        <v>0</v>
      </c>
      <c r="RAM66" s="956">
        <f>MIN(RAM60*$C$65,Application!$AO$636-SUM('15 Year Pro Forma'!$E$66:RAL$66))</f>
        <v>0</v>
      </c>
      <c r="RAO66" s="956">
        <f>MIN(RAO60*$C$65,Application!$AO$636-SUM('15 Year Pro Forma'!$E$66:RAN$66))</f>
        <v>0</v>
      </c>
      <c r="RAQ66" s="956">
        <f>MIN(RAQ60*$C$65,Application!$AO$636-SUM('15 Year Pro Forma'!$E$66:RAP$66))</f>
        <v>0</v>
      </c>
      <c r="RAS66" s="956">
        <f>MIN(RAS60*$C$65,Application!$AO$636-SUM('15 Year Pro Forma'!$E$66:RAR$66))</f>
        <v>0</v>
      </c>
      <c r="RAU66" s="956">
        <f>MIN(RAU60*$C$65,Application!$AO$636-SUM('15 Year Pro Forma'!$E$66:RAT$66))</f>
        <v>0</v>
      </c>
      <c r="RAW66" s="956">
        <f>MIN(RAW60*$C$65,Application!$AO$636-SUM('15 Year Pro Forma'!$E$66:RAV$66))</f>
        <v>0</v>
      </c>
      <c r="RAY66" s="956">
        <f>MIN(RAY60*$C$65,Application!$AO$636-SUM('15 Year Pro Forma'!$E$66:RAX$66))</f>
        <v>0</v>
      </c>
      <c r="RBA66" s="956">
        <f>MIN(RBA60*$C$65,Application!$AO$636-SUM('15 Year Pro Forma'!$E$66:RAZ$66))</f>
        <v>0</v>
      </c>
      <c r="RBC66" s="956">
        <f>MIN(RBC60*$C$65,Application!$AO$636-SUM('15 Year Pro Forma'!$E$66:RBB$66))</f>
        <v>0</v>
      </c>
      <c r="RBE66" s="956">
        <f>MIN(RBE60*$C$65,Application!$AO$636-SUM('15 Year Pro Forma'!$E$66:RBD$66))</f>
        <v>0</v>
      </c>
      <c r="RBG66" s="956">
        <f>MIN(RBG60*$C$65,Application!$AO$636-SUM('15 Year Pro Forma'!$E$66:RBF$66))</f>
        <v>0</v>
      </c>
      <c r="RBI66" s="956">
        <f>MIN(RBI60*$C$65,Application!$AO$636-SUM('15 Year Pro Forma'!$E$66:RBH$66))</f>
        <v>0</v>
      </c>
      <c r="RBK66" s="956">
        <f>MIN(RBK60*$C$65,Application!$AO$636-SUM('15 Year Pro Forma'!$E$66:RBJ$66))</f>
        <v>0</v>
      </c>
      <c r="RBM66" s="956">
        <f>MIN(RBM60*$C$65,Application!$AO$636-SUM('15 Year Pro Forma'!$E$66:RBL$66))</f>
        <v>0</v>
      </c>
      <c r="RBO66" s="956">
        <f>MIN(RBO60*$C$65,Application!$AO$636-SUM('15 Year Pro Forma'!$E$66:RBN$66))</f>
        <v>0</v>
      </c>
      <c r="RBQ66" s="956">
        <f>MIN(RBQ60*$C$65,Application!$AO$636-SUM('15 Year Pro Forma'!$E$66:RBP$66))</f>
        <v>0</v>
      </c>
      <c r="RBS66" s="956">
        <f>MIN(RBS60*$C$65,Application!$AO$636-SUM('15 Year Pro Forma'!$E$66:RBR$66))</f>
        <v>0</v>
      </c>
      <c r="RBU66" s="956">
        <f>MIN(RBU60*$C$65,Application!$AO$636-SUM('15 Year Pro Forma'!$E$66:RBT$66))</f>
        <v>0</v>
      </c>
      <c r="RBW66" s="956">
        <f>MIN(RBW60*$C$65,Application!$AO$636-SUM('15 Year Pro Forma'!$E$66:RBV$66))</f>
        <v>0</v>
      </c>
      <c r="RBY66" s="956">
        <f>MIN(RBY60*$C$65,Application!$AO$636-SUM('15 Year Pro Forma'!$E$66:RBX$66))</f>
        <v>0</v>
      </c>
      <c r="RCA66" s="956">
        <f>MIN(RCA60*$C$65,Application!$AO$636-SUM('15 Year Pro Forma'!$E$66:RBZ$66))</f>
        <v>0</v>
      </c>
      <c r="RCC66" s="956">
        <f>MIN(RCC60*$C$65,Application!$AO$636-SUM('15 Year Pro Forma'!$E$66:RCB$66))</f>
        <v>0</v>
      </c>
      <c r="RCE66" s="956">
        <f>MIN(RCE60*$C$65,Application!$AO$636-SUM('15 Year Pro Forma'!$E$66:RCD$66))</f>
        <v>0</v>
      </c>
      <c r="RCG66" s="956">
        <f>MIN(RCG60*$C$65,Application!$AO$636-SUM('15 Year Pro Forma'!$E$66:RCF$66))</f>
        <v>0</v>
      </c>
      <c r="RCI66" s="956">
        <f>MIN(RCI60*$C$65,Application!$AO$636-SUM('15 Year Pro Forma'!$E$66:RCH$66))</f>
        <v>0</v>
      </c>
      <c r="RCK66" s="956">
        <f>MIN(RCK60*$C$65,Application!$AO$636-SUM('15 Year Pro Forma'!$E$66:RCJ$66))</f>
        <v>0</v>
      </c>
      <c r="RCM66" s="956">
        <f>MIN(RCM60*$C$65,Application!$AO$636-SUM('15 Year Pro Forma'!$E$66:RCL$66))</f>
        <v>0</v>
      </c>
      <c r="RCO66" s="956">
        <f>MIN(RCO60*$C$65,Application!$AO$636-SUM('15 Year Pro Forma'!$E$66:RCN$66))</f>
        <v>0</v>
      </c>
      <c r="RCQ66" s="956">
        <f>MIN(RCQ60*$C$65,Application!$AO$636-SUM('15 Year Pro Forma'!$E$66:RCP$66))</f>
        <v>0</v>
      </c>
      <c r="RCS66" s="956">
        <f>MIN(RCS60*$C$65,Application!$AO$636-SUM('15 Year Pro Forma'!$E$66:RCR$66))</f>
        <v>0</v>
      </c>
      <c r="RCU66" s="956">
        <f>MIN(RCU60*$C$65,Application!$AO$636-SUM('15 Year Pro Forma'!$E$66:RCT$66))</f>
        <v>0</v>
      </c>
      <c r="RCW66" s="956">
        <f>MIN(RCW60*$C$65,Application!$AO$636-SUM('15 Year Pro Forma'!$E$66:RCV$66))</f>
        <v>0</v>
      </c>
      <c r="RCY66" s="956">
        <f>MIN(RCY60*$C$65,Application!$AO$636-SUM('15 Year Pro Forma'!$E$66:RCX$66))</f>
        <v>0</v>
      </c>
      <c r="RDA66" s="956">
        <f>MIN(RDA60*$C$65,Application!$AO$636-SUM('15 Year Pro Forma'!$E$66:RCZ$66))</f>
        <v>0</v>
      </c>
      <c r="RDC66" s="956">
        <f>MIN(RDC60*$C$65,Application!$AO$636-SUM('15 Year Pro Forma'!$E$66:RDB$66))</f>
        <v>0</v>
      </c>
      <c r="RDE66" s="956">
        <f>MIN(RDE60*$C$65,Application!$AO$636-SUM('15 Year Pro Forma'!$E$66:RDD$66))</f>
        <v>0</v>
      </c>
      <c r="RDG66" s="956">
        <f>MIN(RDG60*$C$65,Application!$AO$636-SUM('15 Year Pro Forma'!$E$66:RDF$66))</f>
        <v>0</v>
      </c>
      <c r="RDI66" s="956">
        <f>MIN(RDI60*$C$65,Application!$AO$636-SUM('15 Year Pro Forma'!$E$66:RDH$66))</f>
        <v>0</v>
      </c>
      <c r="RDK66" s="956">
        <f>MIN(RDK60*$C$65,Application!$AO$636-SUM('15 Year Pro Forma'!$E$66:RDJ$66))</f>
        <v>0</v>
      </c>
      <c r="RDM66" s="956">
        <f>MIN(RDM60*$C$65,Application!$AO$636-SUM('15 Year Pro Forma'!$E$66:RDL$66))</f>
        <v>0</v>
      </c>
      <c r="RDO66" s="956">
        <f>MIN(RDO60*$C$65,Application!$AO$636-SUM('15 Year Pro Forma'!$E$66:RDN$66))</f>
        <v>0</v>
      </c>
      <c r="RDQ66" s="956">
        <f>MIN(RDQ60*$C$65,Application!$AO$636-SUM('15 Year Pro Forma'!$E$66:RDP$66))</f>
        <v>0</v>
      </c>
      <c r="RDS66" s="956">
        <f>MIN(RDS60*$C$65,Application!$AO$636-SUM('15 Year Pro Forma'!$E$66:RDR$66))</f>
        <v>0</v>
      </c>
      <c r="RDU66" s="956">
        <f>MIN(RDU60*$C$65,Application!$AO$636-SUM('15 Year Pro Forma'!$E$66:RDT$66))</f>
        <v>0</v>
      </c>
      <c r="RDW66" s="956">
        <f>MIN(RDW60*$C$65,Application!$AO$636-SUM('15 Year Pro Forma'!$E$66:RDV$66))</f>
        <v>0</v>
      </c>
      <c r="RDY66" s="956">
        <f>MIN(RDY60*$C$65,Application!$AO$636-SUM('15 Year Pro Forma'!$E$66:RDX$66))</f>
        <v>0</v>
      </c>
      <c r="REA66" s="956">
        <f>MIN(REA60*$C$65,Application!$AO$636-SUM('15 Year Pro Forma'!$E$66:RDZ$66))</f>
        <v>0</v>
      </c>
      <c r="REC66" s="956">
        <f>MIN(REC60*$C$65,Application!$AO$636-SUM('15 Year Pro Forma'!$E$66:REB$66))</f>
        <v>0</v>
      </c>
      <c r="REE66" s="956">
        <f>MIN(REE60*$C$65,Application!$AO$636-SUM('15 Year Pro Forma'!$E$66:RED$66))</f>
        <v>0</v>
      </c>
      <c r="REG66" s="956">
        <f>MIN(REG60*$C$65,Application!$AO$636-SUM('15 Year Pro Forma'!$E$66:REF$66))</f>
        <v>0</v>
      </c>
      <c r="REI66" s="956">
        <f>MIN(REI60*$C$65,Application!$AO$636-SUM('15 Year Pro Forma'!$E$66:REH$66))</f>
        <v>0</v>
      </c>
      <c r="REK66" s="956">
        <f>MIN(REK60*$C$65,Application!$AO$636-SUM('15 Year Pro Forma'!$E$66:REJ$66))</f>
        <v>0</v>
      </c>
      <c r="REM66" s="956">
        <f>MIN(REM60*$C$65,Application!$AO$636-SUM('15 Year Pro Forma'!$E$66:REL$66))</f>
        <v>0</v>
      </c>
      <c r="REO66" s="956">
        <f>MIN(REO60*$C$65,Application!$AO$636-SUM('15 Year Pro Forma'!$E$66:REN$66))</f>
        <v>0</v>
      </c>
      <c r="REQ66" s="956">
        <f>MIN(REQ60*$C$65,Application!$AO$636-SUM('15 Year Pro Forma'!$E$66:REP$66))</f>
        <v>0</v>
      </c>
      <c r="RES66" s="956">
        <f>MIN(RES60*$C$65,Application!$AO$636-SUM('15 Year Pro Forma'!$E$66:RER$66))</f>
        <v>0</v>
      </c>
      <c r="REU66" s="956">
        <f>MIN(REU60*$C$65,Application!$AO$636-SUM('15 Year Pro Forma'!$E$66:RET$66))</f>
        <v>0</v>
      </c>
      <c r="REW66" s="956">
        <f>MIN(REW60*$C$65,Application!$AO$636-SUM('15 Year Pro Forma'!$E$66:REV$66))</f>
        <v>0</v>
      </c>
      <c r="REY66" s="956">
        <f>MIN(REY60*$C$65,Application!$AO$636-SUM('15 Year Pro Forma'!$E$66:REX$66))</f>
        <v>0</v>
      </c>
      <c r="RFA66" s="956">
        <f>MIN(RFA60*$C$65,Application!$AO$636-SUM('15 Year Pro Forma'!$E$66:REZ$66))</f>
        <v>0</v>
      </c>
      <c r="RFC66" s="956">
        <f>MIN(RFC60*$C$65,Application!$AO$636-SUM('15 Year Pro Forma'!$E$66:RFB$66))</f>
        <v>0</v>
      </c>
      <c r="RFE66" s="956">
        <f>MIN(RFE60*$C$65,Application!$AO$636-SUM('15 Year Pro Forma'!$E$66:RFD$66))</f>
        <v>0</v>
      </c>
      <c r="RFG66" s="956">
        <f>MIN(RFG60*$C$65,Application!$AO$636-SUM('15 Year Pro Forma'!$E$66:RFF$66))</f>
        <v>0</v>
      </c>
      <c r="RFI66" s="956">
        <f>MIN(RFI60*$C$65,Application!$AO$636-SUM('15 Year Pro Forma'!$E$66:RFH$66))</f>
        <v>0</v>
      </c>
      <c r="RFK66" s="956">
        <f>MIN(RFK60*$C$65,Application!$AO$636-SUM('15 Year Pro Forma'!$E$66:RFJ$66))</f>
        <v>0</v>
      </c>
      <c r="RFM66" s="956">
        <f>MIN(RFM60*$C$65,Application!$AO$636-SUM('15 Year Pro Forma'!$E$66:RFL$66))</f>
        <v>0</v>
      </c>
      <c r="RFO66" s="956">
        <f>MIN(RFO60*$C$65,Application!$AO$636-SUM('15 Year Pro Forma'!$E$66:RFN$66))</f>
        <v>0</v>
      </c>
      <c r="RFQ66" s="956">
        <f>MIN(RFQ60*$C$65,Application!$AO$636-SUM('15 Year Pro Forma'!$E$66:RFP$66))</f>
        <v>0</v>
      </c>
      <c r="RFS66" s="956">
        <f>MIN(RFS60*$C$65,Application!$AO$636-SUM('15 Year Pro Forma'!$E$66:RFR$66))</f>
        <v>0</v>
      </c>
      <c r="RFU66" s="956">
        <f>MIN(RFU60*$C$65,Application!$AO$636-SUM('15 Year Pro Forma'!$E$66:RFT$66))</f>
        <v>0</v>
      </c>
      <c r="RFW66" s="956">
        <f>MIN(RFW60*$C$65,Application!$AO$636-SUM('15 Year Pro Forma'!$E$66:RFV$66))</f>
        <v>0</v>
      </c>
      <c r="RFY66" s="956">
        <f>MIN(RFY60*$C$65,Application!$AO$636-SUM('15 Year Pro Forma'!$E$66:RFX$66))</f>
        <v>0</v>
      </c>
      <c r="RGA66" s="956">
        <f>MIN(RGA60*$C$65,Application!$AO$636-SUM('15 Year Pro Forma'!$E$66:RFZ$66))</f>
        <v>0</v>
      </c>
      <c r="RGC66" s="956">
        <f>MIN(RGC60*$C$65,Application!$AO$636-SUM('15 Year Pro Forma'!$E$66:RGB$66))</f>
        <v>0</v>
      </c>
      <c r="RGE66" s="956">
        <f>MIN(RGE60*$C$65,Application!$AO$636-SUM('15 Year Pro Forma'!$E$66:RGD$66))</f>
        <v>0</v>
      </c>
      <c r="RGG66" s="956">
        <f>MIN(RGG60*$C$65,Application!$AO$636-SUM('15 Year Pro Forma'!$E$66:RGF$66))</f>
        <v>0</v>
      </c>
      <c r="RGI66" s="956">
        <f>MIN(RGI60*$C$65,Application!$AO$636-SUM('15 Year Pro Forma'!$E$66:RGH$66))</f>
        <v>0</v>
      </c>
      <c r="RGK66" s="956">
        <f>MIN(RGK60*$C$65,Application!$AO$636-SUM('15 Year Pro Forma'!$E$66:RGJ$66))</f>
        <v>0</v>
      </c>
      <c r="RGM66" s="956">
        <f>MIN(RGM60*$C$65,Application!$AO$636-SUM('15 Year Pro Forma'!$E$66:RGL$66))</f>
        <v>0</v>
      </c>
      <c r="RGO66" s="956">
        <f>MIN(RGO60*$C$65,Application!$AO$636-SUM('15 Year Pro Forma'!$E$66:RGN$66))</f>
        <v>0</v>
      </c>
      <c r="RGQ66" s="956">
        <f>MIN(RGQ60*$C$65,Application!$AO$636-SUM('15 Year Pro Forma'!$E$66:RGP$66))</f>
        <v>0</v>
      </c>
      <c r="RGS66" s="956">
        <f>MIN(RGS60*$C$65,Application!$AO$636-SUM('15 Year Pro Forma'!$E$66:RGR$66))</f>
        <v>0</v>
      </c>
      <c r="RGU66" s="956">
        <f>MIN(RGU60*$C$65,Application!$AO$636-SUM('15 Year Pro Forma'!$E$66:RGT$66))</f>
        <v>0</v>
      </c>
      <c r="RGW66" s="956">
        <f>MIN(RGW60*$C$65,Application!$AO$636-SUM('15 Year Pro Forma'!$E$66:RGV$66))</f>
        <v>0</v>
      </c>
      <c r="RGY66" s="956">
        <f>MIN(RGY60*$C$65,Application!$AO$636-SUM('15 Year Pro Forma'!$E$66:RGX$66))</f>
        <v>0</v>
      </c>
      <c r="RHA66" s="956">
        <f>MIN(RHA60*$C$65,Application!$AO$636-SUM('15 Year Pro Forma'!$E$66:RGZ$66))</f>
        <v>0</v>
      </c>
      <c r="RHC66" s="956">
        <f>MIN(RHC60*$C$65,Application!$AO$636-SUM('15 Year Pro Forma'!$E$66:RHB$66))</f>
        <v>0</v>
      </c>
      <c r="RHE66" s="956">
        <f>MIN(RHE60*$C$65,Application!$AO$636-SUM('15 Year Pro Forma'!$E$66:RHD$66))</f>
        <v>0</v>
      </c>
      <c r="RHG66" s="956">
        <f>MIN(RHG60*$C$65,Application!$AO$636-SUM('15 Year Pro Forma'!$E$66:RHF$66))</f>
        <v>0</v>
      </c>
      <c r="RHI66" s="956">
        <f>MIN(RHI60*$C$65,Application!$AO$636-SUM('15 Year Pro Forma'!$E$66:RHH$66))</f>
        <v>0</v>
      </c>
      <c r="RHK66" s="956">
        <f>MIN(RHK60*$C$65,Application!$AO$636-SUM('15 Year Pro Forma'!$E$66:RHJ$66))</f>
        <v>0</v>
      </c>
      <c r="RHM66" s="956">
        <f>MIN(RHM60*$C$65,Application!$AO$636-SUM('15 Year Pro Forma'!$E$66:RHL$66))</f>
        <v>0</v>
      </c>
      <c r="RHO66" s="956">
        <f>MIN(RHO60*$C$65,Application!$AO$636-SUM('15 Year Pro Forma'!$E$66:RHN$66))</f>
        <v>0</v>
      </c>
      <c r="RHQ66" s="956">
        <f>MIN(RHQ60*$C$65,Application!$AO$636-SUM('15 Year Pro Forma'!$E$66:RHP$66))</f>
        <v>0</v>
      </c>
      <c r="RHS66" s="956">
        <f>MIN(RHS60*$C$65,Application!$AO$636-SUM('15 Year Pro Forma'!$E$66:RHR$66))</f>
        <v>0</v>
      </c>
      <c r="RHU66" s="956">
        <f>MIN(RHU60*$C$65,Application!$AO$636-SUM('15 Year Pro Forma'!$E$66:RHT$66))</f>
        <v>0</v>
      </c>
      <c r="RHW66" s="956">
        <f>MIN(RHW60*$C$65,Application!$AO$636-SUM('15 Year Pro Forma'!$E$66:RHV$66))</f>
        <v>0</v>
      </c>
      <c r="RHY66" s="956">
        <f>MIN(RHY60*$C$65,Application!$AO$636-SUM('15 Year Pro Forma'!$E$66:RHX$66))</f>
        <v>0</v>
      </c>
      <c r="RIA66" s="956">
        <f>MIN(RIA60*$C$65,Application!$AO$636-SUM('15 Year Pro Forma'!$E$66:RHZ$66))</f>
        <v>0</v>
      </c>
      <c r="RIC66" s="956">
        <f>MIN(RIC60*$C$65,Application!$AO$636-SUM('15 Year Pro Forma'!$E$66:RIB$66))</f>
        <v>0</v>
      </c>
      <c r="RIE66" s="956">
        <f>MIN(RIE60*$C$65,Application!$AO$636-SUM('15 Year Pro Forma'!$E$66:RID$66))</f>
        <v>0</v>
      </c>
      <c r="RIG66" s="956">
        <f>MIN(RIG60*$C$65,Application!$AO$636-SUM('15 Year Pro Forma'!$E$66:RIF$66))</f>
        <v>0</v>
      </c>
      <c r="RII66" s="956">
        <f>MIN(RII60*$C$65,Application!$AO$636-SUM('15 Year Pro Forma'!$E$66:RIH$66))</f>
        <v>0</v>
      </c>
      <c r="RIK66" s="956">
        <f>MIN(RIK60*$C$65,Application!$AO$636-SUM('15 Year Pro Forma'!$E$66:RIJ$66))</f>
        <v>0</v>
      </c>
      <c r="RIM66" s="956">
        <f>MIN(RIM60*$C$65,Application!$AO$636-SUM('15 Year Pro Forma'!$E$66:RIL$66))</f>
        <v>0</v>
      </c>
      <c r="RIO66" s="956">
        <f>MIN(RIO60*$C$65,Application!$AO$636-SUM('15 Year Pro Forma'!$E$66:RIN$66))</f>
        <v>0</v>
      </c>
      <c r="RIQ66" s="956">
        <f>MIN(RIQ60*$C$65,Application!$AO$636-SUM('15 Year Pro Forma'!$E$66:RIP$66))</f>
        <v>0</v>
      </c>
      <c r="RIS66" s="956">
        <f>MIN(RIS60*$C$65,Application!$AO$636-SUM('15 Year Pro Forma'!$E$66:RIR$66))</f>
        <v>0</v>
      </c>
      <c r="RIU66" s="956">
        <f>MIN(RIU60*$C$65,Application!$AO$636-SUM('15 Year Pro Forma'!$E$66:RIT$66))</f>
        <v>0</v>
      </c>
      <c r="RIW66" s="956">
        <f>MIN(RIW60*$C$65,Application!$AO$636-SUM('15 Year Pro Forma'!$E$66:RIV$66))</f>
        <v>0</v>
      </c>
      <c r="RIY66" s="956">
        <f>MIN(RIY60*$C$65,Application!$AO$636-SUM('15 Year Pro Forma'!$E$66:RIX$66))</f>
        <v>0</v>
      </c>
      <c r="RJA66" s="956">
        <f>MIN(RJA60*$C$65,Application!$AO$636-SUM('15 Year Pro Forma'!$E$66:RIZ$66))</f>
        <v>0</v>
      </c>
      <c r="RJC66" s="956">
        <f>MIN(RJC60*$C$65,Application!$AO$636-SUM('15 Year Pro Forma'!$E$66:RJB$66))</f>
        <v>0</v>
      </c>
      <c r="RJE66" s="956">
        <f>MIN(RJE60*$C$65,Application!$AO$636-SUM('15 Year Pro Forma'!$E$66:RJD$66))</f>
        <v>0</v>
      </c>
      <c r="RJG66" s="956">
        <f>MIN(RJG60*$C$65,Application!$AO$636-SUM('15 Year Pro Forma'!$E$66:RJF$66))</f>
        <v>0</v>
      </c>
      <c r="RJI66" s="956">
        <f>MIN(RJI60*$C$65,Application!$AO$636-SUM('15 Year Pro Forma'!$E$66:RJH$66))</f>
        <v>0</v>
      </c>
      <c r="RJK66" s="956">
        <f>MIN(RJK60*$C$65,Application!$AO$636-SUM('15 Year Pro Forma'!$E$66:RJJ$66))</f>
        <v>0</v>
      </c>
      <c r="RJM66" s="956">
        <f>MIN(RJM60*$C$65,Application!$AO$636-SUM('15 Year Pro Forma'!$E$66:RJL$66))</f>
        <v>0</v>
      </c>
      <c r="RJO66" s="956">
        <f>MIN(RJO60*$C$65,Application!$AO$636-SUM('15 Year Pro Forma'!$E$66:RJN$66))</f>
        <v>0</v>
      </c>
      <c r="RJQ66" s="956">
        <f>MIN(RJQ60*$C$65,Application!$AO$636-SUM('15 Year Pro Forma'!$E$66:RJP$66))</f>
        <v>0</v>
      </c>
      <c r="RJS66" s="956">
        <f>MIN(RJS60*$C$65,Application!$AO$636-SUM('15 Year Pro Forma'!$E$66:RJR$66))</f>
        <v>0</v>
      </c>
      <c r="RJU66" s="956">
        <f>MIN(RJU60*$C$65,Application!$AO$636-SUM('15 Year Pro Forma'!$E$66:RJT$66))</f>
        <v>0</v>
      </c>
      <c r="RJW66" s="956">
        <f>MIN(RJW60*$C$65,Application!$AO$636-SUM('15 Year Pro Forma'!$E$66:RJV$66))</f>
        <v>0</v>
      </c>
      <c r="RJY66" s="956">
        <f>MIN(RJY60*$C$65,Application!$AO$636-SUM('15 Year Pro Forma'!$E$66:RJX$66))</f>
        <v>0</v>
      </c>
      <c r="RKA66" s="956">
        <f>MIN(RKA60*$C$65,Application!$AO$636-SUM('15 Year Pro Forma'!$E$66:RJZ$66))</f>
        <v>0</v>
      </c>
      <c r="RKC66" s="956">
        <f>MIN(RKC60*$C$65,Application!$AO$636-SUM('15 Year Pro Forma'!$E$66:RKB$66))</f>
        <v>0</v>
      </c>
      <c r="RKE66" s="956">
        <f>MIN(RKE60*$C$65,Application!$AO$636-SUM('15 Year Pro Forma'!$E$66:RKD$66))</f>
        <v>0</v>
      </c>
      <c r="RKG66" s="956">
        <f>MIN(RKG60*$C$65,Application!$AO$636-SUM('15 Year Pro Forma'!$E$66:RKF$66))</f>
        <v>0</v>
      </c>
      <c r="RKI66" s="956">
        <f>MIN(RKI60*$C$65,Application!$AO$636-SUM('15 Year Pro Forma'!$E$66:RKH$66))</f>
        <v>0</v>
      </c>
      <c r="RKK66" s="956">
        <f>MIN(RKK60*$C$65,Application!$AO$636-SUM('15 Year Pro Forma'!$E$66:RKJ$66))</f>
        <v>0</v>
      </c>
      <c r="RKM66" s="956">
        <f>MIN(RKM60*$C$65,Application!$AO$636-SUM('15 Year Pro Forma'!$E$66:RKL$66))</f>
        <v>0</v>
      </c>
      <c r="RKO66" s="956">
        <f>MIN(RKO60*$C$65,Application!$AO$636-SUM('15 Year Pro Forma'!$E$66:RKN$66))</f>
        <v>0</v>
      </c>
      <c r="RKQ66" s="956">
        <f>MIN(RKQ60*$C$65,Application!$AO$636-SUM('15 Year Pro Forma'!$E$66:RKP$66))</f>
        <v>0</v>
      </c>
      <c r="RKS66" s="956">
        <f>MIN(RKS60*$C$65,Application!$AO$636-SUM('15 Year Pro Forma'!$E$66:RKR$66))</f>
        <v>0</v>
      </c>
      <c r="RKU66" s="956">
        <f>MIN(RKU60*$C$65,Application!$AO$636-SUM('15 Year Pro Forma'!$E$66:RKT$66))</f>
        <v>0</v>
      </c>
      <c r="RKW66" s="956">
        <f>MIN(RKW60*$C$65,Application!$AO$636-SUM('15 Year Pro Forma'!$E$66:RKV$66))</f>
        <v>0</v>
      </c>
      <c r="RKY66" s="956">
        <f>MIN(RKY60*$C$65,Application!$AO$636-SUM('15 Year Pro Forma'!$E$66:RKX$66))</f>
        <v>0</v>
      </c>
      <c r="RLA66" s="956">
        <f>MIN(RLA60*$C$65,Application!$AO$636-SUM('15 Year Pro Forma'!$E$66:RKZ$66))</f>
        <v>0</v>
      </c>
      <c r="RLC66" s="956">
        <f>MIN(RLC60*$C$65,Application!$AO$636-SUM('15 Year Pro Forma'!$E$66:RLB$66))</f>
        <v>0</v>
      </c>
      <c r="RLE66" s="956">
        <f>MIN(RLE60*$C$65,Application!$AO$636-SUM('15 Year Pro Forma'!$E$66:RLD$66))</f>
        <v>0</v>
      </c>
      <c r="RLG66" s="956">
        <f>MIN(RLG60*$C$65,Application!$AO$636-SUM('15 Year Pro Forma'!$E$66:RLF$66))</f>
        <v>0</v>
      </c>
      <c r="RLI66" s="956">
        <f>MIN(RLI60*$C$65,Application!$AO$636-SUM('15 Year Pro Forma'!$E$66:RLH$66))</f>
        <v>0</v>
      </c>
      <c r="RLK66" s="956">
        <f>MIN(RLK60*$C$65,Application!$AO$636-SUM('15 Year Pro Forma'!$E$66:RLJ$66))</f>
        <v>0</v>
      </c>
      <c r="RLM66" s="956">
        <f>MIN(RLM60*$C$65,Application!$AO$636-SUM('15 Year Pro Forma'!$E$66:RLL$66))</f>
        <v>0</v>
      </c>
      <c r="RLO66" s="956">
        <f>MIN(RLO60*$C$65,Application!$AO$636-SUM('15 Year Pro Forma'!$E$66:RLN$66))</f>
        <v>0</v>
      </c>
      <c r="RLQ66" s="956">
        <f>MIN(RLQ60*$C$65,Application!$AO$636-SUM('15 Year Pro Forma'!$E$66:RLP$66))</f>
        <v>0</v>
      </c>
      <c r="RLS66" s="956">
        <f>MIN(RLS60*$C$65,Application!$AO$636-SUM('15 Year Pro Forma'!$E$66:RLR$66))</f>
        <v>0</v>
      </c>
      <c r="RLU66" s="956">
        <f>MIN(RLU60*$C$65,Application!$AO$636-SUM('15 Year Pro Forma'!$E$66:RLT$66))</f>
        <v>0</v>
      </c>
      <c r="RLW66" s="956">
        <f>MIN(RLW60*$C$65,Application!$AO$636-SUM('15 Year Pro Forma'!$E$66:RLV$66))</f>
        <v>0</v>
      </c>
      <c r="RLY66" s="956">
        <f>MIN(RLY60*$C$65,Application!$AO$636-SUM('15 Year Pro Forma'!$E$66:RLX$66))</f>
        <v>0</v>
      </c>
      <c r="RMA66" s="956">
        <f>MIN(RMA60*$C$65,Application!$AO$636-SUM('15 Year Pro Forma'!$E$66:RLZ$66))</f>
        <v>0</v>
      </c>
      <c r="RMC66" s="956">
        <f>MIN(RMC60*$C$65,Application!$AO$636-SUM('15 Year Pro Forma'!$E$66:RMB$66))</f>
        <v>0</v>
      </c>
      <c r="RME66" s="956">
        <f>MIN(RME60*$C$65,Application!$AO$636-SUM('15 Year Pro Forma'!$E$66:RMD$66))</f>
        <v>0</v>
      </c>
      <c r="RMG66" s="956">
        <f>MIN(RMG60*$C$65,Application!$AO$636-SUM('15 Year Pro Forma'!$E$66:RMF$66))</f>
        <v>0</v>
      </c>
      <c r="RMI66" s="956">
        <f>MIN(RMI60*$C$65,Application!$AO$636-SUM('15 Year Pro Forma'!$E$66:RMH$66))</f>
        <v>0</v>
      </c>
      <c r="RMK66" s="956">
        <f>MIN(RMK60*$C$65,Application!$AO$636-SUM('15 Year Pro Forma'!$E$66:RMJ$66))</f>
        <v>0</v>
      </c>
      <c r="RMM66" s="956">
        <f>MIN(RMM60*$C$65,Application!$AO$636-SUM('15 Year Pro Forma'!$E$66:RML$66))</f>
        <v>0</v>
      </c>
      <c r="RMO66" s="956">
        <f>MIN(RMO60*$C$65,Application!$AO$636-SUM('15 Year Pro Forma'!$E$66:RMN$66))</f>
        <v>0</v>
      </c>
      <c r="RMQ66" s="956">
        <f>MIN(RMQ60*$C$65,Application!$AO$636-SUM('15 Year Pro Forma'!$E$66:RMP$66))</f>
        <v>0</v>
      </c>
      <c r="RMS66" s="956">
        <f>MIN(RMS60*$C$65,Application!$AO$636-SUM('15 Year Pro Forma'!$E$66:RMR$66))</f>
        <v>0</v>
      </c>
      <c r="RMU66" s="956">
        <f>MIN(RMU60*$C$65,Application!$AO$636-SUM('15 Year Pro Forma'!$E$66:RMT$66))</f>
        <v>0</v>
      </c>
      <c r="RMW66" s="956">
        <f>MIN(RMW60*$C$65,Application!$AO$636-SUM('15 Year Pro Forma'!$E$66:RMV$66))</f>
        <v>0</v>
      </c>
      <c r="RMY66" s="956">
        <f>MIN(RMY60*$C$65,Application!$AO$636-SUM('15 Year Pro Forma'!$E$66:RMX$66))</f>
        <v>0</v>
      </c>
      <c r="RNA66" s="956">
        <f>MIN(RNA60*$C$65,Application!$AO$636-SUM('15 Year Pro Forma'!$E$66:RMZ$66))</f>
        <v>0</v>
      </c>
      <c r="RNC66" s="956">
        <f>MIN(RNC60*$C$65,Application!$AO$636-SUM('15 Year Pro Forma'!$E$66:RNB$66))</f>
        <v>0</v>
      </c>
      <c r="RNE66" s="956">
        <f>MIN(RNE60*$C$65,Application!$AO$636-SUM('15 Year Pro Forma'!$E$66:RND$66))</f>
        <v>0</v>
      </c>
      <c r="RNG66" s="956">
        <f>MIN(RNG60*$C$65,Application!$AO$636-SUM('15 Year Pro Forma'!$E$66:RNF$66))</f>
        <v>0</v>
      </c>
      <c r="RNI66" s="956">
        <f>MIN(RNI60*$C$65,Application!$AO$636-SUM('15 Year Pro Forma'!$E$66:RNH$66))</f>
        <v>0</v>
      </c>
      <c r="RNK66" s="956">
        <f>MIN(RNK60*$C$65,Application!$AO$636-SUM('15 Year Pro Forma'!$E$66:RNJ$66))</f>
        <v>0</v>
      </c>
      <c r="RNM66" s="956">
        <f>MIN(RNM60*$C$65,Application!$AO$636-SUM('15 Year Pro Forma'!$E$66:RNL$66))</f>
        <v>0</v>
      </c>
      <c r="RNO66" s="956">
        <f>MIN(RNO60*$C$65,Application!$AO$636-SUM('15 Year Pro Forma'!$E$66:RNN$66))</f>
        <v>0</v>
      </c>
      <c r="RNQ66" s="956">
        <f>MIN(RNQ60*$C$65,Application!$AO$636-SUM('15 Year Pro Forma'!$E$66:RNP$66))</f>
        <v>0</v>
      </c>
      <c r="RNS66" s="956">
        <f>MIN(RNS60*$C$65,Application!$AO$636-SUM('15 Year Pro Forma'!$E$66:RNR$66))</f>
        <v>0</v>
      </c>
      <c r="RNU66" s="956">
        <f>MIN(RNU60*$C$65,Application!$AO$636-SUM('15 Year Pro Forma'!$E$66:RNT$66))</f>
        <v>0</v>
      </c>
      <c r="RNW66" s="956">
        <f>MIN(RNW60*$C$65,Application!$AO$636-SUM('15 Year Pro Forma'!$E$66:RNV$66))</f>
        <v>0</v>
      </c>
      <c r="RNY66" s="956">
        <f>MIN(RNY60*$C$65,Application!$AO$636-SUM('15 Year Pro Forma'!$E$66:RNX$66))</f>
        <v>0</v>
      </c>
      <c r="ROA66" s="956">
        <f>MIN(ROA60*$C$65,Application!$AO$636-SUM('15 Year Pro Forma'!$E$66:RNZ$66))</f>
        <v>0</v>
      </c>
      <c r="ROC66" s="956">
        <f>MIN(ROC60*$C$65,Application!$AO$636-SUM('15 Year Pro Forma'!$E$66:ROB$66))</f>
        <v>0</v>
      </c>
      <c r="ROE66" s="956">
        <f>MIN(ROE60*$C$65,Application!$AO$636-SUM('15 Year Pro Forma'!$E$66:ROD$66))</f>
        <v>0</v>
      </c>
      <c r="ROG66" s="956">
        <f>MIN(ROG60*$C$65,Application!$AO$636-SUM('15 Year Pro Forma'!$E$66:ROF$66))</f>
        <v>0</v>
      </c>
      <c r="ROI66" s="956">
        <f>MIN(ROI60*$C$65,Application!$AO$636-SUM('15 Year Pro Forma'!$E$66:ROH$66))</f>
        <v>0</v>
      </c>
      <c r="ROK66" s="956">
        <f>MIN(ROK60*$C$65,Application!$AO$636-SUM('15 Year Pro Forma'!$E$66:ROJ$66))</f>
        <v>0</v>
      </c>
      <c r="ROM66" s="956">
        <f>MIN(ROM60*$C$65,Application!$AO$636-SUM('15 Year Pro Forma'!$E$66:ROL$66))</f>
        <v>0</v>
      </c>
      <c r="ROO66" s="956">
        <f>MIN(ROO60*$C$65,Application!$AO$636-SUM('15 Year Pro Forma'!$E$66:RON$66))</f>
        <v>0</v>
      </c>
      <c r="ROQ66" s="956">
        <f>MIN(ROQ60*$C$65,Application!$AO$636-SUM('15 Year Pro Forma'!$E$66:ROP$66))</f>
        <v>0</v>
      </c>
      <c r="ROS66" s="956">
        <f>MIN(ROS60*$C$65,Application!$AO$636-SUM('15 Year Pro Forma'!$E$66:ROR$66))</f>
        <v>0</v>
      </c>
      <c r="ROU66" s="956">
        <f>MIN(ROU60*$C$65,Application!$AO$636-SUM('15 Year Pro Forma'!$E$66:ROT$66))</f>
        <v>0</v>
      </c>
      <c r="ROW66" s="956">
        <f>MIN(ROW60*$C$65,Application!$AO$636-SUM('15 Year Pro Forma'!$E$66:ROV$66))</f>
        <v>0</v>
      </c>
      <c r="ROY66" s="956">
        <f>MIN(ROY60*$C$65,Application!$AO$636-SUM('15 Year Pro Forma'!$E$66:ROX$66))</f>
        <v>0</v>
      </c>
      <c r="RPA66" s="956">
        <f>MIN(RPA60*$C$65,Application!$AO$636-SUM('15 Year Pro Forma'!$E$66:ROZ$66))</f>
        <v>0</v>
      </c>
      <c r="RPC66" s="956">
        <f>MIN(RPC60*$C$65,Application!$AO$636-SUM('15 Year Pro Forma'!$E$66:RPB$66))</f>
        <v>0</v>
      </c>
      <c r="RPE66" s="956">
        <f>MIN(RPE60*$C$65,Application!$AO$636-SUM('15 Year Pro Forma'!$E$66:RPD$66))</f>
        <v>0</v>
      </c>
      <c r="RPG66" s="956">
        <f>MIN(RPG60*$C$65,Application!$AO$636-SUM('15 Year Pro Forma'!$E$66:RPF$66))</f>
        <v>0</v>
      </c>
      <c r="RPI66" s="956">
        <f>MIN(RPI60*$C$65,Application!$AO$636-SUM('15 Year Pro Forma'!$E$66:RPH$66))</f>
        <v>0</v>
      </c>
      <c r="RPK66" s="956">
        <f>MIN(RPK60*$C$65,Application!$AO$636-SUM('15 Year Pro Forma'!$E$66:RPJ$66))</f>
        <v>0</v>
      </c>
      <c r="RPM66" s="956">
        <f>MIN(RPM60*$C$65,Application!$AO$636-SUM('15 Year Pro Forma'!$E$66:RPL$66))</f>
        <v>0</v>
      </c>
      <c r="RPO66" s="956">
        <f>MIN(RPO60*$C$65,Application!$AO$636-SUM('15 Year Pro Forma'!$E$66:RPN$66))</f>
        <v>0</v>
      </c>
      <c r="RPQ66" s="956">
        <f>MIN(RPQ60*$C$65,Application!$AO$636-SUM('15 Year Pro Forma'!$E$66:RPP$66))</f>
        <v>0</v>
      </c>
      <c r="RPS66" s="956">
        <f>MIN(RPS60*$C$65,Application!$AO$636-SUM('15 Year Pro Forma'!$E$66:RPR$66))</f>
        <v>0</v>
      </c>
      <c r="RPU66" s="956">
        <f>MIN(RPU60*$C$65,Application!$AO$636-SUM('15 Year Pro Forma'!$E$66:RPT$66))</f>
        <v>0</v>
      </c>
      <c r="RPW66" s="956">
        <f>MIN(RPW60*$C$65,Application!$AO$636-SUM('15 Year Pro Forma'!$E$66:RPV$66))</f>
        <v>0</v>
      </c>
      <c r="RPY66" s="956">
        <f>MIN(RPY60*$C$65,Application!$AO$636-SUM('15 Year Pro Forma'!$E$66:RPX$66))</f>
        <v>0</v>
      </c>
      <c r="RQA66" s="956">
        <f>MIN(RQA60*$C$65,Application!$AO$636-SUM('15 Year Pro Forma'!$E$66:RPZ$66))</f>
        <v>0</v>
      </c>
      <c r="RQC66" s="956">
        <f>MIN(RQC60*$C$65,Application!$AO$636-SUM('15 Year Pro Forma'!$E$66:RQB$66))</f>
        <v>0</v>
      </c>
      <c r="RQE66" s="956">
        <f>MIN(RQE60*$C$65,Application!$AO$636-SUM('15 Year Pro Forma'!$E$66:RQD$66))</f>
        <v>0</v>
      </c>
      <c r="RQG66" s="956">
        <f>MIN(RQG60*$C$65,Application!$AO$636-SUM('15 Year Pro Forma'!$E$66:RQF$66))</f>
        <v>0</v>
      </c>
      <c r="RQI66" s="956">
        <f>MIN(RQI60*$C$65,Application!$AO$636-SUM('15 Year Pro Forma'!$E$66:RQH$66))</f>
        <v>0</v>
      </c>
      <c r="RQK66" s="956">
        <f>MIN(RQK60*$C$65,Application!$AO$636-SUM('15 Year Pro Forma'!$E$66:RQJ$66))</f>
        <v>0</v>
      </c>
      <c r="RQM66" s="956">
        <f>MIN(RQM60*$C$65,Application!$AO$636-SUM('15 Year Pro Forma'!$E$66:RQL$66))</f>
        <v>0</v>
      </c>
      <c r="RQO66" s="956">
        <f>MIN(RQO60*$C$65,Application!$AO$636-SUM('15 Year Pro Forma'!$E$66:RQN$66))</f>
        <v>0</v>
      </c>
      <c r="RQQ66" s="956">
        <f>MIN(RQQ60*$C$65,Application!$AO$636-SUM('15 Year Pro Forma'!$E$66:RQP$66))</f>
        <v>0</v>
      </c>
      <c r="RQS66" s="956">
        <f>MIN(RQS60*$C$65,Application!$AO$636-SUM('15 Year Pro Forma'!$E$66:RQR$66))</f>
        <v>0</v>
      </c>
      <c r="RQU66" s="956">
        <f>MIN(RQU60*$C$65,Application!$AO$636-SUM('15 Year Pro Forma'!$E$66:RQT$66))</f>
        <v>0</v>
      </c>
      <c r="RQW66" s="956">
        <f>MIN(RQW60*$C$65,Application!$AO$636-SUM('15 Year Pro Forma'!$E$66:RQV$66))</f>
        <v>0</v>
      </c>
      <c r="RQY66" s="956">
        <f>MIN(RQY60*$C$65,Application!$AO$636-SUM('15 Year Pro Forma'!$E$66:RQX$66))</f>
        <v>0</v>
      </c>
      <c r="RRA66" s="956">
        <f>MIN(RRA60*$C$65,Application!$AO$636-SUM('15 Year Pro Forma'!$E$66:RQZ$66))</f>
        <v>0</v>
      </c>
      <c r="RRC66" s="956">
        <f>MIN(RRC60*$C$65,Application!$AO$636-SUM('15 Year Pro Forma'!$E$66:RRB$66))</f>
        <v>0</v>
      </c>
      <c r="RRE66" s="956">
        <f>MIN(RRE60*$C$65,Application!$AO$636-SUM('15 Year Pro Forma'!$E$66:RRD$66))</f>
        <v>0</v>
      </c>
      <c r="RRG66" s="956">
        <f>MIN(RRG60*$C$65,Application!$AO$636-SUM('15 Year Pro Forma'!$E$66:RRF$66))</f>
        <v>0</v>
      </c>
      <c r="RRI66" s="956">
        <f>MIN(RRI60*$C$65,Application!$AO$636-SUM('15 Year Pro Forma'!$E$66:RRH$66))</f>
        <v>0</v>
      </c>
      <c r="RRK66" s="956">
        <f>MIN(RRK60*$C$65,Application!$AO$636-SUM('15 Year Pro Forma'!$E$66:RRJ$66))</f>
        <v>0</v>
      </c>
      <c r="RRM66" s="956">
        <f>MIN(RRM60*$C$65,Application!$AO$636-SUM('15 Year Pro Forma'!$E$66:RRL$66))</f>
        <v>0</v>
      </c>
      <c r="RRO66" s="956">
        <f>MIN(RRO60*$C$65,Application!$AO$636-SUM('15 Year Pro Forma'!$E$66:RRN$66))</f>
        <v>0</v>
      </c>
      <c r="RRQ66" s="956">
        <f>MIN(RRQ60*$C$65,Application!$AO$636-SUM('15 Year Pro Forma'!$E$66:RRP$66))</f>
        <v>0</v>
      </c>
      <c r="RRS66" s="956">
        <f>MIN(RRS60*$C$65,Application!$AO$636-SUM('15 Year Pro Forma'!$E$66:RRR$66))</f>
        <v>0</v>
      </c>
      <c r="RRU66" s="956">
        <f>MIN(RRU60*$C$65,Application!$AO$636-SUM('15 Year Pro Forma'!$E$66:RRT$66))</f>
        <v>0</v>
      </c>
      <c r="RRW66" s="956">
        <f>MIN(RRW60*$C$65,Application!$AO$636-SUM('15 Year Pro Forma'!$E$66:RRV$66))</f>
        <v>0</v>
      </c>
      <c r="RRY66" s="956">
        <f>MIN(RRY60*$C$65,Application!$AO$636-SUM('15 Year Pro Forma'!$E$66:RRX$66))</f>
        <v>0</v>
      </c>
      <c r="RSA66" s="956">
        <f>MIN(RSA60*$C$65,Application!$AO$636-SUM('15 Year Pro Forma'!$E$66:RRZ$66))</f>
        <v>0</v>
      </c>
      <c r="RSC66" s="956">
        <f>MIN(RSC60*$C$65,Application!$AO$636-SUM('15 Year Pro Forma'!$E$66:RSB$66))</f>
        <v>0</v>
      </c>
      <c r="RSE66" s="956">
        <f>MIN(RSE60*$C$65,Application!$AO$636-SUM('15 Year Pro Forma'!$E$66:RSD$66))</f>
        <v>0</v>
      </c>
      <c r="RSG66" s="956">
        <f>MIN(RSG60*$C$65,Application!$AO$636-SUM('15 Year Pro Forma'!$E$66:RSF$66))</f>
        <v>0</v>
      </c>
      <c r="RSI66" s="956">
        <f>MIN(RSI60*$C$65,Application!$AO$636-SUM('15 Year Pro Forma'!$E$66:RSH$66))</f>
        <v>0</v>
      </c>
      <c r="RSK66" s="956">
        <f>MIN(RSK60*$C$65,Application!$AO$636-SUM('15 Year Pro Forma'!$E$66:RSJ$66))</f>
        <v>0</v>
      </c>
      <c r="RSM66" s="956">
        <f>MIN(RSM60*$C$65,Application!$AO$636-SUM('15 Year Pro Forma'!$E$66:RSL$66))</f>
        <v>0</v>
      </c>
      <c r="RSO66" s="956">
        <f>MIN(RSO60*$C$65,Application!$AO$636-SUM('15 Year Pro Forma'!$E$66:RSN$66))</f>
        <v>0</v>
      </c>
      <c r="RSQ66" s="956">
        <f>MIN(RSQ60*$C$65,Application!$AO$636-SUM('15 Year Pro Forma'!$E$66:RSP$66))</f>
        <v>0</v>
      </c>
      <c r="RSS66" s="956">
        <f>MIN(RSS60*$C$65,Application!$AO$636-SUM('15 Year Pro Forma'!$E$66:RSR$66))</f>
        <v>0</v>
      </c>
      <c r="RSU66" s="956">
        <f>MIN(RSU60*$C$65,Application!$AO$636-SUM('15 Year Pro Forma'!$E$66:RST$66))</f>
        <v>0</v>
      </c>
      <c r="RSW66" s="956">
        <f>MIN(RSW60*$C$65,Application!$AO$636-SUM('15 Year Pro Forma'!$E$66:RSV$66))</f>
        <v>0</v>
      </c>
      <c r="RSY66" s="956">
        <f>MIN(RSY60*$C$65,Application!$AO$636-SUM('15 Year Pro Forma'!$E$66:RSX$66))</f>
        <v>0</v>
      </c>
      <c r="RTA66" s="956">
        <f>MIN(RTA60*$C$65,Application!$AO$636-SUM('15 Year Pro Forma'!$E$66:RSZ$66))</f>
        <v>0</v>
      </c>
      <c r="RTC66" s="956">
        <f>MIN(RTC60*$C$65,Application!$AO$636-SUM('15 Year Pro Forma'!$E$66:RTB$66))</f>
        <v>0</v>
      </c>
      <c r="RTE66" s="956">
        <f>MIN(RTE60*$C$65,Application!$AO$636-SUM('15 Year Pro Forma'!$E$66:RTD$66))</f>
        <v>0</v>
      </c>
      <c r="RTG66" s="956">
        <f>MIN(RTG60*$C$65,Application!$AO$636-SUM('15 Year Pro Forma'!$E$66:RTF$66))</f>
        <v>0</v>
      </c>
      <c r="RTI66" s="956">
        <f>MIN(RTI60*$C$65,Application!$AO$636-SUM('15 Year Pro Forma'!$E$66:RTH$66))</f>
        <v>0</v>
      </c>
      <c r="RTK66" s="956">
        <f>MIN(RTK60*$C$65,Application!$AO$636-SUM('15 Year Pro Forma'!$E$66:RTJ$66))</f>
        <v>0</v>
      </c>
      <c r="RTM66" s="956">
        <f>MIN(RTM60*$C$65,Application!$AO$636-SUM('15 Year Pro Forma'!$E$66:RTL$66))</f>
        <v>0</v>
      </c>
      <c r="RTO66" s="956">
        <f>MIN(RTO60*$C$65,Application!$AO$636-SUM('15 Year Pro Forma'!$E$66:RTN$66))</f>
        <v>0</v>
      </c>
      <c r="RTQ66" s="956">
        <f>MIN(RTQ60*$C$65,Application!$AO$636-SUM('15 Year Pro Forma'!$E$66:RTP$66))</f>
        <v>0</v>
      </c>
      <c r="RTS66" s="956">
        <f>MIN(RTS60*$C$65,Application!$AO$636-SUM('15 Year Pro Forma'!$E$66:RTR$66))</f>
        <v>0</v>
      </c>
      <c r="RTU66" s="956">
        <f>MIN(RTU60*$C$65,Application!$AO$636-SUM('15 Year Pro Forma'!$E$66:RTT$66))</f>
        <v>0</v>
      </c>
      <c r="RTW66" s="956">
        <f>MIN(RTW60*$C$65,Application!$AO$636-SUM('15 Year Pro Forma'!$E$66:RTV$66))</f>
        <v>0</v>
      </c>
      <c r="RTY66" s="956">
        <f>MIN(RTY60*$C$65,Application!$AO$636-SUM('15 Year Pro Forma'!$E$66:RTX$66))</f>
        <v>0</v>
      </c>
      <c r="RUA66" s="956">
        <f>MIN(RUA60*$C$65,Application!$AO$636-SUM('15 Year Pro Forma'!$E$66:RTZ$66))</f>
        <v>0</v>
      </c>
      <c r="RUC66" s="956">
        <f>MIN(RUC60*$C$65,Application!$AO$636-SUM('15 Year Pro Forma'!$E$66:RUB$66))</f>
        <v>0</v>
      </c>
      <c r="RUE66" s="956">
        <f>MIN(RUE60*$C$65,Application!$AO$636-SUM('15 Year Pro Forma'!$E$66:RUD$66))</f>
        <v>0</v>
      </c>
      <c r="RUG66" s="956">
        <f>MIN(RUG60*$C$65,Application!$AO$636-SUM('15 Year Pro Forma'!$E$66:RUF$66))</f>
        <v>0</v>
      </c>
      <c r="RUI66" s="956">
        <f>MIN(RUI60*$C$65,Application!$AO$636-SUM('15 Year Pro Forma'!$E$66:RUH$66))</f>
        <v>0</v>
      </c>
      <c r="RUK66" s="956">
        <f>MIN(RUK60*$C$65,Application!$AO$636-SUM('15 Year Pro Forma'!$E$66:RUJ$66))</f>
        <v>0</v>
      </c>
      <c r="RUM66" s="956">
        <f>MIN(RUM60*$C$65,Application!$AO$636-SUM('15 Year Pro Forma'!$E$66:RUL$66))</f>
        <v>0</v>
      </c>
      <c r="RUO66" s="956">
        <f>MIN(RUO60*$C$65,Application!$AO$636-SUM('15 Year Pro Forma'!$E$66:RUN$66))</f>
        <v>0</v>
      </c>
      <c r="RUQ66" s="956">
        <f>MIN(RUQ60*$C$65,Application!$AO$636-SUM('15 Year Pro Forma'!$E$66:RUP$66))</f>
        <v>0</v>
      </c>
      <c r="RUS66" s="956">
        <f>MIN(RUS60*$C$65,Application!$AO$636-SUM('15 Year Pro Forma'!$E$66:RUR$66))</f>
        <v>0</v>
      </c>
      <c r="RUU66" s="956">
        <f>MIN(RUU60*$C$65,Application!$AO$636-SUM('15 Year Pro Forma'!$E$66:RUT$66))</f>
        <v>0</v>
      </c>
      <c r="RUW66" s="956">
        <f>MIN(RUW60*$C$65,Application!$AO$636-SUM('15 Year Pro Forma'!$E$66:RUV$66))</f>
        <v>0</v>
      </c>
      <c r="RUY66" s="956">
        <f>MIN(RUY60*$C$65,Application!$AO$636-SUM('15 Year Pro Forma'!$E$66:RUX$66))</f>
        <v>0</v>
      </c>
      <c r="RVA66" s="956">
        <f>MIN(RVA60*$C$65,Application!$AO$636-SUM('15 Year Pro Forma'!$E$66:RUZ$66))</f>
        <v>0</v>
      </c>
      <c r="RVC66" s="956">
        <f>MIN(RVC60*$C$65,Application!$AO$636-SUM('15 Year Pro Forma'!$E$66:RVB$66))</f>
        <v>0</v>
      </c>
      <c r="RVE66" s="956">
        <f>MIN(RVE60*$C$65,Application!$AO$636-SUM('15 Year Pro Forma'!$E$66:RVD$66))</f>
        <v>0</v>
      </c>
      <c r="RVG66" s="956">
        <f>MIN(RVG60*$C$65,Application!$AO$636-SUM('15 Year Pro Forma'!$E$66:RVF$66))</f>
        <v>0</v>
      </c>
      <c r="RVI66" s="956">
        <f>MIN(RVI60*$C$65,Application!$AO$636-SUM('15 Year Pro Forma'!$E$66:RVH$66))</f>
        <v>0</v>
      </c>
      <c r="RVK66" s="956">
        <f>MIN(RVK60*$C$65,Application!$AO$636-SUM('15 Year Pro Forma'!$E$66:RVJ$66))</f>
        <v>0</v>
      </c>
      <c r="RVM66" s="956">
        <f>MIN(RVM60*$C$65,Application!$AO$636-SUM('15 Year Pro Forma'!$E$66:RVL$66))</f>
        <v>0</v>
      </c>
      <c r="RVO66" s="956">
        <f>MIN(RVO60*$C$65,Application!$AO$636-SUM('15 Year Pro Forma'!$E$66:RVN$66))</f>
        <v>0</v>
      </c>
      <c r="RVQ66" s="956">
        <f>MIN(RVQ60*$C$65,Application!$AO$636-SUM('15 Year Pro Forma'!$E$66:RVP$66))</f>
        <v>0</v>
      </c>
      <c r="RVS66" s="956">
        <f>MIN(RVS60*$C$65,Application!$AO$636-SUM('15 Year Pro Forma'!$E$66:RVR$66))</f>
        <v>0</v>
      </c>
      <c r="RVU66" s="956">
        <f>MIN(RVU60*$C$65,Application!$AO$636-SUM('15 Year Pro Forma'!$E$66:RVT$66))</f>
        <v>0</v>
      </c>
      <c r="RVW66" s="956">
        <f>MIN(RVW60*$C$65,Application!$AO$636-SUM('15 Year Pro Forma'!$E$66:RVV$66))</f>
        <v>0</v>
      </c>
      <c r="RVY66" s="956">
        <f>MIN(RVY60*$C$65,Application!$AO$636-SUM('15 Year Pro Forma'!$E$66:RVX$66))</f>
        <v>0</v>
      </c>
      <c r="RWA66" s="956">
        <f>MIN(RWA60*$C$65,Application!$AO$636-SUM('15 Year Pro Forma'!$E$66:RVZ$66))</f>
        <v>0</v>
      </c>
      <c r="RWC66" s="956">
        <f>MIN(RWC60*$C$65,Application!$AO$636-SUM('15 Year Pro Forma'!$E$66:RWB$66))</f>
        <v>0</v>
      </c>
      <c r="RWE66" s="956">
        <f>MIN(RWE60*$C$65,Application!$AO$636-SUM('15 Year Pro Forma'!$E$66:RWD$66))</f>
        <v>0</v>
      </c>
      <c r="RWG66" s="956">
        <f>MIN(RWG60*$C$65,Application!$AO$636-SUM('15 Year Pro Forma'!$E$66:RWF$66))</f>
        <v>0</v>
      </c>
      <c r="RWI66" s="956">
        <f>MIN(RWI60*$C$65,Application!$AO$636-SUM('15 Year Pro Forma'!$E$66:RWH$66))</f>
        <v>0</v>
      </c>
      <c r="RWK66" s="956">
        <f>MIN(RWK60*$C$65,Application!$AO$636-SUM('15 Year Pro Forma'!$E$66:RWJ$66))</f>
        <v>0</v>
      </c>
      <c r="RWM66" s="956">
        <f>MIN(RWM60*$C$65,Application!$AO$636-SUM('15 Year Pro Forma'!$E$66:RWL$66))</f>
        <v>0</v>
      </c>
      <c r="RWO66" s="956">
        <f>MIN(RWO60*$C$65,Application!$AO$636-SUM('15 Year Pro Forma'!$E$66:RWN$66))</f>
        <v>0</v>
      </c>
      <c r="RWQ66" s="956">
        <f>MIN(RWQ60*$C$65,Application!$AO$636-SUM('15 Year Pro Forma'!$E$66:RWP$66))</f>
        <v>0</v>
      </c>
      <c r="RWS66" s="956">
        <f>MIN(RWS60*$C$65,Application!$AO$636-SUM('15 Year Pro Forma'!$E$66:RWR$66))</f>
        <v>0</v>
      </c>
      <c r="RWU66" s="956">
        <f>MIN(RWU60*$C$65,Application!$AO$636-SUM('15 Year Pro Forma'!$E$66:RWT$66))</f>
        <v>0</v>
      </c>
      <c r="RWW66" s="956">
        <f>MIN(RWW60*$C$65,Application!$AO$636-SUM('15 Year Pro Forma'!$E$66:RWV$66))</f>
        <v>0</v>
      </c>
      <c r="RWY66" s="956">
        <f>MIN(RWY60*$C$65,Application!$AO$636-SUM('15 Year Pro Forma'!$E$66:RWX$66))</f>
        <v>0</v>
      </c>
      <c r="RXA66" s="956">
        <f>MIN(RXA60*$C$65,Application!$AO$636-SUM('15 Year Pro Forma'!$E$66:RWZ$66))</f>
        <v>0</v>
      </c>
      <c r="RXC66" s="956">
        <f>MIN(RXC60*$C$65,Application!$AO$636-SUM('15 Year Pro Forma'!$E$66:RXB$66))</f>
        <v>0</v>
      </c>
      <c r="RXE66" s="956">
        <f>MIN(RXE60*$C$65,Application!$AO$636-SUM('15 Year Pro Forma'!$E$66:RXD$66))</f>
        <v>0</v>
      </c>
      <c r="RXG66" s="956">
        <f>MIN(RXG60*$C$65,Application!$AO$636-SUM('15 Year Pro Forma'!$E$66:RXF$66))</f>
        <v>0</v>
      </c>
      <c r="RXI66" s="956">
        <f>MIN(RXI60*$C$65,Application!$AO$636-SUM('15 Year Pro Forma'!$E$66:RXH$66))</f>
        <v>0</v>
      </c>
      <c r="RXK66" s="956">
        <f>MIN(RXK60*$C$65,Application!$AO$636-SUM('15 Year Pro Forma'!$E$66:RXJ$66))</f>
        <v>0</v>
      </c>
      <c r="RXM66" s="956">
        <f>MIN(RXM60*$C$65,Application!$AO$636-SUM('15 Year Pro Forma'!$E$66:RXL$66))</f>
        <v>0</v>
      </c>
      <c r="RXO66" s="956">
        <f>MIN(RXO60*$C$65,Application!$AO$636-SUM('15 Year Pro Forma'!$E$66:RXN$66))</f>
        <v>0</v>
      </c>
      <c r="RXQ66" s="956">
        <f>MIN(RXQ60*$C$65,Application!$AO$636-SUM('15 Year Pro Forma'!$E$66:RXP$66))</f>
        <v>0</v>
      </c>
      <c r="RXS66" s="956">
        <f>MIN(RXS60*$C$65,Application!$AO$636-SUM('15 Year Pro Forma'!$E$66:RXR$66))</f>
        <v>0</v>
      </c>
      <c r="RXU66" s="956">
        <f>MIN(RXU60*$C$65,Application!$AO$636-SUM('15 Year Pro Forma'!$E$66:RXT$66))</f>
        <v>0</v>
      </c>
      <c r="RXW66" s="956">
        <f>MIN(RXW60*$C$65,Application!$AO$636-SUM('15 Year Pro Forma'!$E$66:RXV$66))</f>
        <v>0</v>
      </c>
      <c r="RXY66" s="956">
        <f>MIN(RXY60*$C$65,Application!$AO$636-SUM('15 Year Pro Forma'!$E$66:RXX$66))</f>
        <v>0</v>
      </c>
      <c r="RYA66" s="956">
        <f>MIN(RYA60*$C$65,Application!$AO$636-SUM('15 Year Pro Forma'!$E$66:RXZ$66))</f>
        <v>0</v>
      </c>
      <c r="RYC66" s="956">
        <f>MIN(RYC60*$C$65,Application!$AO$636-SUM('15 Year Pro Forma'!$E$66:RYB$66))</f>
        <v>0</v>
      </c>
      <c r="RYE66" s="956">
        <f>MIN(RYE60*$C$65,Application!$AO$636-SUM('15 Year Pro Forma'!$E$66:RYD$66))</f>
        <v>0</v>
      </c>
      <c r="RYG66" s="956">
        <f>MIN(RYG60*$C$65,Application!$AO$636-SUM('15 Year Pro Forma'!$E$66:RYF$66))</f>
        <v>0</v>
      </c>
      <c r="RYI66" s="956">
        <f>MIN(RYI60*$C$65,Application!$AO$636-SUM('15 Year Pro Forma'!$E$66:RYH$66))</f>
        <v>0</v>
      </c>
      <c r="RYK66" s="956">
        <f>MIN(RYK60*$C$65,Application!$AO$636-SUM('15 Year Pro Forma'!$E$66:RYJ$66))</f>
        <v>0</v>
      </c>
      <c r="RYM66" s="956">
        <f>MIN(RYM60*$C$65,Application!$AO$636-SUM('15 Year Pro Forma'!$E$66:RYL$66))</f>
        <v>0</v>
      </c>
      <c r="RYO66" s="956">
        <f>MIN(RYO60*$C$65,Application!$AO$636-SUM('15 Year Pro Forma'!$E$66:RYN$66))</f>
        <v>0</v>
      </c>
      <c r="RYQ66" s="956">
        <f>MIN(RYQ60*$C$65,Application!$AO$636-SUM('15 Year Pro Forma'!$E$66:RYP$66))</f>
        <v>0</v>
      </c>
      <c r="RYS66" s="956">
        <f>MIN(RYS60*$C$65,Application!$AO$636-SUM('15 Year Pro Forma'!$E$66:RYR$66))</f>
        <v>0</v>
      </c>
      <c r="RYU66" s="956">
        <f>MIN(RYU60*$C$65,Application!$AO$636-SUM('15 Year Pro Forma'!$E$66:RYT$66))</f>
        <v>0</v>
      </c>
      <c r="RYW66" s="956">
        <f>MIN(RYW60*$C$65,Application!$AO$636-SUM('15 Year Pro Forma'!$E$66:RYV$66))</f>
        <v>0</v>
      </c>
      <c r="RYY66" s="956">
        <f>MIN(RYY60*$C$65,Application!$AO$636-SUM('15 Year Pro Forma'!$E$66:RYX$66))</f>
        <v>0</v>
      </c>
      <c r="RZA66" s="956">
        <f>MIN(RZA60*$C$65,Application!$AO$636-SUM('15 Year Pro Forma'!$E$66:RYZ$66))</f>
        <v>0</v>
      </c>
      <c r="RZC66" s="956">
        <f>MIN(RZC60*$C$65,Application!$AO$636-SUM('15 Year Pro Forma'!$E$66:RZB$66))</f>
        <v>0</v>
      </c>
      <c r="RZE66" s="956">
        <f>MIN(RZE60*$C$65,Application!$AO$636-SUM('15 Year Pro Forma'!$E$66:RZD$66))</f>
        <v>0</v>
      </c>
      <c r="RZG66" s="956">
        <f>MIN(RZG60*$C$65,Application!$AO$636-SUM('15 Year Pro Forma'!$E$66:RZF$66))</f>
        <v>0</v>
      </c>
      <c r="RZI66" s="956">
        <f>MIN(RZI60*$C$65,Application!$AO$636-SUM('15 Year Pro Forma'!$E$66:RZH$66))</f>
        <v>0</v>
      </c>
      <c r="RZK66" s="956">
        <f>MIN(RZK60*$C$65,Application!$AO$636-SUM('15 Year Pro Forma'!$E$66:RZJ$66))</f>
        <v>0</v>
      </c>
      <c r="RZM66" s="956">
        <f>MIN(RZM60*$C$65,Application!$AO$636-SUM('15 Year Pro Forma'!$E$66:RZL$66))</f>
        <v>0</v>
      </c>
      <c r="RZO66" s="956">
        <f>MIN(RZO60*$C$65,Application!$AO$636-SUM('15 Year Pro Forma'!$E$66:RZN$66))</f>
        <v>0</v>
      </c>
      <c r="RZQ66" s="956">
        <f>MIN(RZQ60*$C$65,Application!$AO$636-SUM('15 Year Pro Forma'!$E$66:RZP$66))</f>
        <v>0</v>
      </c>
      <c r="RZS66" s="956">
        <f>MIN(RZS60*$C$65,Application!$AO$636-SUM('15 Year Pro Forma'!$E$66:RZR$66))</f>
        <v>0</v>
      </c>
      <c r="RZU66" s="956">
        <f>MIN(RZU60*$C$65,Application!$AO$636-SUM('15 Year Pro Forma'!$E$66:RZT$66))</f>
        <v>0</v>
      </c>
      <c r="RZW66" s="956">
        <f>MIN(RZW60*$C$65,Application!$AO$636-SUM('15 Year Pro Forma'!$E$66:RZV$66))</f>
        <v>0</v>
      </c>
      <c r="RZY66" s="956">
        <f>MIN(RZY60*$C$65,Application!$AO$636-SUM('15 Year Pro Forma'!$E$66:RZX$66))</f>
        <v>0</v>
      </c>
      <c r="SAA66" s="956">
        <f>MIN(SAA60*$C$65,Application!$AO$636-SUM('15 Year Pro Forma'!$E$66:RZZ$66))</f>
        <v>0</v>
      </c>
      <c r="SAC66" s="956">
        <f>MIN(SAC60*$C$65,Application!$AO$636-SUM('15 Year Pro Forma'!$E$66:SAB$66))</f>
        <v>0</v>
      </c>
      <c r="SAE66" s="956">
        <f>MIN(SAE60*$C$65,Application!$AO$636-SUM('15 Year Pro Forma'!$E$66:SAD$66))</f>
        <v>0</v>
      </c>
      <c r="SAG66" s="956">
        <f>MIN(SAG60*$C$65,Application!$AO$636-SUM('15 Year Pro Forma'!$E$66:SAF$66))</f>
        <v>0</v>
      </c>
      <c r="SAI66" s="956">
        <f>MIN(SAI60*$C$65,Application!$AO$636-SUM('15 Year Pro Forma'!$E$66:SAH$66))</f>
        <v>0</v>
      </c>
      <c r="SAK66" s="956">
        <f>MIN(SAK60*$C$65,Application!$AO$636-SUM('15 Year Pro Forma'!$E$66:SAJ$66))</f>
        <v>0</v>
      </c>
      <c r="SAM66" s="956">
        <f>MIN(SAM60*$C$65,Application!$AO$636-SUM('15 Year Pro Forma'!$E$66:SAL$66))</f>
        <v>0</v>
      </c>
      <c r="SAO66" s="956">
        <f>MIN(SAO60*$C$65,Application!$AO$636-SUM('15 Year Pro Forma'!$E$66:SAN$66))</f>
        <v>0</v>
      </c>
      <c r="SAQ66" s="956">
        <f>MIN(SAQ60*$C$65,Application!$AO$636-SUM('15 Year Pro Forma'!$E$66:SAP$66))</f>
        <v>0</v>
      </c>
      <c r="SAS66" s="956">
        <f>MIN(SAS60*$C$65,Application!$AO$636-SUM('15 Year Pro Forma'!$E$66:SAR$66))</f>
        <v>0</v>
      </c>
      <c r="SAU66" s="956">
        <f>MIN(SAU60*$C$65,Application!$AO$636-SUM('15 Year Pro Forma'!$E$66:SAT$66))</f>
        <v>0</v>
      </c>
      <c r="SAW66" s="956">
        <f>MIN(SAW60*$C$65,Application!$AO$636-SUM('15 Year Pro Forma'!$E$66:SAV$66))</f>
        <v>0</v>
      </c>
      <c r="SAY66" s="956">
        <f>MIN(SAY60*$C$65,Application!$AO$636-SUM('15 Year Pro Forma'!$E$66:SAX$66))</f>
        <v>0</v>
      </c>
      <c r="SBA66" s="956">
        <f>MIN(SBA60*$C$65,Application!$AO$636-SUM('15 Year Pro Forma'!$E$66:SAZ$66))</f>
        <v>0</v>
      </c>
      <c r="SBC66" s="956">
        <f>MIN(SBC60*$C$65,Application!$AO$636-SUM('15 Year Pro Forma'!$E$66:SBB$66))</f>
        <v>0</v>
      </c>
      <c r="SBE66" s="956">
        <f>MIN(SBE60*$C$65,Application!$AO$636-SUM('15 Year Pro Forma'!$E$66:SBD$66))</f>
        <v>0</v>
      </c>
      <c r="SBG66" s="956">
        <f>MIN(SBG60*$C$65,Application!$AO$636-SUM('15 Year Pro Forma'!$E$66:SBF$66))</f>
        <v>0</v>
      </c>
      <c r="SBI66" s="956">
        <f>MIN(SBI60*$C$65,Application!$AO$636-SUM('15 Year Pro Forma'!$E$66:SBH$66))</f>
        <v>0</v>
      </c>
      <c r="SBK66" s="956">
        <f>MIN(SBK60*$C$65,Application!$AO$636-SUM('15 Year Pro Forma'!$E$66:SBJ$66))</f>
        <v>0</v>
      </c>
      <c r="SBM66" s="956">
        <f>MIN(SBM60*$C$65,Application!$AO$636-SUM('15 Year Pro Forma'!$E$66:SBL$66))</f>
        <v>0</v>
      </c>
      <c r="SBO66" s="956">
        <f>MIN(SBO60*$C$65,Application!$AO$636-SUM('15 Year Pro Forma'!$E$66:SBN$66))</f>
        <v>0</v>
      </c>
      <c r="SBQ66" s="956">
        <f>MIN(SBQ60*$C$65,Application!$AO$636-SUM('15 Year Pro Forma'!$E$66:SBP$66))</f>
        <v>0</v>
      </c>
      <c r="SBS66" s="956">
        <f>MIN(SBS60*$C$65,Application!$AO$636-SUM('15 Year Pro Forma'!$E$66:SBR$66))</f>
        <v>0</v>
      </c>
      <c r="SBU66" s="956">
        <f>MIN(SBU60*$C$65,Application!$AO$636-SUM('15 Year Pro Forma'!$E$66:SBT$66))</f>
        <v>0</v>
      </c>
      <c r="SBW66" s="956">
        <f>MIN(SBW60*$C$65,Application!$AO$636-SUM('15 Year Pro Forma'!$E$66:SBV$66))</f>
        <v>0</v>
      </c>
      <c r="SBY66" s="956">
        <f>MIN(SBY60*$C$65,Application!$AO$636-SUM('15 Year Pro Forma'!$E$66:SBX$66))</f>
        <v>0</v>
      </c>
      <c r="SCA66" s="956">
        <f>MIN(SCA60*$C$65,Application!$AO$636-SUM('15 Year Pro Forma'!$E$66:SBZ$66))</f>
        <v>0</v>
      </c>
      <c r="SCC66" s="956">
        <f>MIN(SCC60*$C$65,Application!$AO$636-SUM('15 Year Pro Forma'!$E$66:SCB$66))</f>
        <v>0</v>
      </c>
      <c r="SCE66" s="956">
        <f>MIN(SCE60*$C$65,Application!$AO$636-SUM('15 Year Pro Forma'!$E$66:SCD$66))</f>
        <v>0</v>
      </c>
      <c r="SCG66" s="956">
        <f>MIN(SCG60*$C$65,Application!$AO$636-SUM('15 Year Pro Forma'!$E$66:SCF$66))</f>
        <v>0</v>
      </c>
      <c r="SCI66" s="956">
        <f>MIN(SCI60*$C$65,Application!$AO$636-SUM('15 Year Pro Forma'!$E$66:SCH$66))</f>
        <v>0</v>
      </c>
      <c r="SCK66" s="956">
        <f>MIN(SCK60*$C$65,Application!$AO$636-SUM('15 Year Pro Forma'!$E$66:SCJ$66))</f>
        <v>0</v>
      </c>
      <c r="SCM66" s="956">
        <f>MIN(SCM60*$C$65,Application!$AO$636-SUM('15 Year Pro Forma'!$E$66:SCL$66))</f>
        <v>0</v>
      </c>
      <c r="SCO66" s="956">
        <f>MIN(SCO60*$C$65,Application!$AO$636-SUM('15 Year Pro Forma'!$E$66:SCN$66))</f>
        <v>0</v>
      </c>
      <c r="SCQ66" s="956">
        <f>MIN(SCQ60*$C$65,Application!$AO$636-SUM('15 Year Pro Forma'!$E$66:SCP$66))</f>
        <v>0</v>
      </c>
      <c r="SCS66" s="956">
        <f>MIN(SCS60*$C$65,Application!$AO$636-SUM('15 Year Pro Forma'!$E$66:SCR$66))</f>
        <v>0</v>
      </c>
      <c r="SCU66" s="956">
        <f>MIN(SCU60*$C$65,Application!$AO$636-SUM('15 Year Pro Forma'!$E$66:SCT$66))</f>
        <v>0</v>
      </c>
      <c r="SCW66" s="956">
        <f>MIN(SCW60*$C$65,Application!$AO$636-SUM('15 Year Pro Forma'!$E$66:SCV$66))</f>
        <v>0</v>
      </c>
      <c r="SCY66" s="956">
        <f>MIN(SCY60*$C$65,Application!$AO$636-SUM('15 Year Pro Forma'!$E$66:SCX$66))</f>
        <v>0</v>
      </c>
      <c r="SDA66" s="956">
        <f>MIN(SDA60*$C$65,Application!$AO$636-SUM('15 Year Pro Forma'!$E$66:SCZ$66))</f>
        <v>0</v>
      </c>
      <c r="SDC66" s="956">
        <f>MIN(SDC60*$C$65,Application!$AO$636-SUM('15 Year Pro Forma'!$E$66:SDB$66))</f>
        <v>0</v>
      </c>
      <c r="SDE66" s="956">
        <f>MIN(SDE60*$C$65,Application!$AO$636-SUM('15 Year Pro Forma'!$E$66:SDD$66))</f>
        <v>0</v>
      </c>
      <c r="SDG66" s="956">
        <f>MIN(SDG60*$C$65,Application!$AO$636-SUM('15 Year Pro Forma'!$E$66:SDF$66))</f>
        <v>0</v>
      </c>
      <c r="SDI66" s="956">
        <f>MIN(SDI60*$C$65,Application!$AO$636-SUM('15 Year Pro Forma'!$E$66:SDH$66))</f>
        <v>0</v>
      </c>
      <c r="SDK66" s="956">
        <f>MIN(SDK60*$C$65,Application!$AO$636-SUM('15 Year Pro Forma'!$E$66:SDJ$66))</f>
        <v>0</v>
      </c>
      <c r="SDM66" s="956">
        <f>MIN(SDM60*$C$65,Application!$AO$636-SUM('15 Year Pro Forma'!$E$66:SDL$66))</f>
        <v>0</v>
      </c>
      <c r="SDO66" s="956">
        <f>MIN(SDO60*$C$65,Application!$AO$636-SUM('15 Year Pro Forma'!$E$66:SDN$66))</f>
        <v>0</v>
      </c>
      <c r="SDQ66" s="956">
        <f>MIN(SDQ60*$C$65,Application!$AO$636-SUM('15 Year Pro Forma'!$E$66:SDP$66))</f>
        <v>0</v>
      </c>
      <c r="SDS66" s="956">
        <f>MIN(SDS60*$C$65,Application!$AO$636-SUM('15 Year Pro Forma'!$E$66:SDR$66))</f>
        <v>0</v>
      </c>
      <c r="SDU66" s="956">
        <f>MIN(SDU60*$C$65,Application!$AO$636-SUM('15 Year Pro Forma'!$E$66:SDT$66))</f>
        <v>0</v>
      </c>
      <c r="SDW66" s="956">
        <f>MIN(SDW60*$C$65,Application!$AO$636-SUM('15 Year Pro Forma'!$E$66:SDV$66))</f>
        <v>0</v>
      </c>
      <c r="SDY66" s="956">
        <f>MIN(SDY60*$C$65,Application!$AO$636-SUM('15 Year Pro Forma'!$E$66:SDX$66))</f>
        <v>0</v>
      </c>
      <c r="SEA66" s="956">
        <f>MIN(SEA60*$C$65,Application!$AO$636-SUM('15 Year Pro Forma'!$E$66:SDZ$66))</f>
        <v>0</v>
      </c>
      <c r="SEC66" s="956">
        <f>MIN(SEC60*$C$65,Application!$AO$636-SUM('15 Year Pro Forma'!$E$66:SEB$66))</f>
        <v>0</v>
      </c>
      <c r="SEE66" s="956">
        <f>MIN(SEE60*$C$65,Application!$AO$636-SUM('15 Year Pro Forma'!$E$66:SED$66))</f>
        <v>0</v>
      </c>
      <c r="SEG66" s="956">
        <f>MIN(SEG60*$C$65,Application!$AO$636-SUM('15 Year Pro Forma'!$E$66:SEF$66))</f>
        <v>0</v>
      </c>
      <c r="SEI66" s="956">
        <f>MIN(SEI60*$C$65,Application!$AO$636-SUM('15 Year Pro Forma'!$E$66:SEH$66))</f>
        <v>0</v>
      </c>
      <c r="SEK66" s="956">
        <f>MIN(SEK60*$C$65,Application!$AO$636-SUM('15 Year Pro Forma'!$E$66:SEJ$66))</f>
        <v>0</v>
      </c>
      <c r="SEM66" s="956">
        <f>MIN(SEM60*$C$65,Application!$AO$636-SUM('15 Year Pro Forma'!$E$66:SEL$66))</f>
        <v>0</v>
      </c>
      <c r="SEO66" s="956">
        <f>MIN(SEO60*$C$65,Application!$AO$636-SUM('15 Year Pro Forma'!$E$66:SEN$66))</f>
        <v>0</v>
      </c>
      <c r="SEQ66" s="956">
        <f>MIN(SEQ60*$C$65,Application!$AO$636-SUM('15 Year Pro Forma'!$E$66:SEP$66))</f>
        <v>0</v>
      </c>
      <c r="SES66" s="956">
        <f>MIN(SES60*$C$65,Application!$AO$636-SUM('15 Year Pro Forma'!$E$66:SER$66))</f>
        <v>0</v>
      </c>
      <c r="SEU66" s="956">
        <f>MIN(SEU60*$C$65,Application!$AO$636-SUM('15 Year Pro Forma'!$E$66:SET$66))</f>
        <v>0</v>
      </c>
      <c r="SEW66" s="956">
        <f>MIN(SEW60*$C$65,Application!$AO$636-SUM('15 Year Pro Forma'!$E$66:SEV$66))</f>
        <v>0</v>
      </c>
      <c r="SEY66" s="956">
        <f>MIN(SEY60*$C$65,Application!$AO$636-SUM('15 Year Pro Forma'!$E$66:SEX$66))</f>
        <v>0</v>
      </c>
      <c r="SFA66" s="956">
        <f>MIN(SFA60*$C$65,Application!$AO$636-SUM('15 Year Pro Forma'!$E$66:SEZ$66))</f>
        <v>0</v>
      </c>
      <c r="SFC66" s="956">
        <f>MIN(SFC60*$C$65,Application!$AO$636-SUM('15 Year Pro Forma'!$E$66:SFB$66))</f>
        <v>0</v>
      </c>
      <c r="SFE66" s="956">
        <f>MIN(SFE60*$C$65,Application!$AO$636-SUM('15 Year Pro Forma'!$E$66:SFD$66))</f>
        <v>0</v>
      </c>
      <c r="SFG66" s="956">
        <f>MIN(SFG60*$C$65,Application!$AO$636-SUM('15 Year Pro Forma'!$E$66:SFF$66))</f>
        <v>0</v>
      </c>
      <c r="SFI66" s="956">
        <f>MIN(SFI60*$C$65,Application!$AO$636-SUM('15 Year Pro Forma'!$E$66:SFH$66))</f>
        <v>0</v>
      </c>
      <c r="SFK66" s="956">
        <f>MIN(SFK60*$C$65,Application!$AO$636-SUM('15 Year Pro Forma'!$E$66:SFJ$66))</f>
        <v>0</v>
      </c>
      <c r="SFM66" s="956">
        <f>MIN(SFM60*$C$65,Application!$AO$636-SUM('15 Year Pro Forma'!$E$66:SFL$66))</f>
        <v>0</v>
      </c>
      <c r="SFO66" s="956">
        <f>MIN(SFO60*$C$65,Application!$AO$636-SUM('15 Year Pro Forma'!$E$66:SFN$66))</f>
        <v>0</v>
      </c>
      <c r="SFQ66" s="956">
        <f>MIN(SFQ60*$C$65,Application!$AO$636-SUM('15 Year Pro Forma'!$E$66:SFP$66))</f>
        <v>0</v>
      </c>
      <c r="SFS66" s="956">
        <f>MIN(SFS60*$C$65,Application!$AO$636-SUM('15 Year Pro Forma'!$E$66:SFR$66))</f>
        <v>0</v>
      </c>
      <c r="SFU66" s="956">
        <f>MIN(SFU60*$C$65,Application!$AO$636-SUM('15 Year Pro Forma'!$E$66:SFT$66))</f>
        <v>0</v>
      </c>
      <c r="SFW66" s="956">
        <f>MIN(SFW60*$C$65,Application!$AO$636-SUM('15 Year Pro Forma'!$E$66:SFV$66))</f>
        <v>0</v>
      </c>
      <c r="SFY66" s="956">
        <f>MIN(SFY60*$C$65,Application!$AO$636-SUM('15 Year Pro Forma'!$E$66:SFX$66))</f>
        <v>0</v>
      </c>
      <c r="SGA66" s="956">
        <f>MIN(SGA60*$C$65,Application!$AO$636-SUM('15 Year Pro Forma'!$E$66:SFZ$66))</f>
        <v>0</v>
      </c>
      <c r="SGC66" s="956">
        <f>MIN(SGC60*$C$65,Application!$AO$636-SUM('15 Year Pro Forma'!$E$66:SGB$66))</f>
        <v>0</v>
      </c>
      <c r="SGE66" s="956">
        <f>MIN(SGE60*$C$65,Application!$AO$636-SUM('15 Year Pro Forma'!$E$66:SGD$66))</f>
        <v>0</v>
      </c>
      <c r="SGG66" s="956">
        <f>MIN(SGG60*$C$65,Application!$AO$636-SUM('15 Year Pro Forma'!$E$66:SGF$66))</f>
        <v>0</v>
      </c>
      <c r="SGI66" s="956">
        <f>MIN(SGI60*$C$65,Application!$AO$636-SUM('15 Year Pro Forma'!$E$66:SGH$66))</f>
        <v>0</v>
      </c>
      <c r="SGK66" s="956">
        <f>MIN(SGK60*$C$65,Application!$AO$636-SUM('15 Year Pro Forma'!$E$66:SGJ$66))</f>
        <v>0</v>
      </c>
      <c r="SGM66" s="956">
        <f>MIN(SGM60*$C$65,Application!$AO$636-SUM('15 Year Pro Forma'!$E$66:SGL$66))</f>
        <v>0</v>
      </c>
      <c r="SGO66" s="956">
        <f>MIN(SGO60*$C$65,Application!$AO$636-SUM('15 Year Pro Forma'!$E$66:SGN$66))</f>
        <v>0</v>
      </c>
      <c r="SGQ66" s="956">
        <f>MIN(SGQ60*$C$65,Application!$AO$636-SUM('15 Year Pro Forma'!$E$66:SGP$66))</f>
        <v>0</v>
      </c>
      <c r="SGS66" s="956">
        <f>MIN(SGS60*$C$65,Application!$AO$636-SUM('15 Year Pro Forma'!$E$66:SGR$66))</f>
        <v>0</v>
      </c>
      <c r="SGU66" s="956">
        <f>MIN(SGU60*$C$65,Application!$AO$636-SUM('15 Year Pro Forma'!$E$66:SGT$66))</f>
        <v>0</v>
      </c>
      <c r="SGW66" s="956">
        <f>MIN(SGW60*$C$65,Application!$AO$636-SUM('15 Year Pro Forma'!$E$66:SGV$66))</f>
        <v>0</v>
      </c>
      <c r="SGY66" s="956">
        <f>MIN(SGY60*$C$65,Application!$AO$636-SUM('15 Year Pro Forma'!$E$66:SGX$66))</f>
        <v>0</v>
      </c>
      <c r="SHA66" s="956">
        <f>MIN(SHA60*$C$65,Application!$AO$636-SUM('15 Year Pro Forma'!$E$66:SGZ$66))</f>
        <v>0</v>
      </c>
      <c r="SHC66" s="956">
        <f>MIN(SHC60*$C$65,Application!$AO$636-SUM('15 Year Pro Forma'!$E$66:SHB$66))</f>
        <v>0</v>
      </c>
      <c r="SHE66" s="956">
        <f>MIN(SHE60*$C$65,Application!$AO$636-SUM('15 Year Pro Forma'!$E$66:SHD$66))</f>
        <v>0</v>
      </c>
      <c r="SHG66" s="956">
        <f>MIN(SHG60*$C$65,Application!$AO$636-SUM('15 Year Pro Forma'!$E$66:SHF$66))</f>
        <v>0</v>
      </c>
      <c r="SHI66" s="956">
        <f>MIN(SHI60*$C$65,Application!$AO$636-SUM('15 Year Pro Forma'!$E$66:SHH$66))</f>
        <v>0</v>
      </c>
      <c r="SHK66" s="956">
        <f>MIN(SHK60*$C$65,Application!$AO$636-SUM('15 Year Pro Forma'!$E$66:SHJ$66))</f>
        <v>0</v>
      </c>
      <c r="SHM66" s="956">
        <f>MIN(SHM60*$C$65,Application!$AO$636-SUM('15 Year Pro Forma'!$E$66:SHL$66))</f>
        <v>0</v>
      </c>
      <c r="SHO66" s="956">
        <f>MIN(SHO60*$C$65,Application!$AO$636-SUM('15 Year Pro Forma'!$E$66:SHN$66))</f>
        <v>0</v>
      </c>
      <c r="SHQ66" s="956">
        <f>MIN(SHQ60*$C$65,Application!$AO$636-SUM('15 Year Pro Forma'!$E$66:SHP$66))</f>
        <v>0</v>
      </c>
      <c r="SHS66" s="956">
        <f>MIN(SHS60*$C$65,Application!$AO$636-SUM('15 Year Pro Forma'!$E$66:SHR$66))</f>
        <v>0</v>
      </c>
      <c r="SHU66" s="956">
        <f>MIN(SHU60*$C$65,Application!$AO$636-SUM('15 Year Pro Forma'!$E$66:SHT$66))</f>
        <v>0</v>
      </c>
      <c r="SHW66" s="956">
        <f>MIN(SHW60*$C$65,Application!$AO$636-SUM('15 Year Pro Forma'!$E$66:SHV$66))</f>
        <v>0</v>
      </c>
      <c r="SHY66" s="956">
        <f>MIN(SHY60*$C$65,Application!$AO$636-SUM('15 Year Pro Forma'!$E$66:SHX$66))</f>
        <v>0</v>
      </c>
      <c r="SIA66" s="956">
        <f>MIN(SIA60*$C$65,Application!$AO$636-SUM('15 Year Pro Forma'!$E$66:SHZ$66))</f>
        <v>0</v>
      </c>
      <c r="SIC66" s="956">
        <f>MIN(SIC60*$C$65,Application!$AO$636-SUM('15 Year Pro Forma'!$E$66:SIB$66))</f>
        <v>0</v>
      </c>
      <c r="SIE66" s="956">
        <f>MIN(SIE60*$C$65,Application!$AO$636-SUM('15 Year Pro Forma'!$E$66:SID$66))</f>
        <v>0</v>
      </c>
      <c r="SIG66" s="956">
        <f>MIN(SIG60*$C$65,Application!$AO$636-SUM('15 Year Pro Forma'!$E$66:SIF$66))</f>
        <v>0</v>
      </c>
      <c r="SII66" s="956">
        <f>MIN(SII60*$C$65,Application!$AO$636-SUM('15 Year Pro Forma'!$E$66:SIH$66))</f>
        <v>0</v>
      </c>
      <c r="SIK66" s="956">
        <f>MIN(SIK60*$C$65,Application!$AO$636-SUM('15 Year Pro Forma'!$E$66:SIJ$66))</f>
        <v>0</v>
      </c>
      <c r="SIM66" s="956">
        <f>MIN(SIM60*$C$65,Application!$AO$636-SUM('15 Year Pro Forma'!$E$66:SIL$66))</f>
        <v>0</v>
      </c>
      <c r="SIO66" s="956">
        <f>MIN(SIO60*$C$65,Application!$AO$636-SUM('15 Year Pro Forma'!$E$66:SIN$66))</f>
        <v>0</v>
      </c>
      <c r="SIQ66" s="956">
        <f>MIN(SIQ60*$C$65,Application!$AO$636-SUM('15 Year Pro Forma'!$E$66:SIP$66))</f>
        <v>0</v>
      </c>
      <c r="SIS66" s="956">
        <f>MIN(SIS60*$C$65,Application!$AO$636-SUM('15 Year Pro Forma'!$E$66:SIR$66))</f>
        <v>0</v>
      </c>
      <c r="SIU66" s="956">
        <f>MIN(SIU60*$C$65,Application!$AO$636-SUM('15 Year Pro Forma'!$E$66:SIT$66))</f>
        <v>0</v>
      </c>
      <c r="SIW66" s="956">
        <f>MIN(SIW60*$C$65,Application!$AO$636-SUM('15 Year Pro Forma'!$E$66:SIV$66))</f>
        <v>0</v>
      </c>
      <c r="SIY66" s="956">
        <f>MIN(SIY60*$C$65,Application!$AO$636-SUM('15 Year Pro Forma'!$E$66:SIX$66))</f>
        <v>0</v>
      </c>
      <c r="SJA66" s="956">
        <f>MIN(SJA60*$C$65,Application!$AO$636-SUM('15 Year Pro Forma'!$E$66:SIZ$66))</f>
        <v>0</v>
      </c>
      <c r="SJC66" s="956">
        <f>MIN(SJC60*$C$65,Application!$AO$636-SUM('15 Year Pro Forma'!$E$66:SJB$66))</f>
        <v>0</v>
      </c>
      <c r="SJE66" s="956">
        <f>MIN(SJE60*$C$65,Application!$AO$636-SUM('15 Year Pro Forma'!$E$66:SJD$66))</f>
        <v>0</v>
      </c>
      <c r="SJG66" s="956">
        <f>MIN(SJG60*$C$65,Application!$AO$636-SUM('15 Year Pro Forma'!$E$66:SJF$66))</f>
        <v>0</v>
      </c>
      <c r="SJI66" s="956">
        <f>MIN(SJI60*$C$65,Application!$AO$636-SUM('15 Year Pro Forma'!$E$66:SJH$66))</f>
        <v>0</v>
      </c>
      <c r="SJK66" s="956">
        <f>MIN(SJK60*$C$65,Application!$AO$636-SUM('15 Year Pro Forma'!$E$66:SJJ$66))</f>
        <v>0</v>
      </c>
      <c r="SJM66" s="956">
        <f>MIN(SJM60*$C$65,Application!$AO$636-SUM('15 Year Pro Forma'!$E$66:SJL$66))</f>
        <v>0</v>
      </c>
      <c r="SJO66" s="956">
        <f>MIN(SJO60*$C$65,Application!$AO$636-SUM('15 Year Pro Forma'!$E$66:SJN$66))</f>
        <v>0</v>
      </c>
      <c r="SJQ66" s="956">
        <f>MIN(SJQ60*$C$65,Application!$AO$636-SUM('15 Year Pro Forma'!$E$66:SJP$66))</f>
        <v>0</v>
      </c>
      <c r="SJS66" s="956">
        <f>MIN(SJS60*$C$65,Application!$AO$636-SUM('15 Year Pro Forma'!$E$66:SJR$66))</f>
        <v>0</v>
      </c>
      <c r="SJU66" s="956">
        <f>MIN(SJU60*$C$65,Application!$AO$636-SUM('15 Year Pro Forma'!$E$66:SJT$66))</f>
        <v>0</v>
      </c>
      <c r="SJW66" s="956">
        <f>MIN(SJW60*$C$65,Application!$AO$636-SUM('15 Year Pro Forma'!$E$66:SJV$66))</f>
        <v>0</v>
      </c>
      <c r="SJY66" s="956">
        <f>MIN(SJY60*$C$65,Application!$AO$636-SUM('15 Year Pro Forma'!$E$66:SJX$66))</f>
        <v>0</v>
      </c>
      <c r="SKA66" s="956">
        <f>MIN(SKA60*$C$65,Application!$AO$636-SUM('15 Year Pro Forma'!$E$66:SJZ$66))</f>
        <v>0</v>
      </c>
      <c r="SKC66" s="956">
        <f>MIN(SKC60*$C$65,Application!$AO$636-SUM('15 Year Pro Forma'!$E$66:SKB$66))</f>
        <v>0</v>
      </c>
      <c r="SKE66" s="956">
        <f>MIN(SKE60*$C$65,Application!$AO$636-SUM('15 Year Pro Forma'!$E$66:SKD$66))</f>
        <v>0</v>
      </c>
      <c r="SKG66" s="956">
        <f>MIN(SKG60*$C$65,Application!$AO$636-SUM('15 Year Pro Forma'!$E$66:SKF$66))</f>
        <v>0</v>
      </c>
      <c r="SKI66" s="956">
        <f>MIN(SKI60*$C$65,Application!$AO$636-SUM('15 Year Pro Forma'!$E$66:SKH$66))</f>
        <v>0</v>
      </c>
      <c r="SKK66" s="956">
        <f>MIN(SKK60*$C$65,Application!$AO$636-SUM('15 Year Pro Forma'!$E$66:SKJ$66))</f>
        <v>0</v>
      </c>
      <c r="SKM66" s="956">
        <f>MIN(SKM60*$C$65,Application!$AO$636-SUM('15 Year Pro Forma'!$E$66:SKL$66))</f>
        <v>0</v>
      </c>
      <c r="SKO66" s="956">
        <f>MIN(SKO60*$C$65,Application!$AO$636-SUM('15 Year Pro Forma'!$E$66:SKN$66))</f>
        <v>0</v>
      </c>
      <c r="SKQ66" s="956">
        <f>MIN(SKQ60*$C$65,Application!$AO$636-SUM('15 Year Pro Forma'!$E$66:SKP$66))</f>
        <v>0</v>
      </c>
      <c r="SKS66" s="956">
        <f>MIN(SKS60*$C$65,Application!$AO$636-SUM('15 Year Pro Forma'!$E$66:SKR$66))</f>
        <v>0</v>
      </c>
      <c r="SKU66" s="956">
        <f>MIN(SKU60*$C$65,Application!$AO$636-SUM('15 Year Pro Forma'!$E$66:SKT$66))</f>
        <v>0</v>
      </c>
      <c r="SKW66" s="956">
        <f>MIN(SKW60*$C$65,Application!$AO$636-SUM('15 Year Pro Forma'!$E$66:SKV$66))</f>
        <v>0</v>
      </c>
      <c r="SKY66" s="956">
        <f>MIN(SKY60*$C$65,Application!$AO$636-SUM('15 Year Pro Forma'!$E$66:SKX$66))</f>
        <v>0</v>
      </c>
      <c r="SLA66" s="956">
        <f>MIN(SLA60*$C$65,Application!$AO$636-SUM('15 Year Pro Forma'!$E$66:SKZ$66))</f>
        <v>0</v>
      </c>
      <c r="SLC66" s="956">
        <f>MIN(SLC60*$C$65,Application!$AO$636-SUM('15 Year Pro Forma'!$E$66:SLB$66))</f>
        <v>0</v>
      </c>
      <c r="SLE66" s="956">
        <f>MIN(SLE60*$C$65,Application!$AO$636-SUM('15 Year Pro Forma'!$E$66:SLD$66))</f>
        <v>0</v>
      </c>
      <c r="SLG66" s="956">
        <f>MIN(SLG60*$C$65,Application!$AO$636-SUM('15 Year Pro Forma'!$E$66:SLF$66))</f>
        <v>0</v>
      </c>
      <c r="SLI66" s="956">
        <f>MIN(SLI60*$C$65,Application!$AO$636-SUM('15 Year Pro Forma'!$E$66:SLH$66))</f>
        <v>0</v>
      </c>
      <c r="SLK66" s="956">
        <f>MIN(SLK60*$C$65,Application!$AO$636-SUM('15 Year Pro Forma'!$E$66:SLJ$66))</f>
        <v>0</v>
      </c>
      <c r="SLM66" s="956">
        <f>MIN(SLM60*$C$65,Application!$AO$636-SUM('15 Year Pro Forma'!$E$66:SLL$66))</f>
        <v>0</v>
      </c>
      <c r="SLO66" s="956">
        <f>MIN(SLO60*$C$65,Application!$AO$636-SUM('15 Year Pro Forma'!$E$66:SLN$66))</f>
        <v>0</v>
      </c>
      <c r="SLQ66" s="956">
        <f>MIN(SLQ60*$C$65,Application!$AO$636-SUM('15 Year Pro Forma'!$E$66:SLP$66))</f>
        <v>0</v>
      </c>
      <c r="SLS66" s="956">
        <f>MIN(SLS60*$C$65,Application!$AO$636-SUM('15 Year Pro Forma'!$E$66:SLR$66))</f>
        <v>0</v>
      </c>
      <c r="SLU66" s="956">
        <f>MIN(SLU60*$C$65,Application!$AO$636-SUM('15 Year Pro Forma'!$E$66:SLT$66))</f>
        <v>0</v>
      </c>
      <c r="SLW66" s="956">
        <f>MIN(SLW60*$C$65,Application!$AO$636-SUM('15 Year Pro Forma'!$E$66:SLV$66))</f>
        <v>0</v>
      </c>
      <c r="SLY66" s="956">
        <f>MIN(SLY60*$C$65,Application!$AO$636-SUM('15 Year Pro Forma'!$E$66:SLX$66))</f>
        <v>0</v>
      </c>
      <c r="SMA66" s="956">
        <f>MIN(SMA60*$C$65,Application!$AO$636-SUM('15 Year Pro Forma'!$E$66:SLZ$66))</f>
        <v>0</v>
      </c>
      <c r="SMC66" s="956">
        <f>MIN(SMC60*$C$65,Application!$AO$636-SUM('15 Year Pro Forma'!$E$66:SMB$66))</f>
        <v>0</v>
      </c>
      <c r="SME66" s="956">
        <f>MIN(SME60*$C$65,Application!$AO$636-SUM('15 Year Pro Forma'!$E$66:SMD$66))</f>
        <v>0</v>
      </c>
      <c r="SMG66" s="956">
        <f>MIN(SMG60*$C$65,Application!$AO$636-SUM('15 Year Pro Forma'!$E$66:SMF$66))</f>
        <v>0</v>
      </c>
      <c r="SMI66" s="956">
        <f>MIN(SMI60*$C$65,Application!$AO$636-SUM('15 Year Pro Forma'!$E$66:SMH$66))</f>
        <v>0</v>
      </c>
      <c r="SMK66" s="956">
        <f>MIN(SMK60*$C$65,Application!$AO$636-SUM('15 Year Pro Forma'!$E$66:SMJ$66))</f>
        <v>0</v>
      </c>
      <c r="SMM66" s="956">
        <f>MIN(SMM60*$C$65,Application!$AO$636-SUM('15 Year Pro Forma'!$E$66:SML$66))</f>
        <v>0</v>
      </c>
      <c r="SMO66" s="956">
        <f>MIN(SMO60*$C$65,Application!$AO$636-SUM('15 Year Pro Forma'!$E$66:SMN$66))</f>
        <v>0</v>
      </c>
      <c r="SMQ66" s="956">
        <f>MIN(SMQ60*$C$65,Application!$AO$636-SUM('15 Year Pro Forma'!$E$66:SMP$66))</f>
        <v>0</v>
      </c>
      <c r="SMS66" s="956">
        <f>MIN(SMS60*$C$65,Application!$AO$636-SUM('15 Year Pro Forma'!$E$66:SMR$66))</f>
        <v>0</v>
      </c>
      <c r="SMU66" s="956">
        <f>MIN(SMU60*$C$65,Application!$AO$636-SUM('15 Year Pro Forma'!$E$66:SMT$66))</f>
        <v>0</v>
      </c>
      <c r="SMW66" s="956">
        <f>MIN(SMW60*$C$65,Application!$AO$636-SUM('15 Year Pro Forma'!$E$66:SMV$66))</f>
        <v>0</v>
      </c>
      <c r="SMY66" s="956">
        <f>MIN(SMY60*$C$65,Application!$AO$636-SUM('15 Year Pro Forma'!$E$66:SMX$66))</f>
        <v>0</v>
      </c>
      <c r="SNA66" s="956">
        <f>MIN(SNA60*$C$65,Application!$AO$636-SUM('15 Year Pro Forma'!$E$66:SMZ$66))</f>
        <v>0</v>
      </c>
      <c r="SNC66" s="956">
        <f>MIN(SNC60*$C$65,Application!$AO$636-SUM('15 Year Pro Forma'!$E$66:SNB$66))</f>
        <v>0</v>
      </c>
      <c r="SNE66" s="956">
        <f>MIN(SNE60*$C$65,Application!$AO$636-SUM('15 Year Pro Forma'!$E$66:SND$66))</f>
        <v>0</v>
      </c>
      <c r="SNG66" s="956">
        <f>MIN(SNG60*$C$65,Application!$AO$636-SUM('15 Year Pro Forma'!$E$66:SNF$66))</f>
        <v>0</v>
      </c>
      <c r="SNI66" s="956">
        <f>MIN(SNI60*$C$65,Application!$AO$636-SUM('15 Year Pro Forma'!$E$66:SNH$66))</f>
        <v>0</v>
      </c>
      <c r="SNK66" s="956">
        <f>MIN(SNK60*$C$65,Application!$AO$636-SUM('15 Year Pro Forma'!$E$66:SNJ$66))</f>
        <v>0</v>
      </c>
      <c r="SNM66" s="956">
        <f>MIN(SNM60*$C$65,Application!$AO$636-SUM('15 Year Pro Forma'!$E$66:SNL$66))</f>
        <v>0</v>
      </c>
      <c r="SNO66" s="956">
        <f>MIN(SNO60*$C$65,Application!$AO$636-SUM('15 Year Pro Forma'!$E$66:SNN$66))</f>
        <v>0</v>
      </c>
      <c r="SNQ66" s="956">
        <f>MIN(SNQ60*$C$65,Application!$AO$636-SUM('15 Year Pro Forma'!$E$66:SNP$66))</f>
        <v>0</v>
      </c>
      <c r="SNS66" s="956">
        <f>MIN(SNS60*$C$65,Application!$AO$636-SUM('15 Year Pro Forma'!$E$66:SNR$66))</f>
        <v>0</v>
      </c>
      <c r="SNU66" s="956">
        <f>MIN(SNU60*$C$65,Application!$AO$636-SUM('15 Year Pro Forma'!$E$66:SNT$66))</f>
        <v>0</v>
      </c>
      <c r="SNW66" s="956">
        <f>MIN(SNW60*$C$65,Application!$AO$636-SUM('15 Year Pro Forma'!$E$66:SNV$66))</f>
        <v>0</v>
      </c>
      <c r="SNY66" s="956">
        <f>MIN(SNY60*$C$65,Application!$AO$636-SUM('15 Year Pro Forma'!$E$66:SNX$66))</f>
        <v>0</v>
      </c>
      <c r="SOA66" s="956">
        <f>MIN(SOA60*$C$65,Application!$AO$636-SUM('15 Year Pro Forma'!$E$66:SNZ$66))</f>
        <v>0</v>
      </c>
      <c r="SOC66" s="956">
        <f>MIN(SOC60*$C$65,Application!$AO$636-SUM('15 Year Pro Forma'!$E$66:SOB$66))</f>
        <v>0</v>
      </c>
      <c r="SOE66" s="956">
        <f>MIN(SOE60*$C$65,Application!$AO$636-SUM('15 Year Pro Forma'!$E$66:SOD$66))</f>
        <v>0</v>
      </c>
      <c r="SOG66" s="956">
        <f>MIN(SOG60*$C$65,Application!$AO$636-SUM('15 Year Pro Forma'!$E$66:SOF$66))</f>
        <v>0</v>
      </c>
      <c r="SOI66" s="956">
        <f>MIN(SOI60*$C$65,Application!$AO$636-SUM('15 Year Pro Forma'!$E$66:SOH$66))</f>
        <v>0</v>
      </c>
      <c r="SOK66" s="956">
        <f>MIN(SOK60*$C$65,Application!$AO$636-SUM('15 Year Pro Forma'!$E$66:SOJ$66))</f>
        <v>0</v>
      </c>
      <c r="SOM66" s="956">
        <f>MIN(SOM60*$C$65,Application!$AO$636-SUM('15 Year Pro Forma'!$E$66:SOL$66))</f>
        <v>0</v>
      </c>
      <c r="SOO66" s="956">
        <f>MIN(SOO60*$C$65,Application!$AO$636-SUM('15 Year Pro Forma'!$E$66:SON$66))</f>
        <v>0</v>
      </c>
      <c r="SOQ66" s="956">
        <f>MIN(SOQ60*$C$65,Application!$AO$636-SUM('15 Year Pro Forma'!$E$66:SOP$66))</f>
        <v>0</v>
      </c>
      <c r="SOS66" s="956">
        <f>MIN(SOS60*$C$65,Application!$AO$636-SUM('15 Year Pro Forma'!$E$66:SOR$66))</f>
        <v>0</v>
      </c>
      <c r="SOU66" s="956">
        <f>MIN(SOU60*$C$65,Application!$AO$636-SUM('15 Year Pro Forma'!$E$66:SOT$66))</f>
        <v>0</v>
      </c>
      <c r="SOW66" s="956">
        <f>MIN(SOW60*$C$65,Application!$AO$636-SUM('15 Year Pro Forma'!$E$66:SOV$66))</f>
        <v>0</v>
      </c>
      <c r="SOY66" s="956">
        <f>MIN(SOY60*$C$65,Application!$AO$636-SUM('15 Year Pro Forma'!$E$66:SOX$66))</f>
        <v>0</v>
      </c>
      <c r="SPA66" s="956">
        <f>MIN(SPA60*$C$65,Application!$AO$636-SUM('15 Year Pro Forma'!$E$66:SOZ$66))</f>
        <v>0</v>
      </c>
      <c r="SPC66" s="956">
        <f>MIN(SPC60*$C$65,Application!$AO$636-SUM('15 Year Pro Forma'!$E$66:SPB$66))</f>
        <v>0</v>
      </c>
      <c r="SPE66" s="956">
        <f>MIN(SPE60*$C$65,Application!$AO$636-SUM('15 Year Pro Forma'!$E$66:SPD$66))</f>
        <v>0</v>
      </c>
      <c r="SPG66" s="956">
        <f>MIN(SPG60*$C$65,Application!$AO$636-SUM('15 Year Pro Forma'!$E$66:SPF$66))</f>
        <v>0</v>
      </c>
      <c r="SPI66" s="956">
        <f>MIN(SPI60*$C$65,Application!$AO$636-SUM('15 Year Pro Forma'!$E$66:SPH$66))</f>
        <v>0</v>
      </c>
      <c r="SPK66" s="956">
        <f>MIN(SPK60*$C$65,Application!$AO$636-SUM('15 Year Pro Forma'!$E$66:SPJ$66))</f>
        <v>0</v>
      </c>
      <c r="SPM66" s="956">
        <f>MIN(SPM60*$C$65,Application!$AO$636-SUM('15 Year Pro Forma'!$E$66:SPL$66))</f>
        <v>0</v>
      </c>
      <c r="SPO66" s="956">
        <f>MIN(SPO60*$C$65,Application!$AO$636-SUM('15 Year Pro Forma'!$E$66:SPN$66))</f>
        <v>0</v>
      </c>
      <c r="SPQ66" s="956">
        <f>MIN(SPQ60*$C$65,Application!$AO$636-SUM('15 Year Pro Forma'!$E$66:SPP$66))</f>
        <v>0</v>
      </c>
      <c r="SPS66" s="956">
        <f>MIN(SPS60*$C$65,Application!$AO$636-SUM('15 Year Pro Forma'!$E$66:SPR$66))</f>
        <v>0</v>
      </c>
      <c r="SPU66" s="956">
        <f>MIN(SPU60*$C$65,Application!$AO$636-SUM('15 Year Pro Forma'!$E$66:SPT$66))</f>
        <v>0</v>
      </c>
      <c r="SPW66" s="956">
        <f>MIN(SPW60*$C$65,Application!$AO$636-SUM('15 Year Pro Forma'!$E$66:SPV$66))</f>
        <v>0</v>
      </c>
      <c r="SPY66" s="956">
        <f>MIN(SPY60*$C$65,Application!$AO$636-SUM('15 Year Pro Forma'!$E$66:SPX$66))</f>
        <v>0</v>
      </c>
      <c r="SQA66" s="956">
        <f>MIN(SQA60*$C$65,Application!$AO$636-SUM('15 Year Pro Forma'!$E$66:SPZ$66))</f>
        <v>0</v>
      </c>
      <c r="SQC66" s="956">
        <f>MIN(SQC60*$C$65,Application!$AO$636-SUM('15 Year Pro Forma'!$E$66:SQB$66))</f>
        <v>0</v>
      </c>
      <c r="SQE66" s="956">
        <f>MIN(SQE60*$C$65,Application!$AO$636-SUM('15 Year Pro Forma'!$E$66:SQD$66))</f>
        <v>0</v>
      </c>
      <c r="SQG66" s="956">
        <f>MIN(SQG60*$C$65,Application!$AO$636-SUM('15 Year Pro Forma'!$E$66:SQF$66))</f>
        <v>0</v>
      </c>
      <c r="SQI66" s="956">
        <f>MIN(SQI60*$C$65,Application!$AO$636-SUM('15 Year Pro Forma'!$E$66:SQH$66))</f>
        <v>0</v>
      </c>
      <c r="SQK66" s="956">
        <f>MIN(SQK60*$C$65,Application!$AO$636-SUM('15 Year Pro Forma'!$E$66:SQJ$66))</f>
        <v>0</v>
      </c>
      <c r="SQM66" s="956">
        <f>MIN(SQM60*$C$65,Application!$AO$636-SUM('15 Year Pro Forma'!$E$66:SQL$66))</f>
        <v>0</v>
      </c>
      <c r="SQO66" s="956">
        <f>MIN(SQO60*$C$65,Application!$AO$636-SUM('15 Year Pro Forma'!$E$66:SQN$66))</f>
        <v>0</v>
      </c>
      <c r="SQQ66" s="956">
        <f>MIN(SQQ60*$C$65,Application!$AO$636-SUM('15 Year Pro Forma'!$E$66:SQP$66))</f>
        <v>0</v>
      </c>
      <c r="SQS66" s="956">
        <f>MIN(SQS60*$C$65,Application!$AO$636-SUM('15 Year Pro Forma'!$E$66:SQR$66))</f>
        <v>0</v>
      </c>
      <c r="SQU66" s="956">
        <f>MIN(SQU60*$C$65,Application!$AO$636-SUM('15 Year Pro Forma'!$E$66:SQT$66))</f>
        <v>0</v>
      </c>
      <c r="SQW66" s="956">
        <f>MIN(SQW60*$C$65,Application!$AO$636-SUM('15 Year Pro Forma'!$E$66:SQV$66))</f>
        <v>0</v>
      </c>
      <c r="SQY66" s="956">
        <f>MIN(SQY60*$C$65,Application!$AO$636-SUM('15 Year Pro Forma'!$E$66:SQX$66))</f>
        <v>0</v>
      </c>
      <c r="SRA66" s="956">
        <f>MIN(SRA60*$C$65,Application!$AO$636-SUM('15 Year Pro Forma'!$E$66:SQZ$66))</f>
        <v>0</v>
      </c>
      <c r="SRC66" s="956">
        <f>MIN(SRC60*$C$65,Application!$AO$636-SUM('15 Year Pro Forma'!$E$66:SRB$66))</f>
        <v>0</v>
      </c>
      <c r="SRE66" s="956">
        <f>MIN(SRE60*$C$65,Application!$AO$636-SUM('15 Year Pro Forma'!$E$66:SRD$66))</f>
        <v>0</v>
      </c>
      <c r="SRG66" s="956">
        <f>MIN(SRG60*$C$65,Application!$AO$636-SUM('15 Year Pro Forma'!$E$66:SRF$66))</f>
        <v>0</v>
      </c>
      <c r="SRI66" s="956">
        <f>MIN(SRI60*$C$65,Application!$AO$636-SUM('15 Year Pro Forma'!$E$66:SRH$66))</f>
        <v>0</v>
      </c>
      <c r="SRK66" s="956">
        <f>MIN(SRK60*$C$65,Application!$AO$636-SUM('15 Year Pro Forma'!$E$66:SRJ$66))</f>
        <v>0</v>
      </c>
      <c r="SRM66" s="956">
        <f>MIN(SRM60*$C$65,Application!$AO$636-SUM('15 Year Pro Forma'!$E$66:SRL$66))</f>
        <v>0</v>
      </c>
      <c r="SRO66" s="956">
        <f>MIN(SRO60*$C$65,Application!$AO$636-SUM('15 Year Pro Forma'!$E$66:SRN$66))</f>
        <v>0</v>
      </c>
      <c r="SRQ66" s="956">
        <f>MIN(SRQ60*$C$65,Application!$AO$636-SUM('15 Year Pro Forma'!$E$66:SRP$66))</f>
        <v>0</v>
      </c>
      <c r="SRS66" s="956">
        <f>MIN(SRS60*$C$65,Application!$AO$636-SUM('15 Year Pro Forma'!$E$66:SRR$66))</f>
        <v>0</v>
      </c>
      <c r="SRU66" s="956">
        <f>MIN(SRU60*$C$65,Application!$AO$636-SUM('15 Year Pro Forma'!$E$66:SRT$66))</f>
        <v>0</v>
      </c>
      <c r="SRW66" s="956">
        <f>MIN(SRW60*$C$65,Application!$AO$636-SUM('15 Year Pro Forma'!$E$66:SRV$66))</f>
        <v>0</v>
      </c>
      <c r="SRY66" s="956">
        <f>MIN(SRY60*$C$65,Application!$AO$636-SUM('15 Year Pro Forma'!$E$66:SRX$66))</f>
        <v>0</v>
      </c>
      <c r="SSA66" s="956">
        <f>MIN(SSA60*$C$65,Application!$AO$636-SUM('15 Year Pro Forma'!$E$66:SRZ$66))</f>
        <v>0</v>
      </c>
      <c r="SSC66" s="956">
        <f>MIN(SSC60*$C$65,Application!$AO$636-SUM('15 Year Pro Forma'!$E$66:SSB$66))</f>
        <v>0</v>
      </c>
      <c r="SSE66" s="956">
        <f>MIN(SSE60*$C$65,Application!$AO$636-SUM('15 Year Pro Forma'!$E$66:SSD$66))</f>
        <v>0</v>
      </c>
      <c r="SSG66" s="956">
        <f>MIN(SSG60*$C$65,Application!$AO$636-SUM('15 Year Pro Forma'!$E$66:SSF$66))</f>
        <v>0</v>
      </c>
      <c r="SSI66" s="956">
        <f>MIN(SSI60*$C$65,Application!$AO$636-SUM('15 Year Pro Forma'!$E$66:SSH$66))</f>
        <v>0</v>
      </c>
      <c r="SSK66" s="956">
        <f>MIN(SSK60*$C$65,Application!$AO$636-SUM('15 Year Pro Forma'!$E$66:SSJ$66))</f>
        <v>0</v>
      </c>
      <c r="SSM66" s="956">
        <f>MIN(SSM60*$C$65,Application!$AO$636-SUM('15 Year Pro Forma'!$E$66:SSL$66))</f>
        <v>0</v>
      </c>
      <c r="SSO66" s="956">
        <f>MIN(SSO60*$C$65,Application!$AO$636-SUM('15 Year Pro Forma'!$E$66:SSN$66))</f>
        <v>0</v>
      </c>
      <c r="SSQ66" s="956">
        <f>MIN(SSQ60*$C$65,Application!$AO$636-SUM('15 Year Pro Forma'!$E$66:SSP$66))</f>
        <v>0</v>
      </c>
      <c r="SSS66" s="956">
        <f>MIN(SSS60*$C$65,Application!$AO$636-SUM('15 Year Pro Forma'!$E$66:SSR$66))</f>
        <v>0</v>
      </c>
      <c r="SSU66" s="956">
        <f>MIN(SSU60*$C$65,Application!$AO$636-SUM('15 Year Pro Forma'!$E$66:SST$66))</f>
        <v>0</v>
      </c>
      <c r="SSW66" s="956">
        <f>MIN(SSW60*$C$65,Application!$AO$636-SUM('15 Year Pro Forma'!$E$66:SSV$66))</f>
        <v>0</v>
      </c>
      <c r="SSY66" s="956">
        <f>MIN(SSY60*$C$65,Application!$AO$636-SUM('15 Year Pro Forma'!$E$66:SSX$66))</f>
        <v>0</v>
      </c>
      <c r="STA66" s="956">
        <f>MIN(STA60*$C$65,Application!$AO$636-SUM('15 Year Pro Forma'!$E$66:SSZ$66))</f>
        <v>0</v>
      </c>
      <c r="STC66" s="956">
        <f>MIN(STC60*$C$65,Application!$AO$636-SUM('15 Year Pro Forma'!$E$66:STB$66))</f>
        <v>0</v>
      </c>
      <c r="STE66" s="956">
        <f>MIN(STE60*$C$65,Application!$AO$636-SUM('15 Year Pro Forma'!$E$66:STD$66))</f>
        <v>0</v>
      </c>
      <c r="STG66" s="956">
        <f>MIN(STG60*$C$65,Application!$AO$636-SUM('15 Year Pro Forma'!$E$66:STF$66))</f>
        <v>0</v>
      </c>
      <c r="STI66" s="956">
        <f>MIN(STI60*$C$65,Application!$AO$636-SUM('15 Year Pro Forma'!$E$66:STH$66))</f>
        <v>0</v>
      </c>
      <c r="STK66" s="956">
        <f>MIN(STK60*$C$65,Application!$AO$636-SUM('15 Year Pro Forma'!$E$66:STJ$66))</f>
        <v>0</v>
      </c>
      <c r="STM66" s="956">
        <f>MIN(STM60*$C$65,Application!$AO$636-SUM('15 Year Pro Forma'!$E$66:STL$66))</f>
        <v>0</v>
      </c>
      <c r="STO66" s="956">
        <f>MIN(STO60*$C$65,Application!$AO$636-SUM('15 Year Pro Forma'!$E$66:STN$66))</f>
        <v>0</v>
      </c>
      <c r="STQ66" s="956">
        <f>MIN(STQ60*$C$65,Application!$AO$636-SUM('15 Year Pro Forma'!$E$66:STP$66))</f>
        <v>0</v>
      </c>
      <c r="STS66" s="956">
        <f>MIN(STS60*$C$65,Application!$AO$636-SUM('15 Year Pro Forma'!$E$66:STR$66))</f>
        <v>0</v>
      </c>
      <c r="STU66" s="956">
        <f>MIN(STU60*$C$65,Application!$AO$636-SUM('15 Year Pro Forma'!$E$66:STT$66))</f>
        <v>0</v>
      </c>
      <c r="STW66" s="956">
        <f>MIN(STW60*$C$65,Application!$AO$636-SUM('15 Year Pro Forma'!$E$66:STV$66))</f>
        <v>0</v>
      </c>
      <c r="STY66" s="956">
        <f>MIN(STY60*$C$65,Application!$AO$636-SUM('15 Year Pro Forma'!$E$66:STX$66))</f>
        <v>0</v>
      </c>
      <c r="SUA66" s="956">
        <f>MIN(SUA60*$C$65,Application!$AO$636-SUM('15 Year Pro Forma'!$E$66:STZ$66))</f>
        <v>0</v>
      </c>
      <c r="SUC66" s="956">
        <f>MIN(SUC60*$C$65,Application!$AO$636-SUM('15 Year Pro Forma'!$E$66:SUB$66))</f>
        <v>0</v>
      </c>
      <c r="SUE66" s="956">
        <f>MIN(SUE60*$C$65,Application!$AO$636-SUM('15 Year Pro Forma'!$E$66:SUD$66))</f>
        <v>0</v>
      </c>
      <c r="SUG66" s="956">
        <f>MIN(SUG60*$C$65,Application!$AO$636-SUM('15 Year Pro Forma'!$E$66:SUF$66))</f>
        <v>0</v>
      </c>
      <c r="SUI66" s="956">
        <f>MIN(SUI60*$C$65,Application!$AO$636-SUM('15 Year Pro Forma'!$E$66:SUH$66))</f>
        <v>0</v>
      </c>
      <c r="SUK66" s="956">
        <f>MIN(SUK60*$C$65,Application!$AO$636-SUM('15 Year Pro Forma'!$E$66:SUJ$66))</f>
        <v>0</v>
      </c>
      <c r="SUM66" s="956">
        <f>MIN(SUM60*$C$65,Application!$AO$636-SUM('15 Year Pro Forma'!$E$66:SUL$66))</f>
        <v>0</v>
      </c>
      <c r="SUO66" s="956">
        <f>MIN(SUO60*$C$65,Application!$AO$636-SUM('15 Year Pro Forma'!$E$66:SUN$66))</f>
        <v>0</v>
      </c>
      <c r="SUQ66" s="956">
        <f>MIN(SUQ60*$C$65,Application!$AO$636-SUM('15 Year Pro Forma'!$E$66:SUP$66))</f>
        <v>0</v>
      </c>
      <c r="SUS66" s="956">
        <f>MIN(SUS60*$C$65,Application!$AO$636-SUM('15 Year Pro Forma'!$E$66:SUR$66))</f>
        <v>0</v>
      </c>
      <c r="SUU66" s="956">
        <f>MIN(SUU60*$C$65,Application!$AO$636-SUM('15 Year Pro Forma'!$E$66:SUT$66))</f>
        <v>0</v>
      </c>
      <c r="SUW66" s="956">
        <f>MIN(SUW60*$C$65,Application!$AO$636-SUM('15 Year Pro Forma'!$E$66:SUV$66))</f>
        <v>0</v>
      </c>
      <c r="SUY66" s="956">
        <f>MIN(SUY60*$C$65,Application!$AO$636-SUM('15 Year Pro Forma'!$E$66:SUX$66))</f>
        <v>0</v>
      </c>
      <c r="SVA66" s="956">
        <f>MIN(SVA60*$C$65,Application!$AO$636-SUM('15 Year Pro Forma'!$E$66:SUZ$66))</f>
        <v>0</v>
      </c>
      <c r="SVC66" s="956">
        <f>MIN(SVC60*$C$65,Application!$AO$636-SUM('15 Year Pro Forma'!$E$66:SVB$66))</f>
        <v>0</v>
      </c>
      <c r="SVE66" s="956">
        <f>MIN(SVE60*$C$65,Application!$AO$636-SUM('15 Year Pro Forma'!$E$66:SVD$66))</f>
        <v>0</v>
      </c>
      <c r="SVG66" s="956">
        <f>MIN(SVG60*$C$65,Application!$AO$636-SUM('15 Year Pro Forma'!$E$66:SVF$66))</f>
        <v>0</v>
      </c>
      <c r="SVI66" s="956">
        <f>MIN(SVI60*$C$65,Application!$AO$636-SUM('15 Year Pro Forma'!$E$66:SVH$66))</f>
        <v>0</v>
      </c>
      <c r="SVK66" s="956">
        <f>MIN(SVK60*$C$65,Application!$AO$636-SUM('15 Year Pro Forma'!$E$66:SVJ$66))</f>
        <v>0</v>
      </c>
      <c r="SVM66" s="956">
        <f>MIN(SVM60*$C$65,Application!$AO$636-SUM('15 Year Pro Forma'!$E$66:SVL$66))</f>
        <v>0</v>
      </c>
      <c r="SVO66" s="956">
        <f>MIN(SVO60*$C$65,Application!$AO$636-SUM('15 Year Pro Forma'!$E$66:SVN$66))</f>
        <v>0</v>
      </c>
      <c r="SVQ66" s="956">
        <f>MIN(SVQ60*$C$65,Application!$AO$636-SUM('15 Year Pro Forma'!$E$66:SVP$66))</f>
        <v>0</v>
      </c>
      <c r="SVS66" s="956">
        <f>MIN(SVS60*$C$65,Application!$AO$636-SUM('15 Year Pro Forma'!$E$66:SVR$66))</f>
        <v>0</v>
      </c>
      <c r="SVU66" s="956">
        <f>MIN(SVU60*$C$65,Application!$AO$636-SUM('15 Year Pro Forma'!$E$66:SVT$66))</f>
        <v>0</v>
      </c>
      <c r="SVW66" s="956">
        <f>MIN(SVW60*$C$65,Application!$AO$636-SUM('15 Year Pro Forma'!$E$66:SVV$66))</f>
        <v>0</v>
      </c>
      <c r="SVY66" s="956">
        <f>MIN(SVY60*$C$65,Application!$AO$636-SUM('15 Year Pro Forma'!$E$66:SVX$66))</f>
        <v>0</v>
      </c>
      <c r="SWA66" s="956">
        <f>MIN(SWA60*$C$65,Application!$AO$636-SUM('15 Year Pro Forma'!$E$66:SVZ$66))</f>
        <v>0</v>
      </c>
      <c r="SWC66" s="956">
        <f>MIN(SWC60*$C$65,Application!$AO$636-SUM('15 Year Pro Forma'!$E$66:SWB$66))</f>
        <v>0</v>
      </c>
      <c r="SWE66" s="956">
        <f>MIN(SWE60*$C$65,Application!$AO$636-SUM('15 Year Pro Forma'!$E$66:SWD$66))</f>
        <v>0</v>
      </c>
      <c r="SWG66" s="956">
        <f>MIN(SWG60*$C$65,Application!$AO$636-SUM('15 Year Pro Forma'!$E$66:SWF$66))</f>
        <v>0</v>
      </c>
      <c r="SWI66" s="956">
        <f>MIN(SWI60*$C$65,Application!$AO$636-SUM('15 Year Pro Forma'!$E$66:SWH$66))</f>
        <v>0</v>
      </c>
      <c r="SWK66" s="956">
        <f>MIN(SWK60*$C$65,Application!$AO$636-SUM('15 Year Pro Forma'!$E$66:SWJ$66))</f>
        <v>0</v>
      </c>
      <c r="SWM66" s="956">
        <f>MIN(SWM60*$C$65,Application!$AO$636-SUM('15 Year Pro Forma'!$E$66:SWL$66))</f>
        <v>0</v>
      </c>
      <c r="SWO66" s="956">
        <f>MIN(SWO60*$C$65,Application!$AO$636-SUM('15 Year Pro Forma'!$E$66:SWN$66))</f>
        <v>0</v>
      </c>
      <c r="SWQ66" s="956">
        <f>MIN(SWQ60*$C$65,Application!$AO$636-SUM('15 Year Pro Forma'!$E$66:SWP$66))</f>
        <v>0</v>
      </c>
      <c r="SWS66" s="956">
        <f>MIN(SWS60*$C$65,Application!$AO$636-SUM('15 Year Pro Forma'!$E$66:SWR$66))</f>
        <v>0</v>
      </c>
      <c r="SWU66" s="956">
        <f>MIN(SWU60*$C$65,Application!$AO$636-SUM('15 Year Pro Forma'!$E$66:SWT$66))</f>
        <v>0</v>
      </c>
      <c r="SWW66" s="956">
        <f>MIN(SWW60*$C$65,Application!$AO$636-SUM('15 Year Pro Forma'!$E$66:SWV$66))</f>
        <v>0</v>
      </c>
      <c r="SWY66" s="956">
        <f>MIN(SWY60*$C$65,Application!$AO$636-SUM('15 Year Pro Forma'!$E$66:SWX$66))</f>
        <v>0</v>
      </c>
      <c r="SXA66" s="956">
        <f>MIN(SXA60*$C$65,Application!$AO$636-SUM('15 Year Pro Forma'!$E$66:SWZ$66))</f>
        <v>0</v>
      </c>
      <c r="SXC66" s="956">
        <f>MIN(SXC60*$C$65,Application!$AO$636-SUM('15 Year Pro Forma'!$E$66:SXB$66))</f>
        <v>0</v>
      </c>
      <c r="SXE66" s="956">
        <f>MIN(SXE60*$C$65,Application!$AO$636-SUM('15 Year Pro Forma'!$E$66:SXD$66))</f>
        <v>0</v>
      </c>
      <c r="SXG66" s="956">
        <f>MIN(SXG60*$C$65,Application!$AO$636-SUM('15 Year Pro Forma'!$E$66:SXF$66))</f>
        <v>0</v>
      </c>
      <c r="SXI66" s="956">
        <f>MIN(SXI60*$C$65,Application!$AO$636-SUM('15 Year Pro Forma'!$E$66:SXH$66))</f>
        <v>0</v>
      </c>
      <c r="SXK66" s="956">
        <f>MIN(SXK60*$C$65,Application!$AO$636-SUM('15 Year Pro Forma'!$E$66:SXJ$66))</f>
        <v>0</v>
      </c>
      <c r="SXM66" s="956">
        <f>MIN(SXM60*$C$65,Application!$AO$636-SUM('15 Year Pro Forma'!$E$66:SXL$66))</f>
        <v>0</v>
      </c>
      <c r="SXO66" s="956">
        <f>MIN(SXO60*$C$65,Application!$AO$636-SUM('15 Year Pro Forma'!$E$66:SXN$66))</f>
        <v>0</v>
      </c>
      <c r="SXQ66" s="956">
        <f>MIN(SXQ60*$C$65,Application!$AO$636-SUM('15 Year Pro Forma'!$E$66:SXP$66))</f>
        <v>0</v>
      </c>
      <c r="SXS66" s="956">
        <f>MIN(SXS60*$C$65,Application!$AO$636-SUM('15 Year Pro Forma'!$E$66:SXR$66))</f>
        <v>0</v>
      </c>
      <c r="SXU66" s="956">
        <f>MIN(SXU60*$C$65,Application!$AO$636-SUM('15 Year Pro Forma'!$E$66:SXT$66))</f>
        <v>0</v>
      </c>
      <c r="SXW66" s="956">
        <f>MIN(SXW60*$C$65,Application!$AO$636-SUM('15 Year Pro Forma'!$E$66:SXV$66))</f>
        <v>0</v>
      </c>
      <c r="SXY66" s="956">
        <f>MIN(SXY60*$C$65,Application!$AO$636-SUM('15 Year Pro Forma'!$E$66:SXX$66))</f>
        <v>0</v>
      </c>
      <c r="SYA66" s="956">
        <f>MIN(SYA60*$C$65,Application!$AO$636-SUM('15 Year Pro Forma'!$E$66:SXZ$66))</f>
        <v>0</v>
      </c>
      <c r="SYC66" s="956">
        <f>MIN(SYC60*$C$65,Application!$AO$636-SUM('15 Year Pro Forma'!$E$66:SYB$66))</f>
        <v>0</v>
      </c>
      <c r="SYE66" s="956">
        <f>MIN(SYE60*$C$65,Application!$AO$636-SUM('15 Year Pro Forma'!$E$66:SYD$66))</f>
        <v>0</v>
      </c>
      <c r="SYG66" s="956">
        <f>MIN(SYG60*$C$65,Application!$AO$636-SUM('15 Year Pro Forma'!$E$66:SYF$66))</f>
        <v>0</v>
      </c>
      <c r="SYI66" s="956">
        <f>MIN(SYI60*$C$65,Application!$AO$636-SUM('15 Year Pro Forma'!$E$66:SYH$66))</f>
        <v>0</v>
      </c>
      <c r="SYK66" s="956">
        <f>MIN(SYK60*$C$65,Application!$AO$636-SUM('15 Year Pro Forma'!$E$66:SYJ$66))</f>
        <v>0</v>
      </c>
      <c r="SYM66" s="956">
        <f>MIN(SYM60*$C$65,Application!$AO$636-SUM('15 Year Pro Forma'!$E$66:SYL$66))</f>
        <v>0</v>
      </c>
      <c r="SYO66" s="956">
        <f>MIN(SYO60*$C$65,Application!$AO$636-SUM('15 Year Pro Forma'!$E$66:SYN$66))</f>
        <v>0</v>
      </c>
      <c r="SYQ66" s="956">
        <f>MIN(SYQ60*$C$65,Application!$AO$636-SUM('15 Year Pro Forma'!$E$66:SYP$66))</f>
        <v>0</v>
      </c>
      <c r="SYS66" s="956">
        <f>MIN(SYS60*$C$65,Application!$AO$636-SUM('15 Year Pro Forma'!$E$66:SYR$66))</f>
        <v>0</v>
      </c>
      <c r="SYU66" s="956">
        <f>MIN(SYU60*$C$65,Application!$AO$636-SUM('15 Year Pro Forma'!$E$66:SYT$66))</f>
        <v>0</v>
      </c>
      <c r="SYW66" s="956">
        <f>MIN(SYW60*$C$65,Application!$AO$636-SUM('15 Year Pro Forma'!$E$66:SYV$66))</f>
        <v>0</v>
      </c>
      <c r="SYY66" s="956">
        <f>MIN(SYY60*$C$65,Application!$AO$636-SUM('15 Year Pro Forma'!$E$66:SYX$66))</f>
        <v>0</v>
      </c>
      <c r="SZA66" s="956">
        <f>MIN(SZA60*$C$65,Application!$AO$636-SUM('15 Year Pro Forma'!$E$66:SYZ$66))</f>
        <v>0</v>
      </c>
      <c r="SZC66" s="956">
        <f>MIN(SZC60*$C$65,Application!$AO$636-SUM('15 Year Pro Forma'!$E$66:SZB$66))</f>
        <v>0</v>
      </c>
      <c r="SZE66" s="956">
        <f>MIN(SZE60*$C$65,Application!$AO$636-SUM('15 Year Pro Forma'!$E$66:SZD$66))</f>
        <v>0</v>
      </c>
      <c r="SZG66" s="956">
        <f>MIN(SZG60*$C$65,Application!$AO$636-SUM('15 Year Pro Forma'!$E$66:SZF$66))</f>
        <v>0</v>
      </c>
      <c r="SZI66" s="956">
        <f>MIN(SZI60*$C$65,Application!$AO$636-SUM('15 Year Pro Forma'!$E$66:SZH$66))</f>
        <v>0</v>
      </c>
      <c r="SZK66" s="956">
        <f>MIN(SZK60*$C$65,Application!$AO$636-SUM('15 Year Pro Forma'!$E$66:SZJ$66))</f>
        <v>0</v>
      </c>
      <c r="SZM66" s="956">
        <f>MIN(SZM60*$C$65,Application!$AO$636-SUM('15 Year Pro Forma'!$E$66:SZL$66))</f>
        <v>0</v>
      </c>
      <c r="SZO66" s="956">
        <f>MIN(SZO60*$C$65,Application!$AO$636-SUM('15 Year Pro Forma'!$E$66:SZN$66))</f>
        <v>0</v>
      </c>
      <c r="SZQ66" s="956">
        <f>MIN(SZQ60*$C$65,Application!$AO$636-SUM('15 Year Pro Forma'!$E$66:SZP$66))</f>
        <v>0</v>
      </c>
      <c r="SZS66" s="956">
        <f>MIN(SZS60*$C$65,Application!$AO$636-SUM('15 Year Pro Forma'!$E$66:SZR$66))</f>
        <v>0</v>
      </c>
      <c r="SZU66" s="956">
        <f>MIN(SZU60*$C$65,Application!$AO$636-SUM('15 Year Pro Forma'!$E$66:SZT$66))</f>
        <v>0</v>
      </c>
      <c r="SZW66" s="956">
        <f>MIN(SZW60*$C$65,Application!$AO$636-SUM('15 Year Pro Forma'!$E$66:SZV$66))</f>
        <v>0</v>
      </c>
      <c r="SZY66" s="956">
        <f>MIN(SZY60*$C$65,Application!$AO$636-SUM('15 Year Pro Forma'!$E$66:SZX$66))</f>
        <v>0</v>
      </c>
      <c r="TAA66" s="956">
        <f>MIN(TAA60*$C$65,Application!$AO$636-SUM('15 Year Pro Forma'!$E$66:SZZ$66))</f>
        <v>0</v>
      </c>
      <c r="TAC66" s="956">
        <f>MIN(TAC60*$C$65,Application!$AO$636-SUM('15 Year Pro Forma'!$E$66:TAB$66))</f>
        <v>0</v>
      </c>
      <c r="TAE66" s="956">
        <f>MIN(TAE60*$C$65,Application!$AO$636-SUM('15 Year Pro Forma'!$E$66:TAD$66))</f>
        <v>0</v>
      </c>
      <c r="TAG66" s="956">
        <f>MIN(TAG60*$C$65,Application!$AO$636-SUM('15 Year Pro Forma'!$E$66:TAF$66))</f>
        <v>0</v>
      </c>
      <c r="TAI66" s="956">
        <f>MIN(TAI60*$C$65,Application!$AO$636-SUM('15 Year Pro Forma'!$E$66:TAH$66))</f>
        <v>0</v>
      </c>
      <c r="TAK66" s="956">
        <f>MIN(TAK60*$C$65,Application!$AO$636-SUM('15 Year Pro Forma'!$E$66:TAJ$66))</f>
        <v>0</v>
      </c>
      <c r="TAM66" s="956">
        <f>MIN(TAM60*$C$65,Application!$AO$636-SUM('15 Year Pro Forma'!$E$66:TAL$66))</f>
        <v>0</v>
      </c>
      <c r="TAO66" s="956">
        <f>MIN(TAO60*$C$65,Application!$AO$636-SUM('15 Year Pro Forma'!$E$66:TAN$66))</f>
        <v>0</v>
      </c>
      <c r="TAQ66" s="956">
        <f>MIN(TAQ60*$C$65,Application!$AO$636-SUM('15 Year Pro Forma'!$E$66:TAP$66))</f>
        <v>0</v>
      </c>
      <c r="TAS66" s="956">
        <f>MIN(TAS60*$C$65,Application!$AO$636-SUM('15 Year Pro Forma'!$E$66:TAR$66))</f>
        <v>0</v>
      </c>
      <c r="TAU66" s="956">
        <f>MIN(TAU60*$C$65,Application!$AO$636-SUM('15 Year Pro Forma'!$E$66:TAT$66))</f>
        <v>0</v>
      </c>
      <c r="TAW66" s="956">
        <f>MIN(TAW60*$C$65,Application!$AO$636-SUM('15 Year Pro Forma'!$E$66:TAV$66))</f>
        <v>0</v>
      </c>
      <c r="TAY66" s="956">
        <f>MIN(TAY60*$C$65,Application!$AO$636-SUM('15 Year Pro Forma'!$E$66:TAX$66))</f>
        <v>0</v>
      </c>
      <c r="TBA66" s="956">
        <f>MIN(TBA60*$C$65,Application!$AO$636-SUM('15 Year Pro Forma'!$E$66:TAZ$66))</f>
        <v>0</v>
      </c>
      <c r="TBC66" s="956">
        <f>MIN(TBC60*$C$65,Application!$AO$636-SUM('15 Year Pro Forma'!$E$66:TBB$66))</f>
        <v>0</v>
      </c>
      <c r="TBE66" s="956">
        <f>MIN(TBE60*$C$65,Application!$AO$636-SUM('15 Year Pro Forma'!$E$66:TBD$66))</f>
        <v>0</v>
      </c>
      <c r="TBG66" s="956">
        <f>MIN(TBG60*$C$65,Application!$AO$636-SUM('15 Year Pro Forma'!$E$66:TBF$66))</f>
        <v>0</v>
      </c>
      <c r="TBI66" s="956">
        <f>MIN(TBI60*$C$65,Application!$AO$636-SUM('15 Year Pro Forma'!$E$66:TBH$66))</f>
        <v>0</v>
      </c>
      <c r="TBK66" s="956">
        <f>MIN(TBK60*$C$65,Application!$AO$636-SUM('15 Year Pro Forma'!$E$66:TBJ$66))</f>
        <v>0</v>
      </c>
      <c r="TBM66" s="956">
        <f>MIN(TBM60*$C$65,Application!$AO$636-SUM('15 Year Pro Forma'!$E$66:TBL$66))</f>
        <v>0</v>
      </c>
      <c r="TBO66" s="956">
        <f>MIN(TBO60*$C$65,Application!$AO$636-SUM('15 Year Pro Forma'!$E$66:TBN$66))</f>
        <v>0</v>
      </c>
      <c r="TBQ66" s="956">
        <f>MIN(TBQ60*$C$65,Application!$AO$636-SUM('15 Year Pro Forma'!$E$66:TBP$66))</f>
        <v>0</v>
      </c>
      <c r="TBS66" s="956">
        <f>MIN(TBS60*$C$65,Application!$AO$636-SUM('15 Year Pro Forma'!$E$66:TBR$66))</f>
        <v>0</v>
      </c>
      <c r="TBU66" s="956">
        <f>MIN(TBU60*$C$65,Application!$AO$636-SUM('15 Year Pro Forma'!$E$66:TBT$66))</f>
        <v>0</v>
      </c>
      <c r="TBW66" s="956">
        <f>MIN(TBW60*$C$65,Application!$AO$636-SUM('15 Year Pro Forma'!$E$66:TBV$66))</f>
        <v>0</v>
      </c>
      <c r="TBY66" s="956">
        <f>MIN(TBY60*$C$65,Application!$AO$636-SUM('15 Year Pro Forma'!$E$66:TBX$66))</f>
        <v>0</v>
      </c>
      <c r="TCA66" s="956">
        <f>MIN(TCA60*$C$65,Application!$AO$636-SUM('15 Year Pro Forma'!$E$66:TBZ$66))</f>
        <v>0</v>
      </c>
      <c r="TCC66" s="956">
        <f>MIN(TCC60*$C$65,Application!$AO$636-SUM('15 Year Pro Forma'!$E$66:TCB$66))</f>
        <v>0</v>
      </c>
      <c r="TCE66" s="956">
        <f>MIN(TCE60*$C$65,Application!$AO$636-SUM('15 Year Pro Forma'!$E$66:TCD$66))</f>
        <v>0</v>
      </c>
      <c r="TCG66" s="956">
        <f>MIN(TCG60*$C$65,Application!$AO$636-SUM('15 Year Pro Forma'!$E$66:TCF$66))</f>
        <v>0</v>
      </c>
      <c r="TCI66" s="956">
        <f>MIN(TCI60*$C$65,Application!$AO$636-SUM('15 Year Pro Forma'!$E$66:TCH$66))</f>
        <v>0</v>
      </c>
      <c r="TCK66" s="956">
        <f>MIN(TCK60*$C$65,Application!$AO$636-SUM('15 Year Pro Forma'!$E$66:TCJ$66))</f>
        <v>0</v>
      </c>
      <c r="TCM66" s="956">
        <f>MIN(TCM60*$C$65,Application!$AO$636-SUM('15 Year Pro Forma'!$E$66:TCL$66))</f>
        <v>0</v>
      </c>
      <c r="TCO66" s="956">
        <f>MIN(TCO60*$C$65,Application!$AO$636-SUM('15 Year Pro Forma'!$E$66:TCN$66))</f>
        <v>0</v>
      </c>
      <c r="TCQ66" s="956">
        <f>MIN(TCQ60*$C$65,Application!$AO$636-SUM('15 Year Pro Forma'!$E$66:TCP$66))</f>
        <v>0</v>
      </c>
      <c r="TCS66" s="956">
        <f>MIN(TCS60*$C$65,Application!$AO$636-SUM('15 Year Pro Forma'!$E$66:TCR$66))</f>
        <v>0</v>
      </c>
      <c r="TCU66" s="956">
        <f>MIN(TCU60*$C$65,Application!$AO$636-SUM('15 Year Pro Forma'!$E$66:TCT$66))</f>
        <v>0</v>
      </c>
      <c r="TCW66" s="956">
        <f>MIN(TCW60*$C$65,Application!$AO$636-SUM('15 Year Pro Forma'!$E$66:TCV$66))</f>
        <v>0</v>
      </c>
      <c r="TCY66" s="956">
        <f>MIN(TCY60*$C$65,Application!$AO$636-SUM('15 Year Pro Forma'!$E$66:TCX$66))</f>
        <v>0</v>
      </c>
      <c r="TDA66" s="956">
        <f>MIN(TDA60*$C$65,Application!$AO$636-SUM('15 Year Pro Forma'!$E$66:TCZ$66))</f>
        <v>0</v>
      </c>
      <c r="TDC66" s="956">
        <f>MIN(TDC60*$C$65,Application!$AO$636-SUM('15 Year Pro Forma'!$E$66:TDB$66))</f>
        <v>0</v>
      </c>
      <c r="TDE66" s="956">
        <f>MIN(TDE60*$C$65,Application!$AO$636-SUM('15 Year Pro Forma'!$E$66:TDD$66))</f>
        <v>0</v>
      </c>
      <c r="TDG66" s="956">
        <f>MIN(TDG60*$C$65,Application!$AO$636-SUM('15 Year Pro Forma'!$E$66:TDF$66))</f>
        <v>0</v>
      </c>
      <c r="TDI66" s="956">
        <f>MIN(TDI60*$C$65,Application!$AO$636-SUM('15 Year Pro Forma'!$E$66:TDH$66))</f>
        <v>0</v>
      </c>
      <c r="TDK66" s="956">
        <f>MIN(TDK60*$C$65,Application!$AO$636-SUM('15 Year Pro Forma'!$E$66:TDJ$66))</f>
        <v>0</v>
      </c>
      <c r="TDM66" s="956">
        <f>MIN(TDM60*$C$65,Application!$AO$636-SUM('15 Year Pro Forma'!$E$66:TDL$66))</f>
        <v>0</v>
      </c>
      <c r="TDO66" s="956">
        <f>MIN(TDO60*$C$65,Application!$AO$636-SUM('15 Year Pro Forma'!$E$66:TDN$66))</f>
        <v>0</v>
      </c>
      <c r="TDQ66" s="956">
        <f>MIN(TDQ60*$C$65,Application!$AO$636-SUM('15 Year Pro Forma'!$E$66:TDP$66))</f>
        <v>0</v>
      </c>
      <c r="TDS66" s="956">
        <f>MIN(TDS60*$C$65,Application!$AO$636-SUM('15 Year Pro Forma'!$E$66:TDR$66))</f>
        <v>0</v>
      </c>
      <c r="TDU66" s="956">
        <f>MIN(TDU60*$C$65,Application!$AO$636-SUM('15 Year Pro Forma'!$E$66:TDT$66))</f>
        <v>0</v>
      </c>
      <c r="TDW66" s="956">
        <f>MIN(TDW60*$C$65,Application!$AO$636-SUM('15 Year Pro Forma'!$E$66:TDV$66))</f>
        <v>0</v>
      </c>
      <c r="TDY66" s="956">
        <f>MIN(TDY60*$C$65,Application!$AO$636-SUM('15 Year Pro Forma'!$E$66:TDX$66))</f>
        <v>0</v>
      </c>
      <c r="TEA66" s="956">
        <f>MIN(TEA60*$C$65,Application!$AO$636-SUM('15 Year Pro Forma'!$E$66:TDZ$66))</f>
        <v>0</v>
      </c>
      <c r="TEC66" s="956">
        <f>MIN(TEC60*$C$65,Application!$AO$636-SUM('15 Year Pro Forma'!$E$66:TEB$66))</f>
        <v>0</v>
      </c>
      <c r="TEE66" s="956">
        <f>MIN(TEE60*$C$65,Application!$AO$636-SUM('15 Year Pro Forma'!$E$66:TED$66))</f>
        <v>0</v>
      </c>
      <c r="TEG66" s="956">
        <f>MIN(TEG60*$C$65,Application!$AO$636-SUM('15 Year Pro Forma'!$E$66:TEF$66))</f>
        <v>0</v>
      </c>
      <c r="TEI66" s="956">
        <f>MIN(TEI60*$C$65,Application!$AO$636-SUM('15 Year Pro Forma'!$E$66:TEH$66))</f>
        <v>0</v>
      </c>
      <c r="TEK66" s="956">
        <f>MIN(TEK60*$C$65,Application!$AO$636-SUM('15 Year Pro Forma'!$E$66:TEJ$66))</f>
        <v>0</v>
      </c>
      <c r="TEM66" s="956">
        <f>MIN(TEM60*$C$65,Application!$AO$636-SUM('15 Year Pro Forma'!$E$66:TEL$66))</f>
        <v>0</v>
      </c>
      <c r="TEO66" s="956">
        <f>MIN(TEO60*$C$65,Application!$AO$636-SUM('15 Year Pro Forma'!$E$66:TEN$66))</f>
        <v>0</v>
      </c>
      <c r="TEQ66" s="956">
        <f>MIN(TEQ60*$C$65,Application!$AO$636-SUM('15 Year Pro Forma'!$E$66:TEP$66))</f>
        <v>0</v>
      </c>
      <c r="TES66" s="956">
        <f>MIN(TES60*$C$65,Application!$AO$636-SUM('15 Year Pro Forma'!$E$66:TER$66))</f>
        <v>0</v>
      </c>
      <c r="TEU66" s="956">
        <f>MIN(TEU60*$C$65,Application!$AO$636-SUM('15 Year Pro Forma'!$E$66:TET$66))</f>
        <v>0</v>
      </c>
      <c r="TEW66" s="956">
        <f>MIN(TEW60*$C$65,Application!$AO$636-SUM('15 Year Pro Forma'!$E$66:TEV$66))</f>
        <v>0</v>
      </c>
      <c r="TEY66" s="956">
        <f>MIN(TEY60*$C$65,Application!$AO$636-SUM('15 Year Pro Forma'!$E$66:TEX$66))</f>
        <v>0</v>
      </c>
      <c r="TFA66" s="956">
        <f>MIN(TFA60*$C$65,Application!$AO$636-SUM('15 Year Pro Forma'!$E$66:TEZ$66))</f>
        <v>0</v>
      </c>
      <c r="TFC66" s="956">
        <f>MIN(TFC60*$C$65,Application!$AO$636-SUM('15 Year Pro Forma'!$E$66:TFB$66))</f>
        <v>0</v>
      </c>
      <c r="TFE66" s="956">
        <f>MIN(TFE60*$C$65,Application!$AO$636-SUM('15 Year Pro Forma'!$E$66:TFD$66))</f>
        <v>0</v>
      </c>
      <c r="TFG66" s="956">
        <f>MIN(TFG60*$C$65,Application!$AO$636-SUM('15 Year Pro Forma'!$E$66:TFF$66))</f>
        <v>0</v>
      </c>
      <c r="TFI66" s="956">
        <f>MIN(TFI60*$C$65,Application!$AO$636-SUM('15 Year Pro Forma'!$E$66:TFH$66))</f>
        <v>0</v>
      </c>
      <c r="TFK66" s="956">
        <f>MIN(TFK60*$C$65,Application!$AO$636-SUM('15 Year Pro Forma'!$E$66:TFJ$66))</f>
        <v>0</v>
      </c>
      <c r="TFM66" s="956">
        <f>MIN(TFM60*$C$65,Application!$AO$636-SUM('15 Year Pro Forma'!$E$66:TFL$66))</f>
        <v>0</v>
      </c>
      <c r="TFO66" s="956">
        <f>MIN(TFO60*$C$65,Application!$AO$636-SUM('15 Year Pro Forma'!$E$66:TFN$66))</f>
        <v>0</v>
      </c>
      <c r="TFQ66" s="956">
        <f>MIN(TFQ60*$C$65,Application!$AO$636-SUM('15 Year Pro Forma'!$E$66:TFP$66))</f>
        <v>0</v>
      </c>
      <c r="TFS66" s="956">
        <f>MIN(TFS60*$C$65,Application!$AO$636-SUM('15 Year Pro Forma'!$E$66:TFR$66))</f>
        <v>0</v>
      </c>
      <c r="TFU66" s="956">
        <f>MIN(TFU60*$C$65,Application!$AO$636-SUM('15 Year Pro Forma'!$E$66:TFT$66))</f>
        <v>0</v>
      </c>
      <c r="TFW66" s="956">
        <f>MIN(TFW60*$C$65,Application!$AO$636-SUM('15 Year Pro Forma'!$E$66:TFV$66))</f>
        <v>0</v>
      </c>
      <c r="TFY66" s="956">
        <f>MIN(TFY60*$C$65,Application!$AO$636-SUM('15 Year Pro Forma'!$E$66:TFX$66))</f>
        <v>0</v>
      </c>
      <c r="TGA66" s="956">
        <f>MIN(TGA60*$C$65,Application!$AO$636-SUM('15 Year Pro Forma'!$E$66:TFZ$66))</f>
        <v>0</v>
      </c>
      <c r="TGC66" s="956">
        <f>MIN(TGC60*$C$65,Application!$AO$636-SUM('15 Year Pro Forma'!$E$66:TGB$66))</f>
        <v>0</v>
      </c>
      <c r="TGE66" s="956">
        <f>MIN(TGE60*$C$65,Application!$AO$636-SUM('15 Year Pro Forma'!$E$66:TGD$66))</f>
        <v>0</v>
      </c>
      <c r="TGG66" s="956">
        <f>MIN(TGG60*$C$65,Application!$AO$636-SUM('15 Year Pro Forma'!$E$66:TGF$66))</f>
        <v>0</v>
      </c>
      <c r="TGI66" s="956">
        <f>MIN(TGI60*$C$65,Application!$AO$636-SUM('15 Year Pro Forma'!$E$66:TGH$66))</f>
        <v>0</v>
      </c>
      <c r="TGK66" s="956">
        <f>MIN(TGK60*$C$65,Application!$AO$636-SUM('15 Year Pro Forma'!$E$66:TGJ$66))</f>
        <v>0</v>
      </c>
      <c r="TGM66" s="956">
        <f>MIN(TGM60*$C$65,Application!$AO$636-SUM('15 Year Pro Forma'!$E$66:TGL$66))</f>
        <v>0</v>
      </c>
      <c r="TGO66" s="956">
        <f>MIN(TGO60*$C$65,Application!$AO$636-SUM('15 Year Pro Forma'!$E$66:TGN$66))</f>
        <v>0</v>
      </c>
      <c r="TGQ66" s="956">
        <f>MIN(TGQ60*$C$65,Application!$AO$636-SUM('15 Year Pro Forma'!$E$66:TGP$66))</f>
        <v>0</v>
      </c>
      <c r="TGS66" s="956">
        <f>MIN(TGS60*$C$65,Application!$AO$636-SUM('15 Year Pro Forma'!$E$66:TGR$66))</f>
        <v>0</v>
      </c>
      <c r="TGU66" s="956">
        <f>MIN(TGU60*$C$65,Application!$AO$636-SUM('15 Year Pro Forma'!$E$66:TGT$66))</f>
        <v>0</v>
      </c>
      <c r="TGW66" s="956">
        <f>MIN(TGW60*$C$65,Application!$AO$636-SUM('15 Year Pro Forma'!$E$66:TGV$66))</f>
        <v>0</v>
      </c>
      <c r="TGY66" s="956">
        <f>MIN(TGY60*$C$65,Application!$AO$636-SUM('15 Year Pro Forma'!$E$66:TGX$66))</f>
        <v>0</v>
      </c>
      <c r="THA66" s="956">
        <f>MIN(THA60*$C$65,Application!$AO$636-SUM('15 Year Pro Forma'!$E$66:TGZ$66))</f>
        <v>0</v>
      </c>
      <c r="THC66" s="956">
        <f>MIN(THC60*$C$65,Application!$AO$636-SUM('15 Year Pro Forma'!$E$66:THB$66))</f>
        <v>0</v>
      </c>
      <c r="THE66" s="956">
        <f>MIN(THE60*$C$65,Application!$AO$636-SUM('15 Year Pro Forma'!$E$66:THD$66))</f>
        <v>0</v>
      </c>
      <c r="THG66" s="956">
        <f>MIN(THG60*$C$65,Application!$AO$636-SUM('15 Year Pro Forma'!$E$66:THF$66))</f>
        <v>0</v>
      </c>
      <c r="THI66" s="956">
        <f>MIN(THI60*$C$65,Application!$AO$636-SUM('15 Year Pro Forma'!$E$66:THH$66))</f>
        <v>0</v>
      </c>
      <c r="THK66" s="956">
        <f>MIN(THK60*$C$65,Application!$AO$636-SUM('15 Year Pro Forma'!$E$66:THJ$66))</f>
        <v>0</v>
      </c>
      <c r="THM66" s="956">
        <f>MIN(THM60*$C$65,Application!$AO$636-SUM('15 Year Pro Forma'!$E$66:THL$66))</f>
        <v>0</v>
      </c>
      <c r="THO66" s="956">
        <f>MIN(THO60*$C$65,Application!$AO$636-SUM('15 Year Pro Forma'!$E$66:THN$66))</f>
        <v>0</v>
      </c>
      <c r="THQ66" s="956">
        <f>MIN(THQ60*$C$65,Application!$AO$636-SUM('15 Year Pro Forma'!$E$66:THP$66))</f>
        <v>0</v>
      </c>
      <c r="THS66" s="956">
        <f>MIN(THS60*$C$65,Application!$AO$636-SUM('15 Year Pro Forma'!$E$66:THR$66))</f>
        <v>0</v>
      </c>
      <c r="THU66" s="956">
        <f>MIN(THU60*$C$65,Application!$AO$636-SUM('15 Year Pro Forma'!$E$66:THT$66))</f>
        <v>0</v>
      </c>
      <c r="THW66" s="956">
        <f>MIN(THW60*$C$65,Application!$AO$636-SUM('15 Year Pro Forma'!$E$66:THV$66))</f>
        <v>0</v>
      </c>
      <c r="THY66" s="956">
        <f>MIN(THY60*$C$65,Application!$AO$636-SUM('15 Year Pro Forma'!$E$66:THX$66))</f>
        <v>0</v>
      </c>
      <c r="TIA66" s="956">
        <f>MIN(TIA60*$C$65,Application!$AO$636-SUM('15 Year Pro Forma'!$E$66:THZ$66))</f>
        <v>0</v>
      </c>
      <c r="TIC66" s="956">
        <f>MIN(TIC60*$C$65,Application!$AO$636-SUM('15 Year Pro Forma'!$E$66:TIB$66))</f>
        <v>0</v>
      </c>
      <c r="TIE66" s="956">
        <f>MIN(TIE60*$C$65,Application!$AO$636-SUM('15 Year Pro Forma'!$E$66:TID$66))</f>
        <v>0</v>
      </c>
      <c r="TIG66" s="956">
        <f>MIN(TIG60*$C$65,Application!$AO$636-SUM('15 Year Pro Forma'!$E$66:TIF$66))</f>
        <v>0</v>
      </c>
      <c r="TII66" s="956">
        <f>MIN(TII60*$C$65,Application!$AO$636-SUM('15 Year Pro Forma'!$E$66:TIH$66))</f>
        <v>0</v>
      </c>
      <c r="TIK66" s="956">
        <f>MIN(TIK60*$C$65,Application!$AO$636-SUM('15 Year Pro Forma'!$E$66:TIJ$66))</f>
        <v>0</v>
      </c>
      <c r="TIM66" s="956">
        <f>MIN(TIM60*$C$65,Application!$AO$636-SUM('15 Year Pro Forma'!$E$66:TIL$66))</f>
        <v>0</v>
      </c>
      <c r="TIO66" s="956">
        <f>MIN(TIO60*$C$65,Application!$AO$636-SUM('15 Year Pro Forma'!$E$66:TIN$66))</f>
        <v>0</v>
      </c>
      <c r="TIQ66" s="956">
        <f>MIN(TIQ60*$C$65,Application!$AO$636-SUM('15 Year Pro Forma'!$E$66:TIP$66))</f>
        <v>0</v>
      </c>
      <c r="TIS66" s="956">
        <f>MIN(TIS60*$C$65,Application!$AO$636-SUM('15 Year Pro Forma'!$E$66:TIR$66))</f>
        <v>0</v>
      </c>
      <c r="TIU66" s="956">
        <f>MIN(TIU60*$C$65,Application!$AO$636-SUM('15 Year Pro Forma'!$E$66:TIT$66))</f>
        <v>0</v>
      </c>
      <c r="TIW66" s="956">
        <f>MIN(TIW60*$C$65,Application!$AO$636-SUM('15 Year Pro Forma'!$E$66:TIV$66))</f>
        <v>0</v>
      </c>
      <c r="TIY66" s="956">
        <f>MIN(TIY60*$C$65,Application!$AO$636-SUM('15 Year Pro Forma'!$E$66:TIX$66))</f>
        <v>0</v>
      </c>
      <c r="TJA66" s="956">
        <f>MIN(TJA60*$C$65,Application!$AO$636-SUM('15 Year Pro Forma'!$E$66:TIZ$66))</f>
        <v>0</v>
      </c>
      <c r="TJC66" s="956">
        <f>MIN(TJC60*$C$65,Application!$AO$636-SUM('15 Year Pro Forma'!$E$66:TJB$66))</f>
        <v>0</v>
      </c>
      <c r="TJE66" s="956">
        <f>MIN(TJE60*$C$65,Application!$AO$636-SUM('15 Year Pro Forma'!$E$66:TJD$66))</f>
        <v>0</v>
      </c>
      <c r="TJG66" s="956">
        <f>MIN(TJG60*$C$65,Application!$AO$636-SUM('15 Year Pro Forma'!$E$66:TJF$66))</f>
        <v>0</v>
      </c>
      <c r="TJI66" s="956">
        <f>MIN(TJI60*$C$65,Application!$AO$636-SUM('15 Year Pro Forma'!$E$66:TJH$66))</f>
        <v>0</v>
      </c>
      <c r="TJK66" s="956">
        <f>MIN(TJK60*$C$65,Application!$AO$636-SUM('15 Year Pro Forma'!$E$66:TJJ$66))</f>
        <v>0</v>
      </c>
      <c r="TJM66" s="956">
        <f>MIN(TJM60*$C$65,Application!$AO$636-SUM('15 Year Pro Forma'!$E$66:TJL$66))</f>
        <v>0</v>
      </c>
      <c r="TJO66" s="956">
        <f>MIN(TJO60*$C$65,Application!$AO$636-SUM('15 Year Pro Forma'!$E$66:TJN$66))</f>
        <v>0</v>
      </c>
      <c r="TJQ66" s="956">
        <f>MIN(TJQ60*$C$65,Application!$AO$636-SUM('15 Year Pro Forma'!$E$66:TJP$66))</f>
        <v>0</v>
      </c>
      <c r="TJS66" s="956">
        <f>MIN(TJS60*$C$65,Application!$AO$636-SUM('15 Year Pro Forma'!$E$66:TJR$66))</f>
        <v>0</v>
      </c>
      <c r="TJU66" s="956">
        <f>MIN(TJU60*$C$65,Application!$AO$636-SUM('15 Year Pro Forma'!$E$66:TJT$66))</f>
        <v>0</v>
      </c>
      <c r="TJW66" s="956">
        <f>MIN(TJW60*$C$65,Application!$AO$636-SUM('15 Year Pro Forma'!$E$66:TJV$66))</f>
        <v>0</v>
      </c>
      <c r="TJY66" s="956">
        <f>MIN(TJY60*$C$65,Application!$AO$636-SUM('15 Year Pro Forma'!$E$66:TJX$66))</f>
        <v>0</v>
      </c>
      <c r="TKA66" s="956">
        <f>MIN(TKA60*$C$65,Application!$AO$636-SUM('15 Year Pro Forma'!$E$66:TJZ$66))</f>
        <v>0</v>
      </c>
      <c r="TKC66" s="956">
        <f>MIN(TKC60*$C$65,Application!$AO$636-SUM('15 Year Pro Forma'!$E$66:TKB$66))</f>
        <v>0</v>
      </c>
      <c r="TKE66" s="956">
        <f>MIN(TKE60*$C$65,Application!$AO$636-SUM('15 Year Pro Forma'!$E$66:TKD$66))</f>
        <v>0</v>
      </c>
      <c r="TKG66" s="956">
        <f>MIN(TKG60*$C$65,Application!$AO$636-SUM('15 Year Pro Forma'!$E$66:TKF$66))</f>
        <v>0</v>
      </c>
      <c r="TKI66" s="956">
        <f>MIN(TKI60*$C$65,Application!$AO$636-SUM('15 Year Pro Forma'!$E$66:TKH$66))</f>
        <v>0</v>
      </c>
      <c r="TKK66" s="956">
        <f>MIN(TKK60*$C$65,Application!$AO$636-SUM('15 Year Pro Forma'!$E$66:TKJ$66))</f>
        <v>0</v>
      </c>
      <c r="TKM66" s="956">
        <f>MIN(TKM60*$C$65,Application!$AO$636-SUM('15 Year Pro Forma'!$E$66:TKL$66))</f>
        <v>0</v>
      </c>
      <c r="TKO66" s="956">
        <f>MIN(TKO60*$C$65,Application!$AO$636-SUM('15 Year Pro Forma'!$E$66:TKN$66))</f>
        <v>0</v>
      </c>
      <c r="TKQ66" s="956">
        <f>MIN(TKQ60*$C$65,Application!$AO$636-SUM('15 Year Pro Forma'!$E$66:TKP$66))</f>
        <v>0</v>
      </c>
      <c r="TKS66" s="956">
        <f>MIN(TKS60*$C$65,Application!$AO$636-SUM('15 Year Pro Forma'!$E$66:TKR$66))</f>
        <v>0</v>
      </c>
      <c r="TKU66" s="956">
        <f>MIN(TKU60*$C$65,Application!$AO$636-SUM('15 Year Pro Forma'!$E$66:TKT$66))</f>
        <v>0</v>
      </c>
      <c r="TKW66" s="956">
        <f>MIN(TKW60*$C$65,Application!$AO$636-SUM('15 Year Pro Forma'!$E$66:TKV$66))</f>
        <v>0</v>
      </c>
      <c r="TKY66" s="956">
        <f>MIN(TKY60*$C$65,Application!$AO$636-SUM('15 Year Pro Forma'!$E$66:TKX$66))</f>
        <v>0</v>
      </c>
      <c r="TLA66" s="956">
        <f>MIN(TLA60*$C$65,Application!$AO$636-SUM('15 Year Pro Forma'!$E$66:TKZ$66))</f>
        <v>0</v>
      </c>
      <c r="TLC66" s="956">
        <f>MIN(TLC60*$C$65,Application!$AO$636-SUM('15 Year Pro Forma'!$E$66:TLB$66))</f>
        <v>0</v>
      </c>
      <c r="TLE66" s="956">
        <f>MIN(TLE60*$C$65,Application!$AO$636-SUM('15 Year Pro Forma'!$E$66:TLD$66))</f>
        <v>0</v>
      </c>
      <c r="TLG66" s="956">
        <f>MIN(TLG60*$C$65,Application!$AO$636-SUM('15 Year Pro Forma'!$E$66:TLF$66))</f>
        <v>0</v>
      </c>
      <c r="TLI66" s="956">
        <f>MIN(TLI60*$C$65,Application!$AO$636-SUM('15 Year Pro Forma'!$E$66:TLH$66))</f>
        <v>0</v>
      </c>
      <c r="TLK66" s="956">
        <f>MIN(TLK60*$C$65,Application!$AO$636-SUM('15 Year Pro Forma'!$E$66:TLJ$66))</f>
        <v>0</v>
      </c>
      <c r="TLM66" s="956">
        <f>MIN(TLM60*$C$65,Application!$AO$636-SUM('15 Year Pro Forma'!$E$66:TLL$66))</f>
        <v>0</v>
      </c>
      <c r="TLO66" s="956">
        <f>MIN(TLO60*$C$65,Application!$AO$636-SUM('15 Year Pro Forma'!$E$66:TLN$66))</f>
        <v>0</v>
      </c>
      <c r="TLQ66" s="956">
        <f>MIN(TLQ60*$C$65,Application!$AO$636-SUM('15 Year Pro Forma'!$E$66:TLP$66))</f>
        <v>0</v>
      </c>
      <c r="TLS66" s="956">
        <f>MIN(TLS60*$C$65,Application!$AO$636-SUM('15 Year Pro Forma'!$E$66:TLR$66))</f>
        <v>0</v>
      </c>
      <c r="TLU66" s="956">
        <f>MIN(TLU60*$C$65,Application!$AO$636-SUM('15 Year Pro Forma'!$E$66:TLT$66))</f>
        <v>0</v>
      </c>
      <c r="TLW66" s="956">
        <f>MIN(TLW60*$C$65,Application!$AO$636-SUM('15 Year Pro Forma'!$E$66:TLV$66))</f>
        <v>0</v>
      </c>
      <c r="TLY66" s="956">
        <f>MIN(TLY60*$C$65,Application!$AO$636-SUM('15 Year Pro Forma'!$E$66:TLX$66))</f>
        <v>0</v>
      </c>
      <c r="TMA66" s="956">
        <f>MIN(TMA60*$C$65,Application!$AO$636-SUM('15 Year Pro Forma'!$E$66:TLZ$66))</f>
        <v>0</v>
      </c>
      <c r="TMC66" s="956">
        <f>MIN(TMC60*$C$65,Application!$AO$636-SUM('15 Year Pro Forma'!$E$66:TMB$66))</f>
        <v>0</v>
      </c>
      <c r="TME66" s="956">
        <f>MIN(TME60*$C$65,Application!$AO$636-SUM('15 Year Pro Forma'!$E$66:TMD$66))</f>
        <v>0</v>
      </c>
      <c r="TMG66" s="956">
        <f>MIN(TMG60*$C$65,Application!$AO$636-SUM('15 Year Pro Forma'!$E$66:TMF$66))</f>
        <v>0</v>
      </c>
      <c r="TMI66" s="956">
        <f>MIN(TMI60*$C$65,Application!$AO$636-SUM('15 Year Pro Forma'!$E$66:TMH$66))</f>
        <v>0</v>
      </c>
      <c r="TMK66" s="956">
        <f>MIN(TMK60*$C$65,Application!$AO$636-SUM('15 Year Pro Forma'!$E$66:TMJ$66))</f>
        <v>0</v>
      </c>
      <c r="TMM66" s="956">
        <f>MIN(TMM60*$C$65,Application!$AO$636-SUM('15 Year Pro Forma'!$E$66:TML$66))</f>
        <v>0</v>
      </c>
      <c r="TMO66" s="956">
        <f>MIN(TMO60*$C$65,Application!$AO$636-SUM('15 Year Pro Forma'!$E$66:TMN$66))</f>
        <v>0</v>
      </c>
      <c r="TMQ66" s="956">
        <f>MIN(TMQ60*$C$65,Application!$AO$636-SUM('15 Year Pro Forma'!$E$66:TMP$66))</f>
        <v>0</v>
      </c>
      <c r="TMS66" s="956">
        <f>MIN(TMS60*$C$65,Application!$AO$636-SUM('15 Year Pro Forma'!$E$66:TMR$66))</f>
        <v>0</v>
      </c>
      <c r="TMU66" s="956">
        <f>MIN(TMU60*$C$65,Application!$AO$636-SUM('15 Year Pro Forma'!$E$66:TMT$66))</f>
        <v>0</v>
      </c>
      <c r="TMW66" s="956">
        <f>MIN(TMW60*$C$65,Application!$AO$636-SUM('15 Year Pro Forma'!$E$66:TMV$66))</f>
        <v>0</v>
      </c>
      <c r="TMY66" s="956">
        <f>MIN(TMY60*$C$65,Application!$AO$636-SUM('15 Year Pro Forma'!$E$66:TMX$66))</f>
        <v>0</v>
      </c>
      <c r="TNA66" s="956">
        <f>MIN(TNA60*$C$65,Application!$AO$636-SUM('15 Year Pro Forma'!$E$66:TMZ$66))</f>
        <v>0</v>
      </c>
      <c r="TNC66" s="956">
        <f>MIN(TNC60*$C$65,Application!$AO$636-SUM('15 Year Pro Forma'!$E$66:TNB$66))</f>
        <v>0</v>
      </c>
      <c r="TNE66" s="956">
        <f>MIN(TNE60*$C$65,Application!$AO$636-SUM('15 Year Pro Forma'!$E$66:TND$66))</f>
        <v>0</v>
      </c>
      <c r="TNG66" s="956">
        <f>MIN(TNG60*$C$65,Application!$AO$636-SUM('15 Year Pro Forma'!$E$66:TNF$66))</f>
        <v>0</v>
      </c>
      <c r="TNI66" s="956">
        <f>MIN(TNI60*$C$65,Application!$AO$636-SUM('15 Year Pro Forma'!$E$66:TNH$66))</f>
        <v>0</v>
      </c>
      <c r="TNK66" s="956">
        <f>MIN(TNK60*$C$65,Application!$AO$636-SUM('15 Year Pro Forma'!$E$66:TNJ$66))</f>
        <v>0</v>
      </c>
      <c r="TNM66" s="956">
        <f>MIN(TNM60*$C$65,Application!$AO$636-SUM('15 Year Pro Forma'!$E$66:TNL$66))</f>
        <v>0</v>
      </c>
      <c r="TNO66" s="956">
        <f>MIN(TNO60*$C$65,Application!$AO$636-SUM('15 Year Pro Forma'!$E$66:TNN$66))</f>
        <v>0</v>
      </c>
      <c r="TNQ66" s="956">
        <f>MIN(TNQ60*$C$65,Application!$AO$636-SUM('15 Year Pro Forma'!$E$66:TNP$66))</f>
        <v>0</v>
      </c>
      <c r="TNS66" s="956">
        <f>MIN(TNS60*$C$65,Application!$AO$636-SUM('15 Year Pro Forma'!$E$66:TNR$66))</f>
        <v>0</v>
      </c>
      <c r="TNU66" s="956">
        <f>MIN(TNU60*$C$65,Application!$AO$636-SUM('15 Year Pro Forma'!$E$66:TNT$66))</f>
        <v>0</v>
      </c>
      <c r="TNW66" s="956">
        <f>MIN(TNW60*$C$65,Application!$AO$636-SUM('15 Year Pro Forma'!$E$66:TNV$66))</f>
        <v>0</v>
      </c>
      <c r="TNY66" s="956">
        <f>MIN(TNY60*$C$65,Application!$AO$636-SUM('15 Year Pro Forma'!$E$66:TNX$66))</f>
        <v>0</v>
      </c>
      <c r="TOA66" s="956">
        <f>MIN(TOA60*$C$65,Application!$AO$636-SUM('15 Year Pro Forma'!$E$66:TNZ$66))</f>
        <v>0</v>
      </c>
      <c r="TOC66" s="956">
        <f>MIN(TOC60*$C$65,Application!$AO$636-SUM('15 Year Pro Forma'!$E$66:TOB$66))</f>
        <v>0</v>
      </c>
      <c r="TOE66" s="956">
        <f>MIN(TOE60*$C$65,Application!$AO$636-SUM('15 Year Pro Forma'!$E$66:TOD$66))</f>
        <v>0</v>
      </c>
      <c r="TOG66" s="956">
        <f>MIN(TOG60*$C$65,Application!$AO$636-SUM('15 Year Pro Forma'!$E$66:TOF$66))</f>
        <v>0</v>
      </c>
      <c r="TOI66" s="956">
        <f>MIN(TOI60*$C$65,Application!$AO$636-SUM('15 Year Pro Forma'!$E$66:TOH$66))</f>
        <v>0</v>
      </c>
      <c r="TOK66" s="956">
        <f>MIN(TOK60*$C$65,Application!$AO$636-SUM('15 Year Pro Forma'!$E$66:TOJ$66))</f>
        <v>0</v>
      </c>
      <c r="TOM66" s="956">
        <f>MIN(TOM60*$C$65,Application!$AO$636-SUM('15 Year Pro Forma'!$E$66:TOL$66))</f>
        <v>0</v>
      </c>
      <c r="TOO66" s="956">
        <f>MIN(TOO60*$C$65,Application!$AO$636-SUM('15 Year Pro Forma'!$E$66:TON$66))</f>
        <v>0</v>
      </c>
      <c r="TOQ66" s="956">
        <f>MIN(TOQ60*$C$65,Application!$AO$636-SUM('15 Year Pro Forma'!$E$66:TOP$66))</f>
        <v>0</v>
      </c>
      <c r="TOS66" s="956">
        <f>MIN(TOS60*$C$65,Application!$AO$636-SUM('15 Year Pro Forma'!$E$66:TOR$66))</f>
        <v>0</v>
      </c>
      <c r="TOU66" s="956">
        <f>MIN(TOU60*$C$65,Application!$AO$636-SUM('15 Year Pro Forma'!$E$66:TOT$66))</f>
        <v>0</v>
      </c>
      <c r="TOW66" s="956">
        <f>MIN(TOW60*$C$65,Application!$AO$636-SUM('15 Year Pro Forma'!$E$66:TOV$66))</f>
        <v>0</v>
      </c>
      <c r="TOY66" s="956">
        <f>MIN(TOY60*$C$65,Application!$AO$636-SUM('15 Year Pro Forma'!$E$66:TOX$66))</f>
        <v>0</v>
      </c>
      <c r="TPA66" s="956">
        <f>MIN(TPA60*$C$65,Application!$AO$636-SUM('15 Year Pro Forma'!$E$66:TOZ$66))</f>
        <v>0</v>
      </c>
      <c r="TPC66" s="956">
        <f>MIN(TPC60*$C$65,Application!$AO$636-SUM('15 Year Pro Forma'!$E$66:TPB$66))</f>
        <v>0</v>
      </c>
      <c r="TPE66" s="956">
        <f>MIN(TPE60*$C$65,Application!$AO$636-SUM('15 Year Pro Forma'!$E$66:TPD$66))</f>
        <v>0</v>
      </c>
      <c r="TPG66" s="956">
        <f>MIN(TPG60*$C$65,Application!$AO$636-SUM('15 Year Pro Forma'!$E$66:TPF$66))</f>
        <v>0</v>
      </c>
      <c r="TPI66" s="956">
        <f>MIN(TPI60*$C$65,Application!$AO$636-SUM('15 Year Pro Forma'!$E$66:TPH$66))</f>
        <v>0</v>
      </c>
      <c r="TPK66" s="956">
        <f>MIN(TPK60*$C$65,Application!$AO$636-SUM('15 Year Pro Forma'!$E$66:TPJ$66))</f>
        <v>0</v>
      </c>
      <c r="TPM66" s="956">
        <f>MIN(TPM60*$C$65,Application!$AO$636-SUM('15 Year Pro Forma'!$E$66:TPL$66))</f>
        <v>0</v>
      </c>
      <c r="TPO66" s="956">
        <f>MIN(TPO60*$C$65,Application!$AO$636-SUM('15 Year Pro Forma'!$E$66:TPN$66))</f>
        <v>0</v>
      </c>
      <c r="TPQ66" s="956">
        <f>MIN(TPQ60*$C$65,Application!$AO$636-SUM('15 Year Pro Forma'!$E$66:TPP$66))</f>
        <v>0</v>
      </c>
      <c r="TPS66" s="956">
        <f>MIN(TPS60*$C$65,Application!$AO$636-SUM('15 Year Pro Forma'!$E$66:TPR$66))</f>
        <v>0</v>
      </c>
      <c r="TPU66" s="956">
        <f>MIN(TPU60*$C$65,Application!$AO$636-SUM('15 Year Pro Forma'!$E$66:TPT$66))</f>
        <v>0</v>
      </c>
      <c r="TPW66" s="956">
        <f>MIN(TPW60*$C$65,Application!$AO$636-SUM('15 Year Pro Forma'!$E$66:TPV$66))</f>
        <v>0</v>
      </c>
      <c r="TPY66" s="956">
        <f>MIN(TPY60*$C$65,Application!$AO$636-SUM('15 Year Pro Forma'!$E$66:TPX$66))</f>
        <v>0</v>
      </c>
      <c r="TQA66" s="956">
        <f>MIN(TQA60*$C$65,Application!$AO$636-SUM('15 Year Pro Forma'!$E$66:TPZ$66))</f>
        <v>0</v>
      </c>
      <c r="TQC66" s="956">
        <f>MIN(TQC60*$C$65,Application!$AO$636-SUM('15 Year Pro Forma'!$E$66:TQB$66))</f>
        <v>0</v>
      </c>
      <c r="TQE66" s="956">
        <f>MIN(TQE60*$C$65,Application!$AO$636-SUM('15 Year Pro Forma'!$E$66:TQD$66))</f>
        <v>0</v>
      </c>
      <c r="TQG66" s="956">
        <f>MIN(TQG60*$C$65,Application!$AO$636-SUM('15 Year Pro Forma'!$E$66:TQF$66))</f>
        <v>0</v>
      </c>
      <c r="TQI66" s="956">
        <f>MIN(TQI60*$C$65,Application!$AO$636-SUM('15 Year Pro Forma'!$E$66:TQH$66))</f>
        <v>0</v>
      </c>
      <c r="TQK66" s="956">
        <f>MIN(TQK60*$C$65,Application!$AO$636-SUM('15 Year Pro Forma'!$E$66:TQJ$66))</f>
        <v>0</v>
      </c>
      <c r="TQM66" s="956">
        <f>MIN(TQM60*$C$65,Application!$AO$636-SUM('15 Year Pro Forma'!$E$66:TQL$66))</f>
        <v>0</v>
      </c>
      <c r="TQO66" s="956">
        <f>MIN(TQO60*$C$65,Application!$AO$636-SUM('15 Year Pro Forma'!$E$66:TQN$66))</f>
        <v>0</v>
      </c>
      <c r="TQQ66" s="956">
        <f>MIN(TQQ60*$C$65,Application!$AO$636-SUM('15 Year Pro Forma'!$E$66:TQP$66))</f>
        <v>0</v>
      </c>
      <c r="TQS66" s="956">
        <f>MIN(TQS60*$C$65,Application!$AO$636-SUM('15 Year Pro Forma'!$E$66:TQR$66))</f>
        <v>0</v>
      </c>
      <c r="TQU66" s="956">
        <f>MIN(TQU60*$C$65,Application!$AO$636-SUM('15 Year Pro Forma'!$E$66:TQT$66))</f>
        <v>0</v>
      </c>
      <c r="TQW66" s="956">
        <f>MIN(TQW60*$C$65,Application!$AO$636-SUM('15 Year Pro Forma'!$E$66:TQV$66))</f>
        <v>0</v>
      </c>
      <c r="TQY66" s="956">
        <f>MIN(TQY60*$C$65,Application!$AO$636-SUM('15 Year Pro Forma'!$E$66:TQX$66))</f>
        <v>0</v>
      </c>
      <c r="TRA66" s="956">
        <f>MIN(TRA60*$C$65,Application!$AO$636-SUM('15 Year Pro Forma'!$E$66:TQZ$66))</f>
        <v>0</v>
      </c>
      <c r="TRC66" s="956">
        <f>MIN(TRC60*$C$65,Application!$AO$636-SUM('15 Year Pro Forma'!$E$66:TRB$66))</f>
        <v>0</v>
      </c>
      <c r="TRE66" s="956">
        <f>MIN(TRE60*$C$65,Application!$AO$636-SUM('15 Year Pro Forma'!$E$66:TRD$66))</f>
        <v>0</v>
      </c>
      <c r="TRG66" s="956">
        <f>MIN(TRG60*$C$65,Application!$AO$636-SUM('15 Year Pro Forma'!$E$66:TRF$66))</f>
        <v>0</v>
      </c>
      <c r="TRI66" s="956">
        <f>MIN(TRI60*$C$65,Application!$AO$636-SUM('15 Year Pro Forma'!$E$66:TRH$66))</f>
        <v>0</v>
      </c>
      <c r="TRK66" s="956">
        <f>MIN(TRK60*$C$65,Application!$AO$636-SUM('15 Year Pro Forma'!$E$66:TRJ$66))</f>
        <v>0</v>
      </c>
      <c r="TRM66" s="956">
        <f>MIN(TRM60*$C$65,Application!$AO$636-SUM('15 Year Pro Forma'!$E$66:TRL$66))</f>
        <v>0</v>
      </c>
      <c r="TRO66" s="956">
        <f>MIN(TRO60*$C$65,Application!$AO$636-SUM('15 Year Pro Forma'!$E$66:TRN$66))</f>
        <v>0</v>
      </c>
      <c r="TRQ66" s="956">
        <f>MIN(TRQ60*$C$65,Application!$AO$636-SUM('15 Year Pro Forma'!$E$66:TRP$66))</f>
        <v>0</v>
      </c>
      <c r="TRS66" s="956">
        <f>MIN(TRS60*$C$65,Application!$AO$636-SUM('15 Year Pro Forma'!$E$66:TRR$66))</f>
        <v>0</v>
      </c>
      <c r="TRU66" s="956">
        <f>MIN(TRU60*$C$65,Application!$AO$636-SUM('15 Year Pro Forma'!$E$66:TRT$66))</f>
        <v>0</v>
      </c>
      <c r="TRW66" s="956">
        <f>MIN(TRW60*$C$65,Application!$AO$636-SUM('15 Year Pro Forma'!$E$66:TRV$66))</f>
        <v>0</v>
      </c>
      <c r="TRY66" s="956">
        <f>MIN(TRY60*$C$65,Application!$AO$636-SUM('15 Year Pro Forma'!$E$66:TRX$66))</f>
        <v>0</v>
      </c>
      <c r="TSA66" s="956">
        <f>MIN(TSA60*$C$65,Application!$AO$636-SUM('15 Year Pro Forma'!$E$66:TRZ$66))</f>
        <v>0</v>
      </c>
      <c r="TSC66" s="956">
        <f>MIN(TSC60*$C$65,Application!$AO$636-SUM('15 Year Pro Forma'!$E$66:TSB$66))</f>
        <v>0</v>
      </c>
      <c r="TSE66" s="956">
        <f>MIN(TSE60*$C$65,Application!$AO$636-SUM('15 Year Pro Forma'!$E$66:TSD$66))</f>
        <v>0</v>
      </c>
      <c r="TSG66" s="956">
        <f>MIN(TSG60*$C$65,Application!$AO$636-SUM('15 Year Pro Forma'!$E$66:TSF$66))</f>
        <v>0</v>
      </c>
      <c r="TSI66" s="956">
        <f>MIN(TSI60*$C$65,Application!$AO$636-SUM('15 Year Pro Forma'!$E$66:TSH$66))</f>
        <v>0</v>
      </c>
      <c r="TSK66" s="956">
        <f>MIN(TSK60*$C$65,Application!$AO$636-SUM('15 Year Pro Forma'!$E$66:TSJ$66))</f>
        <v>0</v>
      </c>
      <c r="TSM66" s="956">
        <f>MIN(TSM60*$C$65,Application!$AO$636-SUM('15 Year Pro Forma'!$E$66:TSL$66))</f>
        <v>0</v>
      </c>
      <c r="TSO66" s="956">
        <f>MIN(TSO60*$C$65,Application!$AO$636-SUM('15 Year Pro Forma'!$E$66:TSN$66))</f>
        <v>0</v>
      </c>
      <c r="TSQ66" s="956">
        <f>MIN(TSQ60*$C$65,Application!$AO$636-SUM('15 Year Pro Forma'!$E$66:TSP$66))</f>
        <v>0</v>
      </c>
      <c r="TSS66" s="956">
        <f>MIN(TSS60*$C$65,Application!$AO$636-SUM('15 Year Pro Forma'!$E$66:TSR$66))</f>
        <v>0</v>
      </c>
      <c r="TSU66" s="956">
        <f>MIN(TSU60*$C$65,Application!$AO$636-SUM('15 Year Pro Forma'!$E$66:TST$66))</f>
        <v>0</v>
      </c>
      <c r="TSW66" s="956">
        <f>MIN(TSW60*$C$65,Application!$AO$636-SUM('15 Year Pro Forma'!$E$66:TSV$66))</f>
        <v>0</v>
      </c>
      <c r="TSY66" s="956">
        <f>MIN(TSY60*$C$65,Application!$AO$636-SUM('15 Year Pro Forma'!$E$66:TSX$66))</f>
        <v>0</v>
      </c>
      <c r="TTA66" s="956">
        <f>MIN(TTA60*$C$65,Application!$AO$636-SUM('15 Year Pro Forma'!$E$66:TSZ$66))</f>
        <v>0</v>
      </c>
      <c r="TTC66" s="956">
        <f>MIN(TTC60*$C$65,Application!$AO$636-SUM('15 Year Pro Forma'!$E$66:TTB$66))</f>
        <v>0</v>
      </c>
      <c r="TTE66" s="956">
        <f>MIN(TTE60*$C$65,Application!$AO$636-SUM('15 Year Pro Forma'!$E$66:TTD$66))</f>
        <v>0</v>
      </c>
      <c r="TTG66" s="956">
        <f>MIN(TTG60*$C$65,Application!$AO$636-SUM('15 Year Pro Forma'!$E$66:TTF$66))</f>
        <v>0</v>
      </c>
      <c r="TTI66" s="956">
        <f>MIN(TTI60*$C$65,Application!$AO$636-SUM('15 Year Pro Forma'!$E$66:TTH$66))</f>
        <v>0</v>
      </c>
      <c r="TTK66" s="956">
        <f>MIN(TTK60*$C$65,Application!$AO$636-SUM('15 Year Pro Forma'!$E$66:TTJ$66))</f>
        <v>0</v>
      </c>
      <c r="TTM66" s="956">
        <f>MIN(TTM60*$C$65,Application!$AO$636-SUM('15 Year Pro Forma'!$E$66:TTL$66))</f>
        <v>0</v>
      </c>
      <c r="TTO66" s="956">
        <f>MIN(TTO60*$C$65,Application!$AO$636-SUM('15 Year Pro Forma'!$E$66:TTN$66))</f>
        <v>0</v>
      </c>
      <c r="TTQ66" s="956">
        <f>MIN(TTQ60*$C$65,Application!$AO$636-SUM('15 Year Pro Forma'!$E$66:TTP$66))</f>
        <v>0</v>
      </c>
      <c r="TTS66" s="956">
        <f>MIN(TTS60*$C$65,Application!$AO$636-SUM('15 Year Pro Forma'!$E$66:TTR$66))</f>
        <v>0</v>
      </c>
      <c r="TTU66" s="956">
        <f>MIN(TTU60*$C$65,Application!$AO$636-SUM('15 Year Pro Forma'!$E$66:TTT$66))</f>
        <v>0</v>
      </c>
      <c r="TTW66" s="956">
        <f>MIN(TTW60*$C$65,Application!$AO$636-SUM('15 Year Pro Forma'!$E$66:TTV$66))</f>
        <v>0</v>
      </c>
      <c r="TTY66" s="956">
        <f>MIN(TTY60*$C$65,Application!$AO$636-SUM('15 Year Pro Forma'!$E$66:TTX$66))</f>
        <v>0</v>
      </c>
      <c r="TUA66" s="956">
        <f>MIN(TUA60*$C$65,Application!$AO$636-SUM('15 Year Pro Forma'!$E$66:TTZ$66))</f>
        <v>0</v>
      </c>
      <c r="TUC66" s="956">
        <f>MIN(TUC60*$C$65,Application!$AO$636-SUM('15 Year Pro Forma'!$E$66:TUB$66))</f>
        <v>0</v>
      </c>
      <c r="TUE66" s="956">
        <f>MIN(TUE60*$C$65,Application!$AO$636-SUM('15 Year Pro Forma'!$E$66:TUD$66))</f>
        <v>0</v>
      </c>
      <c r="TUG66" s="956">
        <f>MIN(TUG60*$C$65,Application!$AO$636-SUM('15 Year Pro Forma'!$E$66:TUF$66))</f>
        <v>0</v>
      </c>
      <c r="TUI66" s="956">
        <f>MIN(TUI60*$C$65,Application!$AO$636-SUM('15 Year Pro Forma'!$E$66:TUH$66))</f>
        <v>0</v>
      </c>
      <c r="TUK66" s="956">
        <f>MIN(TUK60*$C$65,Application!$AO$636-SUM('15 Year Pro Forma'!$E$66:TUJ$66))</f>
        <v>0</v>
      </c>
      <c r="TUM66" s="956">
        <f>MIN(TUM60*$C$65,Application!$AO$636-SUM('15 Year Pro Forma'!$E$66:TUL$66))</f>
        <v>0</v>
      </c>
      <c r="TUO66" s="956">
        <f>MIN(TUO60*$C$65,Application!$AO$636-SUM('15 Year Pro Forma'!$E$66:TUN$66))</f>
        <v>0</v>
      </c>
      <c r="TUQ66" s="956">
        <f>MIN(TUQ60*$C$65,Application!$AO$636-SUM('15 Year Pro Forma'!$E$66:TUP$66))</f>
        <v>0</v>
      </c>
      <c r="TUS66" s="956">
        <f>MIN(TUS60*$C$65,Application!$AO$636-SUM('15 Year Pro Forma'!$E$66:TUR$66))</f>
        <v>0</v>
      </c>
      <c r="TUU66" s="956">
        <f>MIN(TUU60*$C$65,Application!$AO$636-SUM('15 Year Pro Forma'!$E$66:TUT$66))</f>
        <v>0</v>
      </c>
      <c r="TUW66" s="956">
        <f>MIN(TUW60*$C$65,Application!$AO$636-SUM('15 Year Pro Forma'!$E$66:TUV$66))</f>
        <v>0</v>
      </c>
      <c r="TUY66" s="956">
        <f>MIN(TUY60*$C$65,Application!$AO$636-SUM('15 Year Pro Forma'!$E$66:TUX$66))</f>
        <v>0</v>
      </c>
      <c r="TVA66" s="956">
        <f>MIN(TVA60*$C$65,Application!$AO$636-SUM('15 Year Pro Forma'!$E$66:TUZ$66))</f>
        <v>0</v>
      </c>
      <c r="TVC66" s="956">
        <f>MIN(TVC60*$C$65,Application!$AO$636-SUM('15 Year Pro Forma'!$E$66:TVB$66))</f>
        <v>0</v>
      </c>
      <c r="TVE66" s="956">
        <f>MIN(TVE60*$C$65,Application!$AO$636-SUM('15 Year Pro Forma'!$E$66:TVD$66))</f>
        <v>0</v>
      </c>
      <c r="TVG66" s="956">
        <f>MIN(TVG60*$C$65,Application!$AO$636-SUM('15 Year Pro Forma'!$E$66:TVF$66))</f>
        <v>0</v>
      </c>
      <c r="TVI66" s="956">
        <f>MIN(TVI60*$C$65,Application!$AO$636-SUM('15 Year Pro Forma'!$E$66:TVH$66))</f>
        <v>0</v>
      </c>
      <c r="TVK66" s="956">
        <f>MIN(TVK60*$C$65,Application!$AO$636-SUM('15 Year Pro Forma'!$E$66:TVJ$66))</f>
        <v>0</v>
      </c>
      <c r="TVM66" s="956">
        <f>MIN(TVM60*$C$65,Application!$AO$636-SUM('15 Year Pro Forma'!$E$66:TVL$66))</f>
        <v>0</v>
      </c>
      <c r="TVO66" s="956">
        <f>MIN(TVO60*$C$65,Application!$AO$636-SUM('15 Year Pro Forma'!$E$66:TVN$66))</f>
        <v>0</v>
      </c>
      <c r="TVQ66" s="956">
        <f>MIN(TVQ60*$C$65,Application!$AO$636-SUM('15 Year Pro Forma'!$E$66:TVP$66))</f>
        <v>0</v>
      </c>
      <c r="TVS66" s="956">
        <f>MIN(TVS60*$C$65,Application!$AO$636-SUM('15 Year Pro Forma'!$E$66:TVR$66))</f>
        <v>0</v>
      </c>
      <c r="TVU66" s="956">
        <f>MIN(TVU60*$C$65,Application!$AO$636-SUM('15 Year Pro Forma'!$E$66:TVT$66))</f>
        <v>0</v>
      </c>
      <c r="TVW66" s="956">
        <f>MIN(TVW60*$C$65,Application!$AO$636-SUM('15 Year Pro Forma'!$E$66:TVV$66))</f>
        <v>0</v>
      </c>
      <c r="TVY66" s="956">
        <f>MIN(TVY60*$C$65,Application!$AO$636-SUM('15 Year Pro Forma'!$E$66:TVX$66))</f>
        <v>0</v>
      </c>
      <c r="TWA66" s="956">
        <f>MIN(TWA60*$C$65,Application!$AO$636-SUM('15 Year Pro Forma'!$E$66:TVZ$66))</f>
        <v>0</v>
      </c>
      <c r="TWC66" s="956">
        <f>MIN(TWC60*$C$65,Application!$AO$636-SUM('15 Year Pro Forma'!$E$66:TWB$66))</f>
        <v>0</v>
      </c>
      <c r="TWE66" s="956">
        <f>MIN(TWE60*$C$65,Application!$AO$636-SUM('15 Year Pro Forma'!$E$66:TWD$66))</f>
        <v>0</v>
      </c>
      <c r="TWG66" s="956">
        <f>MIN(TWG60*$C$65,Application!$AO$636-SUM('15 Year Pro Forma'!$E$66:TWF$66))</f>
        <v>0</v>
      </c>
      <c r="TWI66" s="956">
        <f>MIN(TWI60*$C$65,Application!$AO$636-SUM('15 Year Pro Forma'!$E$66:TWH$66))</f>
        <v>0</v>
      </c>
      <c r="TWK66" s="956">
        <f>MIN(TWK60*$C$65,Application!$AO$636-SUM('15 Year Pro Forma'!$E$66:TWJ$66))</f>
        <v>0</v>
      </c>
      <c r="TWM66" s="956">
        <f>MIN(TWM60*$C$65,Application!$AO$636-SUM('15 Year Pro Forma'!$E$66:TWL$66))</f>
        <v>0</v>
      </c>
      <c r="TWO66" s="956">
        <f>MIN(TWO60*$C$65,Application!$AO$636-SUM('15 Year Pro Forma'!$E$66:TWN$66))</f>
        <v>0</v>
      </c>
      <c r="TWQ66" s="956">
        <f>MIN(TWQ60*$C$65,Application!$AO$636-SUM('15 Year Pro Forma'!$E$66:TWP$66))</f>
        <v>0</v>
      </c>
      <c r="TWS66" s="956">
        <f>MIN(TWS60*$C$65,Application!$AO$636-SUM('15 Year Pro Forma'!$E$66:TWR$66))</f>
        <v>0</v>
      </c>
      <c r="TWU66" s="956">
        <f>MIN(TWU60*$C$65,Application!$AO$636-SUM('15 Year Pro Forma'!$E$66:TWT$66))</f>
        <v>0</v>
      </c>
      <c r="TWW66" s="956">
        <f>MIN(TWW60*$C$65,Application!$AO$636-SUM('15 Year Pro Forma'!$E$66:TWV$66))</f>
        <v>0</v>
      </c>
      <c r="TWY66" s="956">
        <f>MIN(TWY60*$C$65,Application!$AO$636-SUM('15 Year Pro Forma'!$E$66:TWX$66))</f>
        <v>0</v>
      </c>
      <c r="TXA66" s="956">
        <f>MIN(TXA60*$C$65,Application!$AO$636-SUM('15 Year Pro Forma'!$E$66:TWZ$66))</f>
        <v>0</v>
      </c>
      <c r="TXC66" s="956">
        <f>MIN(TXC60*$C$65,Application!$AO$636-SUM('15 Year Pro Forma'!$E$66:TXB$66))</f>
        <v>0</v>
      </c>
      <c r="TXE66" s="956">
        <f>MIN(TXE60*$C$65,Application!$AO$636-SUM('15 Year Pro Forma'!$E$66:TXD$66))</f>
        <v>0</v>
      </c>
      <c r="TXG66" s="956">
        <f>MIN(TXG60*$C$65,Application!$AO$636-SUM('15 Year Pro Forma'!$E$66:TXF$66))</f>
        <v>0</v>
      </c>
      <c r="TXI66" s="956">
        <f>MIN(TXI60*$C$65,Application!$AO$636-SUM('15 Year Pro Forma'!$E$66:TXH$66))</f>
        <v>0</v>
      </c>
      <c r="TXK66" s="956">
        <f>MIN(TXK60*$C$65,Application!$AO$636-SUM('15 Year Pro Forma'!$E$66:TXJ$66))</f>
        <v>0</v>
      </c>
      <c r="TXM66" s="956">
        <f>MIN(TXM60*$C$65,Application!$AO$636-SUM('15 Year Pro Forma'!$E$66:TXL$66))</f>
        <v>0</v>
      </c>
      <c r="TXO66" s="956">
        <f>MIN(TXO60*$C$65,Application!$AO$636-SUM('15 Year Pro Forma'!$E$66:TXN$66))</f>
        <v>0</v>
      </c>
      <c r="TXQ66" s="956">
        <f>MIN(TXQ60*$C$65,Application!$AO$636-SUM('15 Year Pro Forma'!$E$66:TXP$66))</f>
        <v>0</v>
      </c>
      <c r="TXS66" s="956">
        <f>MIN(TXS60*$C$65,Application!$AO$636-SUM('15 Year Pro Forma'!$E$66:TXR$66))</f>
        <v>0</v>
      </c>
      <c r="TXU66" s="956">
        <f>MIN(TXU60*$C$65,Application!$AO$636-SUM('15 Year Pro Forma'!$E$66:TXT$66))</f>
        <v>0</v>
      </c>
      <c r="TXW66" s="956">
        <f>MIN(TXW60*$C$65,Application!$AO$636-SUM('15 Year Pro Forma'!$E$66:TXV$66))</f>
        <v>0</v>
      </c>
      <c r="TXY66" s="956">
        <f>MIN(TXY60*$C$65,Application!$AO$636-SUM('15 Year Pro Forma'!$E$66:TXX$66))</f>
        <v>0</v>
      </c>
      <c r="TYA66" s="956">
        <f>MIN(TYA60*$C$65,Application!$AO$636-SUM('15 Year Pro Forma'!$E$66:TXZ$66))</f>
        <v>0</v>
      </c>
      <c r="TYC66" s="956">
        <f>MIN(TYC60*$C$65,Application!$AO$636-SUM('15 Year Pro Forma'!$E$66:TYB$66))</f>
        <v>0</v>
      </c>
      <c r="TYE66" s="956">
        <f>MIN(TYE60*$C$65,Application!$AO$636-SUM('15 Year Pro Forma'!$E$66:TYD$66))</f>
        <v>0</v>
      </c>
      <c r="TYG66" s="956">
        <f>MIN(TYG60*$C$65,Application!$AO$636-SUM('15 Year Pro Forma'!$E$66:TYF$66))</f>
        <v>0</v>
      </c>
      <c r="TYI66" s="956">
        <f>MIN(TYI60*$C$65,Application!$AO$636-SUM('15 Year Pro Forma'!$E$66:TYH$66))</f>
        <v>0</v>
      </c>
      <c r="TYK66" s="956">
        <f>MIN(TYK60*$C$65,Application!$AO$636-SUM('15 Year Pro Forma'!$E$66:TYJ$66))</f>
        <v>0</v>
      </c>
      <c r="TYM66" s="956">
        <f>MIN(TYM60*$C$65,Application!$AO$636-SUM('15 Year Pro Forma'!$E$66:TYL$66))</f>
        <v>0</v>
      </c>
      <c r="TYO66" s="956">
        <f>MIN(TYO60*$C$65,Application!$AO$636-SUM('15 Year Pro Forma'!$E$66:TYN$66))</f>
        <v>0</v>
      </c>
      <c r="TYQ66" s="956">
        <f>MIN(TYQ60*$C$65,Application!$AO$636-SUM('15 Year Pro Forma'!$E$66:TYP$66))</f>
        <v>0</v>
      </c>
      <c r="TYS66" s="956">
        <f>MIN(TYS60*$C$65,Application!$AO$636-SUM('15 Year Pro Forma'!$E$66:TYR$66))</f>
        <v>0</v>
      </c>
      <c r="TYU66" s="956">
        <f>MIN(TYU60*$C$65,Application!$AO$636-SUM('15 Year Pro Forma'!$E$66:TYT$66))</f>
        <v>0</v>
      </c>
      <c r="TYW66" s="956">
        <f>MIN(TYW60*$C$65,Application!$AO$636-SUM('15 Year Pro Forma'!$E$66:TYV$66))</f>
        <v>0</v>
      </c>
      <c r="TYY66" s="956">
        <f>MIN(TYY60*$C$65,Application!$AO$636-SUM('15 Year Pro Forma'!$E$66:TYX$66))</f>
        <v>0</v>
      </c>
      <c r="TZA66" s="956">
        <f>MIN(TZA60*$C$65,Application!$AO$636-SUM('15 Year Pro Forma'!$E$66:TYZ$66))</f>
        <v>0</v>
      </c>
      <c r="TZC66" s="956">
        <f>MIN(TZC60*$C$65,Application!$AO$636-SUM('15 Year Pro Forma'!$E$66:TZB$66))</f>
        <v>0</v>
      </c>
      <c r="TZE66" s="956">
        <f>MIN(TZE60*$C$65,Application!$AO$636-SUM('15 Year Pro Forma'!$E$66:TZD$66))</f>
        <v>0</v>
      </c>
      <c r="TZG66" s="956">
        <f>MIN(TZG60*$C$65,Application!$AO$636-SUM('15 Year Pro Forma'!$E$66:TZF$66))</f>
        <v>0</v>
      </c>
      <c r="TZI66" s="956">
        <f>MIN(TZI60*$C$65,Application!$AO$636-SUM('15 Year Pro Forma'!$E$66:TZH$66))</f>
        <v>0</v>
      </c>
      <c r="TZK66" s="956">
        <f>MIN(TZK60*$C$65,Application!$AO$636-SUM('15 Year Pro Forma'!$E$66:TZJ$66))</f>
        <v>0</v>
      </c>
      <c r="TZM66" s="956">
        <f>MIN(TZM60*$C$65,Application!$AO$636-SUM('15 Year Pro Forma'!$E$66:TZL$66))</f>
        <v>0</v>
      </c>
      <c r="TZO66" s="956">
        <f>MIN(TZO60*$C$65,Application!$AO$636-SUM('15 Year Pro Forma'!$E$66:TZN$66))</f>
        <v>0</v>
      </c>
      <c r="TZQ66" s="956">
        <f>MIN(TZQ60*$C$65,Application!$AO$636-SUM('15 Year Pro Forma'!$E$66:TZP$66))</f>
        <v>0</v>
      </c>
      <c r="TZS66" s="956">
        <f>MIN(TZS60*$C$65,Application!$AO$636-SUM('15 Year Pro Forma'!$E$66:TZR$66))</f>
        <v>0</v>
      </c>
      <c r="TZU66" s="956">
        <f>MIN(TZU60*$C$65,Application!$AO$636-SUM('15 Year Pro Forma'!$E$66:TZT$66))</f>
        <v>0</v>
      </c>
      <c r="TZW66" s="956">
        <f>MIN(TZW60*$C$65,Application!$AO$636-SUM('15 Year Pro Forma'!$E$66:TZV$66))</f>
        <v>0</v>
      </c>
      <c r="TZY66" s="956">
        <f>MIN(TZY60*$C$65,Application!$AO$636-SUM('15 Year Pro Forma'!$E$66:TZX$66))</f>
        <v>0</v>
      </c>
      <c r="UAA66" s="956">
        <f>MIN(UAA60*$C$65,Application!$AO$636-SUM('15 Year Pro Forma'!$E$66:TZZ$66))</f>
        <v>0</v>
      </c>
      <c r="UAC66" s="956">
        <f>MIN(UAC60*$C$65,Application!$AO$636-SUM('15 Year Pro Forma'!$E$66:UAB$66))</f>
        <v>0</v>
      </c>
      <c r="UAE66" s="956">
        <f>MIN(UAE60*$C$65,Application!$AO$636-SUM('15 Year Pro Forma'!$E$66:UAD$66))</f>
        <v>0</v>
      </c>
      <c r="UAG66" s="956">
        <f>MIN(UAG60*$C$65,Application!$AO$636-SUM('15 Year Pro Forma'!$E$66:UAF$66))</f>
        <v>0</v>
      </c>
      <c r="UAI66" s="956">
        <f>MIN(UAI60*$C$65,Application!$AO$636-SUM('15 Year Pro Forma'!$E$66:UAH$66))</f>
        <v>0</v>
      </c>
      <c r="UAK66" s="956">
        <f>MIN(UAK60*$C$65,Application!$AO$636-SUM('15 Year Pro Forma'!$E$66:UAJ$66))</f>
        <v>0</v>
      </c>
      <c r="UAM66" s="956">
        <f>MIN(UAM60*$C$65,Application!$AO$636-SUM('15 Year Pro Forma'!$E$66:UAL$66))</f>
        <v>0</v>
      </c>
      <c r="UAO66" s="956">
        <f>MIN(UAO60*$C$65,Application!$AO$636-SUM('15 Year Pro Forma'!$E$66:UAN$66))</f>
        <v>0</v>
      </c>
      <c r="UAQ66" s="956">
        <f>MIN(UAQ60*$C$65,Application!$AO$636-SUM('15 Year Pro Forma'!$E$66:UAP$66))</f>
        <v>0</v>
      </c>
      <c r="UAS66" s="956">
        <f>MIN(UAS60*$C$65,Application!$AO$636-SUM('15 Year Pro Forma'!$E$66:UAR$66))</f>
        <v>0</v>
      </c>
      <c r="UAU66" s="956">
        <f>MIN(UAU60*$C$65,Application!$AO$636-SUM('15 Year Pro Forma'!$E$66:UAT$66))</f>
        <v>0</v>
      </c>
      <c r="UAW66" s="956">
        <f>MIN(UAW60*$C$65,Application!$AO$636-SUM('15 Year Pro Forma'!$E$66:UAV$66))</f>
        <v>0</v>
      </c>
      <c r="UAY66" s="956">
        <f>MIN(UAY60*$C$65,Application!$AO$636-SUM('15 Year Pro Forma'!$E$66:UAX$66))</f>
        <v>0</v>
      </c>
      <c r="UBA66" s="956">
        <f>MIN(UBA60*$C$65,Application!$AO$636-SUM('15 Year Pro Forma'!$E$66:UAZ$66))</f>
        <v>0</v>
      </c>
      <c r="UBC66" s="956">
        <f>MIN(UBC60*$C$65,Application!$AO$636-SUM('15 Year Pro Forma'!$E$66:UBB$66))</f>
        <v>0</v>
      </c>
      <c r="UBE66" s="956">
        <f>MIN(UBE60*$C$65,Application!$AO$636-SUM('15 Year Pro Forma'!$E$66:UBD$66))</f>
        <v>0</v>
      </c>
      <c r="UBG66" s="956">
        <f>MIN(UBG60*$C$65,Application!$AO$636-SUM('15 Year Pro Forma'!$E$66:UBF$66))</f>
        <v>0</v>
      </c>
      <c r="UBI66" s="956">
        <f>MIN(UBI60*$C$65,Application!$AO$636-SUM('15 Year Pro Forma'!$E$66:UBH$66))</f>
        <v>0</v>
      </c>
      <c r="UBK66" s="956">
        <f>MIN(UBK60*$C$65,Application!$AO$636-SUM('15 Year Pro Forma'!$E$66:UBJ$66))</f>
        <v>0</v>
      </c>
      <c r="UBM66" s="956">
        <f>MIN(UBM60*$C$65,Application!$AO$636-SUM('15 Year Pro Forma'!$E$66:UBL$66))</f>
        <v>0</v>
      </c>
      <c r="UBO66" s="956">
        <f>MIN(UBO60*$C$65,Application!$AO$636-SUM('15 Year Pro Forma'!$E$66:UBN$66))</f>
        <v>0</v>
      </c>
      <c r="UBQ66" s="956">
        <f>MIN(UBQ60*$C$65,Application!$AO$636-SUM('15 Year Pro Forma'!$E$66:UBP$66))</f>
        <v>0</v>
      </c>
      <c r="UBS66" s="956">
        <f>MIN(UBS60*$C$65,Application!$AO$636-SUM('15 Year Pro Forma'!$E$66:UBR$66))</f>
        <v>0</v>
      </c>
      <c r="UBU66" s="956">
        <f>MIN(UBU60*$C$65,Application!$AO$636-SUM('15 Year Pro Forma'!$E$66:UBT$66))</f>
        <v>0</v>
      </c>
      <c r="UBW66" s="956">
        <f>MIN(UBW60*$C$65,Application!$AO$636-SUM('15 Year Pro Forma'!$E$66:UBV$66))</f>
        <v>0</v>
      </c>
      <c r="UBY66" s="956">
        <f>MIN(UBY60*$C$65,Application!$AO$636-SUM('15 Year Pro Forma'!$E$66:UBX$66))</f>
        <v>0</v>
      </c>
      <c r="UCA66" s="956">
        <f>MIN(UCA60*$C$65,Application!$AO$636-SUM('15 Year Pro Forma'!$E$66:UBZ$66))</f>
        <v>0</v>
      </c>
      <c r="UCC66" s="956">
        <f>MIN(UCC60*$C$65,Application!$AO$636-SUM('15 Year Pro Forma'!$E$66:UCB$66))</f>
        <v>0</v>
      </c>
      <c r="UCE66" s="956">
        <f>MIN(UCE60*$C$65,Application!$AO$636-SUM('15 Year Pro Forma'!$E$66:UCD$66))</f>
        <v>0</v>
      </c>
      <c r="UCG66" s="956">
        <f>MIN(UCG60*$C$65,Application!$AO$636-SUM('15 Year Pro Forma'!$E$66:UCF$66))</f>
        <v>0</v>
      </c>
      <c r="UCI66" s="956">
        <f>MIN(UCI60*$C$65,Application!$AO$636-SUM('15 Year Pro Forma'!$E$66:UCH$66))</f>
        <v>0</v>
      </c>
      <c r="UCK66" s="956">
        <f>MIN(UCK60*$C$65,Application!$AO$636-SUM('15 Year Pro Forma'!$E$66:UCJ$66))</f>
        <v>0</v>
      </c>
      <c r="UCM66" s="956">
        <f>MIN(UCM60*$C$65,Application!$AO$636-SUM('15 Year Pro Forma'!$E$66:UCL$66))</f>
        <v>0</v>
      </c>
      <c r="UCO66" s="956">
        <f>MIN(UCO60*$C$65,Application!$AO$636-SUM('15 Year Pro Forma'!$E$66:UCN$66))</f>
        <v>0</v>
      </c>
      <c r="UCQ66" s="956">
        <f>MIN(UCQ60*$C$65,Application!$AO$636-SUM('15 Year Pro Forma'!$E$66:UCP$66))</f>
        <v>0</v>
      </c>
      <c r="UCS66" s="956">
        <f>MIN(UCS60*$C$65,Application!$AO$636-SUM('15 Year Pro Forma'!$E$66:UCR$66))</f>
        <v>0</v>
      </c>
      <c r="UCU66" s="956">
        <f>MIN(UCU60*$C$65,Application!$AO$636-SUM('15 Year Pro Forma'!$E$66:UCT$66))</f>
        <v>0</v>
      </c>
      <c r="UCW66" s="956">
        <f>MIN(UCW60*$C$65,Application!$AO$636-SUM('15 Year Pro Forma'!$E$66:UCV$66))</f>
        <v>0</v>
      </c>
      <c r="UCY66" s="956">
        <f>MIN(UCY60*$C$65,Application!$AO$636-SUM('15 Year Pro Forma'!$E$66:UCX$66))</f>
        <v>0</v>
      </c>
      <c r="UDA66" s="956">
        <f>MIN(UDA60*$C$65,Application!$AO$636-SUM('15 Year Pro Forma'!$E$66:UCZ$66))</f>
        <v>0</v>
      </c>
      <c r="UDC66" s="956">
        <f>MIN(UDC60*$C$65,Application!$AO$636-SUM('15 Year Pro Forma'!$E$66:UDB$66))</f>
        <v>0</v>
      </c>
      <c r="UDE66" s="956">
        <f>MIN(UDE60*$C$65,Application!$AO$636-SUM('15 Year Pro Forma'!$E$66:UDD$66))</f>
        <v>0</v>
      </c>
      <c r="UDG66" s="956">
        <f>MIN(UDG60*$C$65,Application!$AO$636-SUM('15 Year Pro Forma'!$E$66:UDF$66))</f>
        <v>0</v>
      </c>
      <c r="UDI66" s="956">
        <f>MIN(UDI60*$C$65,Application!$AO$636-SUM('15 Year Pro Forma'!$E$66:UDH$66))</f>
        <v>0</v>
      </c>
      <c r="UDK66" s="956">
        <f>MIN(UDK60*$C$65,Application!$AO$636-SUM('15 Year Pro Forma'!$E$66:UDJ$66))</f>
        <v>0</v>
      </c>
      <c r="UDM66" s="956">
        <f>MIN(UDM60*$C$65,Application!$AO$636-SUM('15 Year Pro Forma'!$E$66:UDL$66))</f>
        <v>0</v>
      </c>
      <c r="UDO66" s="956">
        <f>MIN(UDO60*$C$65,Application!$AO$636-SUM('15 Year Pro Forma'!$E$66:UDN$66))</f>
        <v>0</v>
      </c>
      <c r="UDQ66" s="956">
        <f>MIN(UDQ60*$C$65,Application!$AO$636-SUM('15 Year Pro Forma'!$E$66:UDP$66))</f>
        <v>0</v>
      </c>
      <c r="UDS66" s="956">
        <f>MIN(UDS60*$C$65,Application!$AO$636-SUM('15 Year Pro Forma'!$E$66:UDR$66))</f>
        <v>0</v>
      </c>
      <c r="UDU66" s="956">
        <f>MIN(UDU60*$C$65,Application!$AO$636-SUM('15 Year Pro Forma'!$E$66:UDT$66))</f>
        <v>0</v>
      </c>
      <c r="UDW66" s="956">
        <f>MIN(UDW60*$C$65,Application!$AO$636-SUM('15 Year Pro Forma'!$E$66:UDV$66))</f>
        <v>0</v>
      </c>
      <c r="UDY66" s="956">
        <f>MIN(UDY60*$C$65,Application!$AO$636-SUM('15 Year Pro Forma'!$E$66:UDX$66))</f>
        <v>0</v>
      </c>
      <c r="UEA66" s="956">
        <f>MIN(UEA60*$C$65,Application!$AO$636-SUM('15 Year Pro Forma'!$E$66:UDZ$66))</f>
        <v>0</v>
      </c>
      <c r="UEC66" s="956">
        <f>MIN(UEC60*$C$65,Application!$AO$636-SUM('15 Year Pro Forma'!$E$66:UEB$66))</f>
        <v>0</v>
      </c>
      <c r="UEE66" s="956">
        <f>MIN(UEE60*$C$65,Application!$AO$636-SUM('15 Year Pro Forma'!$E$66:UED$66))</f>
        <v>0</v>
      </c>
      <c r="UEG66" s="956">
        <f>MIN(UEG60*$C$65,Application!$AO$636-SUM('15 Year Pro Forma'!$E$66:UEF$66))</f>
        <v>0</v>
      </c>
      <c r="UEI66" s="956">
        <f>MIN(UEI60*$C$65,Application!$AO$636-SUM('15 Year Pro Forma'!$E$66:UEH$66))</f>
        <v>0</v>
      </c>
      <c r="UEK66" s="956">
        <f>MIN(UEK60*$C$65,Application!$AO$636-SUM('15 Year Pro Forma'!$E$66:UEJ$66))</f>
        <v>0</v>
      </c>
      <c r="UEM66" s="956">
        <f>MIN(UEM60*$C$65,Application!$AO$636-SUM('15 Year Pro Forma'!$E$66:UEL$66))</f>
        <v>0</v>
      </c>
      <c r="UEO66" s="956">
        <f>MIN(UEO60*$C$65,Application!$AO$636-SUM('15 Year Pro Forma'!$E$66:UEN$66))</f>
        <v>0</v>
      </c>
      <c r="UEQ66" s="956">
        <f>MIN(UEQ60*$C$65,Application!$AO$636-SUM('15 Year Pro Forma'!$E$66:UEP$66))</f>
        <v>0</v>
      </c>
      <c r="UES66" s="956">
        <f>MIN(UES60*$C$65,Application!$AO$636-SUM('15 Year Pro Forma'!$E$66:UER$66))</f>
        <v>0</v>
      </c>
      <c r="UEU66" s="956">
        <f>MIN(UEU60*$C$65,Application!$AO$636-SUM('15 Year Pro Forma'!$E$66:UET$66))</f>
        <v>0</v>
      </c>
      <c r="UEW66" s="956">
        <f>MIN(UEW60*$C$65,Application!$AO$636-SUM('15 Year Pro Forma'!$E$66:UEV$66))</f>
        <v>0</v>
      </c>
      <c r="UEY66" s="956">
        <f>MIN(UEY60*$C$65,Application!$AO$636-SUM('15 Year Pro Forma'!$E$66:UEX$66))</f>
        <v>0</v>
      </c>
      <c r="UFA66" s="956">
        <f>MIN(UFA60*$C$65,Application!$AO$636-SUM('15 Year Pro Forma'!$E$66:UEZ$66))</f>
        <v>0</v>
      </c>
      <c r="UFC66" s="956">
        <f>MIN(UFC60*$C$65,Application!$AO$636-SUM('15 Year Pro Forma'!$E$66:UFB$66))</f>
        <v>0</v>
      </c>
      <c r="UFE66" s="956">
        <f>MIN(UFE60*$C$65,Application!$AO$636-SUM('15 Year Pro Forma'!$E$66:UFD$66))</f>
        <v>0</v>
      </c>
      <c r="UFG66" s="956">
        <f>MIN(UFG60*$C$65,Application!$AO$636-SUM('15 Year Pro Forma'!$E$66:UFF$66))</f>
        <v>0</v>
      </c>
      <c r="UFI66" s="956">
        <f>MIN(UFI60*$C$65,Application!$AO$636-SUM('15 Year Pro Forma'!$E$66:UFH$66))</f>
        <v>0</v>
      </c>
      <c r="UFK66" s="956">
        <f>MIN(UFK60*$C$65,Application!$AO$636-SUM('15 Year Pro Forma'!$E$66:UFJ$66))</f>
        <v>0</v>
      </c>
      <c r="UFM66" s="956">
        <f>MIN(UFM60*$C$65,Application!$AO$636-SUM('15 Year Pro Forma'!$E$66:UFL$66))</f>
        <v>0</v>
      </c>
      <c r="UFO66" s="956">
        <f>MIN(UFO60*$C$65,Application!$AO$636-SUM('15 Year Pro Forma'!$E$66:UFN$66))</f>
        <v>0</v>
      </c>
      <c r="UFQ66" s="956">
        <f>MIN(UFQ60*$C$65,Application!$AO$636-SUM('15 Year Pro Forma'!$E$66:UFP$66))</f>
        <v>0</v>
      </c>
      <c r="UFS66" s="956">
        <f>MIN(UFS60*$C$65,Application!$AO$636-SUM('15 Year Pro Forma'!$E$66:UFR$66))</f>
        <v>0</v>
      </c>
      <c r="UFU66" s="956">
        <f>MIN(UFU60*$C$65,Application!$AO$636-SUM('15 Year Pro Forma'!$E$66:UFT$66))</f>
        <v>0</v>
      </c>
      <c r="UFW66" s="956">
        <f>MIN(UFW60*$C$65,Application!$AO$636-SUM('15 Year Pro Forma'!$E$66:UFV$66))</f>
        <v>0</v>
      </c>
      <c r="UFY66" s="956">
        <f>MIN(UFY60*$C$65,Application!$AO$636-SUM('15 Year Pro Forma'!$E$66:UFX$66))</f>
        <v>0</v>
      </c>
      <c r="UGA66" s="956">
        <f>MIN(UGA60*$C$65,Application!$AO$636-SUM('15 Year Pro Forma'!$E$66:UFZ$66))</f>
        <v>0</v>
      </c>
      <c r="UGC66" s="956">
        <f>MIN(UGC60*$C$65,Application!$AO$636-SUM('15 Year Pro Forma'!$E$66:UGB$66))</f>
        <v>0</v>
      </c>
      <c r="UGE66" s="956">
        <f>MIN(UGE60*$C$65,Application!$AO$636-SUM('15 Year Pro Forma'!$E$66:UGD$66))</f>
        <v>0</v>
      </c>
      <c r="UGG66" s="956">
        <f>MIN(UGG60*$C$65,Application!$AO$636-SUM('15 Year Pro Forma'!$E$66:UGF$66))</f>
        <v>0</v>
      </c>
      <c r="UGI66" s="956">
        <f>MIN(UGI60*$C$65,Application!$AO$636-SUM('15 Year Pro Forma'!$E$66:UGH$66))</f>
        <v>0</v>
      </c>
      <c r="UGK66" s="956">
        <f>MIN(UGK60*$C$65,Application!$AO$636-SUM('15 Year Pro Forma'!$E$66:UGJ$66))</f>
        <v>0</v>
      </c>
      <c r="UGM66" s="956">
        <f>MIN(UGM60*$C$65,Application!$AO$636-SUM('15 Year Pro Forma'!$E$66:UGL$66))</f>
        <v>0</v>
      </c>
      <c r="UGO66" s="956">
        <f>MIN(UGO60*$C$65,Application!$AO$636-SUM('15 Year Pro Forma'!$E$66:UGN$66))</f>
        <v>0</v>
      </c>
      <c r="UGQ66" s="956">
        <f>MIN(UGQ60*$C$65,Application!$AO$636-SUM('15 Year Pro Forma'!$E$66:UGP$66))</f>
        <v>0</v>
      </c>
      <c r="UGS66" s="956">
        <f>MIN(UGS60*$C$65,Application!$AO$636-SUM('15 Year Pro Forma'!$E$66:UGR$66))</f>
        <v>0</v>
      </c>
      <c r="UGU66" s="956">
        <f>MIN(UGU60*$C$65,Application!$AO$636-SUM('15 Year Pro Forma'!$E$66:UGT$66))</f>
        <v>0</v>
      </c>
      <c r="UGW66" s="956">
        <f>MIN(UGW60*$C$65,Application!$AO$636-SUM('15 Year Pro Forma'!$E$66:UGV$66))</f>
        <v>0</v>
      </c>
      <c r="UGY66" s="956">
        <f>MIN(UGY60*$C$65,Application!$AO$636-SUM('15 Year Pro Forma'!$E$66:UGX$66))</f>
        <v>0</v>
      </c>
      <c r="UHA66" s="956">
        <f>MIN(UHA60*$C$65,Application!$AO$636-SUM('15 Year Pro Forma'!$E$66:UGZ$66))</f>
        <v>0</v>
      </c>
      <c r="UHC66" s="956">
        <f>MIN(UHC60*$C$65,Application!$AO$636-SUM('15 Year Pro Forma'!$E$66:UHB$66))</f>
        <v>0</v>
      </c>
      <c r="UHE66" s="956">
        <f>MIN(UHE60*$C$65,Application!$AO$636-SUM('15 Year Pro Forma'!$E$66:UHD$66))</f>
        <v>0</v>
      </c>
      <c r="UHG66" s="956">
        <f>MIN(UHG60*$C$65,Application!$AO$636-SUM('15 Year Pro Forma'!$E$66:UHF$66))</f>
        <v>0</v>
      </c>
      <c r="UHI66" s="956">
        <f>MIN(UHI60*$C$65,Application!$AO$636-SUM('15 Year Pro Forma'!$E$66:UHH$66))</f>
        <v>0</v>
      </c>
      <c r="UHK66" s="956">
        <f>MIN(UHK60*$C$65,Application!$AO$636-SUM('15 Year Pro Forma'!$E$66:UHJ$66))</f>
        <v>0</v>
      </c>
      <c r="UHM66" s="956">
        <f>MIN(UHM60*$C$65,Application!$AO$636-SUM('15 Year Pro Forma'!$E$66:UHL$66))</f>
        <v>0</v>
      </c>
      <c r="UHO66" s="956">
        <f>MIN(UHO60*$C$65,Application!$AO$636-SUM('15 Year Pro Forma'!$E$66:UHN$66))</f>
        <v>0</v>
      </c>
      <c r="UHQ66" s="956">
        <f>MIN(UHQ60*$C$65,Application!$AO$636-SUM('15 Year Pro Forma'!$E$66:UHP$66))</f>
        <v>0</v>
      </c>
      <c r="UHS66" s="956">
        <f>MIN(UHS60*$C$65,Application!$AO$636-SUM('15 Year Pro Forma'!$E$66:UHR$66))</f>
        <v>0</v>
      </c>
      <c r="UHU66" s="956">
        <f>MIN(UHU60*$C$65,Application!$AO$636-SUM('15 Year Pro Forma'!$E$66:UHT$66))</f>
        <v>0</v>
      </c>
      <c r="UHW66" s="956">
        <f>MIN(UHW60*$C$65,Application!$AO$636-SUM('15 Year Pro Forma'!$E$66:UHV$66))</f>
        <v>0</v>
      </c>
      <c r="UHY66" s="956">
        <f>MIN(UHY60*$C$65,Application!$AO$636-SUM('15 Year Pro Forma'!$E$66:UHX$66))</f>
        <v>0</v>
      </c>
      <c r="UIA66" s="956">
        <f>MIN(UIA60*$C$65,Application!$AO$636-SUM('15 Year Pro Forma'!$E$66:UHZ$66))</f>
        <v>0</v>
      </c>
      <c r="UIC66" s="956">
        <f>MIN(UIC60*$C$65,Application!$AO$636-SUM('15 Year Pro Forma'!$E$66:UIB$66))</f>
        <v>0</v>
      </c>
      <c r="UIE66" s="956">
        <f>MIN(UIE60*$C$65,Application!$AO$636-SUM('15 Year Pro Forma'!$E$66:UID$66))</f>
        <v>0</v>
      </c>
      <c r="UIG66" s="956">
        <f>MIN(UIG60*$C$65,Application!$AO$636-SUM('15 Year Pro Forma'!$E$66:UIF$66))</f>
        <v>0</v>
      </c>
      <c r="UII66" s="956">
        <f>MIN(UII60*$C$65,Application!$AO$636-SUM('15 Year Pro Forma'!$E$66:UIH$66))</f>
        <v>0</v>
      </c>
      <c r="UIK66" s="956">
        <f>MIN(UIK60*$C$65,Application!$AO$636-SUM('15 Year Pro Forma'!$E$66:UIJ$66))</f>
        <v>0</v>
      </c>
      <c r="UIM66" s="956">
        <f>MIN(UIM60*$C$65,Application!$AO$636-SUM('15 Year Pro Forma'!$E$66:UIL$66))</f>
        <v>0</v>
      </c>
      <c r="UIO66" s="956">
        <f>MIN(UIO60*$C$65,Application!$AO$636-SUM('15 Year Pro Forma'!$E$66:UIN$66))</f>
        <v>0</v>
      </c>
      <c r="UIQ66" s="956">
        <f>MIN(UIQ60*$C$65,Application!$AO$636-SUM('15 Year Pro Forma'!$E$66:UIP$66))</f>
        <v>0</v>
      </c>
      <c r="UIS66" s="956">
        <f>MIN(UIS60*$C$65,Application!$AO$636-SUM('15 Year Pro Forma'!$E$66:UIR$66))</f>
        <v>0</v>
      </c>
      <c r="UIU66" s="956">
        <f>MIN(UIU60*$C$65,Application!$AO$636-SUM('15 Year Pro Forma'!$E$66:UIT$66))</f>
        <v>0</v>
      </c>
      <c r="UIW66" s="956">
        <f>MIN(UIW60*$C$65,Application!$AO$636-SUM('15 Year Pro Forma'!$E$66:UIV$66))</f>
        <v>0</v>
      </c>
      <c r="UIY66" s="956">
        <f>MIN(UIY60*$C$65,Application!$AO$636-SUM('15 Year Pro Forma'!$E$66:UIX$66))</f>
        <v>0</v>
      </c>
      <c r="UJA66" s="956">
        <f>MIN(UJA60*$C$65,Application!$AO$636-SUM('15 Year Pro Forma'!$E$66:UIZ$66))</f>
        <v>0</v>
      </c>
      <c r="UJC66" s="956">
        <f>MIN(UJC60*$C$65,Application!$AO$636-SUM('15 Year Pro Forma'!$E$66:UJB$66))</f>
        <v>0</v>
      </c>
      <c r="UJE66" s="956">
        <f>MIN(UJE60*$C$65,Application!$AO$636-SUM('15 Year Pro Forma'!$E$66:UJD$66))</f>
        <v>0</v>
      </c>
      <c r="UJG66" s="956">
        <f>MIN(UJG60*$C$65,Application!$AO$636-SUM('15 Year Pro Forma'!$E$66:UJF$66))</f>
        <v>0</v>
      </c>
      <c r="UJI66" s="956">
        <f>MIN(UJI60*$C$65,Application!$AO$636-SUM('15 Year Pro Forma'!$E$66:UJH$66))</f>
        <v>0</v>
      </c>
      <c r="UJK66" s="956">
        <f>MIN(UJK60*$C$65,Application!$AO$636-SUM('15 Year Pro Forma'!$E$66:UJJ$66))</f>
        <v>0</v>
      </c>
      <c r="UJM66" s="956">
        <f>MIN(UJM60*$C$65,Application!$AO$636-SUM('15 Year Pro Forma'!$E$66:UJL$66))</f>
        <v>0</v>
      </c>
      <c r="UJO66" s="956">
        <f>MIN(UJO60*$C$65,Application!$AO$636-SUM('15 Year Pro Forma'!$E$66:UJN$66))</f>
        <v>0</v>
      </c>
      <c r="UJQ66" s="956">
        <f>MIN(UJQ60*$C$65,Application!$AO$636-SUM('15 Year Pro Forma'!$E$66:UJP$66))</f>
        <v>0</v>
      </c>
      <c r="UJS66" s="956">
        <f>MIN(UJS60*$C$65,Application!$AO$636-SUM('15 Year Pro Forma'!$E$66:UJR$66))</f>
        <v>0</v>
      </c>
      <c r="UJU66" s="956">
        <f>MIN(UJU60*$C$65,Application!$AO$636-SUM('15 Year Pro Forma'!$E$66:UJT$66))</f>
        <v>0</v>
      </c>
      <c r="UJW66" s="956">
        <f>MIN(UJW60*$C$65,Application!$AO$636-SUM('15 Year Pro Forma'!$E$66:UJV$66))</f>
        <v>0</v>
      </c>
      <c r="UJY66" s="956">
        <f>MIN(UJY60*$C$65,Application!$AO$636-SUM('15 Year Pro Forma'!$E$66:UJX$66))</f>
        <v>0</v>
      </c>
      <c r="UKA66" s="956">
        <f>MIN(UKA60*$C$65,Application!$AO$636-SUM('15 Year Pro Forma'!$E$66:UJZ$66))</f>
        <v>0</v>
      </c>
      <c r="UKC66" s="956">
        <f>MIN(UKC60*$C$65,Application!$AO$636-SUM('15 Year Pro Forma'!$E$66:UKB$66))</f>
        <v>0</v>
      </c>
      <c r="UKE66" s="956">
        <f>MIN(UKE60*$C$65,Application!$AO$636-SUM('15 Year Pro Forma'!$E$66:UKD$66))</f>
        <v>0</v>
      </c>
      <c r="UKG66" s="956">
        <f>MIN(UKG60*$C$65,Application!$AO$636-SUM('15 Year Pro Forma'!$E$66:UKF$66))</f>
        <v>0</v>
      </c>
      <c r="UKI66" s="956">
        <f>MIN(UKI60*$C$65,Application!$AO$636-SUM('15 Year Pro Forma'!$E$66:UKH$66))</f>
        <v>0</v>
      </c>
      <c r="UKK66" s="956">
        <f>MIN(UKK60*$C$65,Application!$AO$636-SUM('15 Year Pro Forma'!$E$66:UKJ$66))</f>
        <v>0</v>
      </c>
      <c r="UKM66" s="956">
        <f>MIN(UKM60*$C$65,Application!$AO$636-SUM('15 Year Pro Forma'!$E$66:UKL$66))</f>
        <v>0</v>
      </c>
      <c r="UKO66" s="956">
        <f>MIN(UKO60*$C$65,Application!$AO$636-SUM('15 Year Pro Forma'!$E$66:UKN$66))</f>
        <v>0</v>
      </c>
      <c r="UKQ66" s="956">
        <f>MIN(UKQ60*$C$65,Application!$AO$636-SUM('15 Year Pro Forma'!$E$66:UKP$66))</f>
        <v>0</v>
      </c>
      <c r="UKS66" s="956">
        <f>MIN(UKS60*$C$65,Application!$AO$636-SUM('15 Year Pro Forma'!$E$66:UKR$66))</f>
        <v>0</v>
      </c>
      <c r="UKU66" s="956">
        <f>MIN(UKU60*$C$65,Application!$AO$636-SUM('15 Year Pro Forma'!$E$66:UKT$66))</f>
        <v>0</v>
      </c>
      <c r="UKW66" s="956">
        <f>MIN(UKW60*$C$65,Application!$AO$636-SUM('15 Year Pro Forma'!$E$66:UKV$66))</f>
        <v>0</v>
      </c>
      <c r="UKY66" s="956">
        <f>MIN(UKY60*$C$65,Application!$AO$636-SUM('15 Year Pro Forma'!$E$66:UKX$66))</f>
        <v>0</v>
      </c>
      <c r="ULA66" s="956">
        <f>MIN(ULA60*$C$65,Application!$AO$636-SUM('15 Year Pro Forma'!$E$66:UKZ$66))</f>
        <v>0</v>
      </c>
      <c r="ULC66" s="956">
        <f>MIN(ULC60*$C$65,Application!$AO$636-SUM('15 Year Pro Forma'!$E$66:ULB$66))</f>
        <v>0</v>
      </c>
      <c r="ULE66" s="956">
        <f>MIN(ULE60*$C$65,Application!$AO$636-SUM('15 Year Pro Forma'!$E$66:ULD$66))</f>
        <v>0</v>
      </c>
      <c r="ULG66" s="956">
        <f>MIN(ULG60*$C$65,Application!$AO$636-SUM('15 Year Pro Forma'!$E$66:ULF$66))</f>
        <v>0</v>
      </c>
      <c r="ULI66" s="956">
        <f>MIN(ULI60*$C$65,Application!$AO$636-SUM('15 Year Pro Forma'!$E$66:ULH$66))</f>
        <v>0</v>
      </c>
      <c r="ULK66" s="956">
        <f>MIN(ULK60*$C$65,Application!$AO$636-SUM('15 Year Pro Forma'!$E$66:ULJ$66))</f>
        <v>0</v>
      </c>
      <c r="ULM66" s="956">
        <f>MIN(ULM60*$C$65,Application!$AO$636-SUM('15 Year Pro Forma'!$E$66:ULL$66))</f>
        <v>0</v>
      </c>
      <c r="ULO66" s="956">
        <f>MIN(ULO60*$C$65,Application!$AO$636-SUM('15 Year Pro Forma'!$E$66:ULN$66))</f>
        <v>0</v>
      </c>
      <c r="ULQ66" s="956">
        <f>MIN(ULQ60*$C$65,Application!$AO$636-SUM('15 Year Pro Forma'!$E$66:ULP$66))</f>
        <v>0</v>
      </c>
      <c r="ULS66" s="956">
        <f>MIN(ULS60*$C$65,Application!$AO$636-SUM('15 Year Pro Forma'!$E$66:ULR$66))</f>
        <v>0</v>
      </c>
      <c r="ULU66" s="956">
        <f>MIN(ULU60*$C$65,Application!$AO$636-SUM('15 Year Pro Forma'!$E$66:ULT$66))</f>
        <v>0</v>
      </c>
      <c r="ULW66" s="956">
        <f>MIN(ULW60*$C$65,Application!$AO$636-SUM('15 Year Pro Forma'!$E$66:ULV$66))</f>
        <v>0</v>
      </c>
      <c r="ULY66" s="956">
        <f>MIN(ULY60*$C$65,Application!$AO$636-SUM('15 Year Pro Forma'!$E$66:ULX$66))</f>
        <v>0</v>
      </c>
      <c r="UMA66" s="956">
        <f>MIN(UMA60*$C$65,Application!$AO$636-SUM('15 Year Pro Forma'!$E$66:ULZ$66))</f>
        <v>0</v>
      </c>
      <c r="UMC66" s="956">
        <f>MIN(UMC60*$C$65,Application!$AO$636-SUM('15 Year Pro Forma'!$E$66:UMB$66))</f>
        <v>0</v>
      </c>
      <c r="UME66" s="956">
        <f>MIN(UME60*$C$65,Application!$AO$636-SUM('15 Year Pro Forma'!$E$66:UMD$66))</f>
        <v>0</v>
      </c>
      <c r="UMG66" s="956">
        <f>MIN(UMG60*$C$65,Application!$AO$636-SUM('15 Year Pro Forma'!$E$66:UMF$66))</f>
        <v>0</v>
      </c>
      <c r="UMI66" s="956">
        <f>MIN(UMI60*$C$65,Application!$AO$636-SUM('15 Year Pro Forma'!$E$66:UMH$66))</f>
        <v>0</v>
      </c>
      <c r="UMK66" s="956">
        <f>MIN(UMK60*$C$65,Application!$AO$636-SUM('15 Year Pro Forma'!$E$66:UMJ$66))</f>
        <v>0</v>
      </c>
      <c r="UMM66" s="956">
        <f>MIN(UMM60*$C$65,Application!$AO$636-SUM('15 Year Pro Forma'!$E$66:UML$66))</f>
        <v>0</v>
      </c>
      <c r="UMO66" s="956">
        <f>MIN(UMO60*$C$65,Application!$AO$636-SUM('15 Year Pro Forma'!$E$66:UMN$66))</f>
        <v>0</v>
      </c>
      <c r="UMQ66" s="956">
        <f>MIN(UMQ60*$C$65,Application!$AO$636-SUM('15 Year Pro Forma'!$E$66:UMP$66))</f>
        <v>0</v>
      </c>
      <c r="UMS66" s="956">
        <f>MIN(UMS60*$C$65,Application!$AO$636-SUM('15 Year Pro Forma'!$E$66:UMR$66))</f>
        <v>0</v>
      </c>
      <c r="UMU66" s="956">
        <f>MIN(UMU60*$C$65,Application!$AO$636-SUM('15 Year Pro Forma'!$E$66:UMT$66))</f>
        <v>0</v>
      </c>
      <c r="UMW66" s="956">
        <f>MIN(UMW60*$C$65,Application!$AO$636-SUM('15 Year Pro Forma'!$E$66:UMV$66))</f>
        <v>0</v>
      </c>
      <c r="UMY66" s="956">
        <f>MIN(UMY60*$C$65,Application!$AO$636-SUM('15 Year Pro Forma'!$E$66:UMX$66))</f>
        <v>0</v>
      </c>
      <c r="UNA66" s="956">
        <f>MIN(UNA60*$C$65,Application!$AO$636-SUM('15 Year Pro Forma'!$E$66:UMZ$66))</f>
        <v>0</v>
      </c>
      <c r="UNC66" s="956">
        <f>MIN(UNC60*$C$65,Application!$AO$636-SUM('15 Year Pro Forma'!$E$66:UNB$66))</f>
        <v>0</v>
      </c>
      <c r="UNE66" s="956">
        <f>MIN(UNE60*$C$65,Application!$AO$636-SUM('15 Year Pro Forma'!$E$66:UND$66))</f>
        <v>0</v>
      </c>
      <c r="UNG66" s="956">
        <f>MIN(UNG60*$C$65,Application!$AO$636-SUM('15 Year Pro Forma'!$E$66:UNF$66))</f>
        <v>0</v>
      </c>
      <c r="UNI66" s="956">
        <f>MIN(UNI60*$C$65,Application!$AO$636-SUM('15 Year Pro Forma'!$E$66:UNH$66))</f>
        <v>0</v>
      </c>
      <c r="UNK66" s="956">
        <f>MIN(UNK60*$C$65,Application!$AO$636-SUM('15 Year Pro Forma'!$E$66:UNJ$66))</f>
        <v>0</v>
      </c>
      <c r="UNM66" s="956">
        <f>MIN(UNM60*$C$65,Application!$AO$636-SUM('15 Year Pro Forma'!$E$66:UNL$66))</f>
        <v>0</v>
      </c>
      <c r="UNO66" s="956">
        <f>MIN(UNO60*$C$65,Application!$AO$636-SUM('15 Year Pro Forma'!$E$66:UNN$66))</f>
        <v>0</v>
      </c>
      <c r="UNQ66" s="956">
        <f>MIN(UNQ60*$C$65,Application!$AO$636-SUM('15 Year Pro Forma'!$E$66:UNP$66))</f>
        <v>0</v>
      </c>
      <c r="UNS66" s="956">
        <f>MIN(UNS60*$C$65,Application!$AO$636-SUM('15 Year Pro Forma'!$E$66:UNR$66))</f>
        <v>0</v>
      </c>
      <c r="UNU66" s="956">
        <f>MIN(UNU60*$C$65,Application!$AO$636-SUM('15 Year Pro Forma'!$E$66:UNT$66))</f>
        <v>0</v>
      </c>
      <c r="UNW66" s="956">
        <f>MIN(UNW60*$C$65,Application!$AO$636-SUM('15 Year Pro Forma'!$E$66:UNV$66))</f>
        <v>0</v>
      </c>
      <c r="UNY66" s="956">
        <f>MIN(UNY60*$C$65,Application!$AO$636-SUM('15 Year Pro Forma'!$E$66:UNX$66))</f>
        <v>0</v>
      </c>
      <c r="UOA66" s="956">
        <f>MIN(UOA60*$C$65,Application!$AO$636-SUM('15 Year Pro Forma'!$E$66:UNZ$66))</f>
        <v>0</v>
      </c>
      <c r="UOC66" s="956">
        <f>MIN(UOC60*$C$65,Application!$AO$636-SUM('15 Year Pro Forma'!$E$66:UOB$66))</f>
        <v>0</v>
      </c>
      <c r="UOE66" s="956">
        <f>MIN(UOE60*$C$65,Application!$AO$636-SUM('15 Year Pro Forma'!$E$66:UOD$66))</f>
        <v>0</v>
      </c>
      <c r="UOG66" s="956">
        <f>MIN(UOG60*$C$65,Application!$AO$636-SUM('15 Year Pro Forma'!$E$66:UOF$66))</f>
        <v>0</v>
      </c>
      <c r="UOI66" s="956">
        <f>MIN(UOI60*$C$65,Application!$AO$636-SUM('15 Year Pro Forma'!$E$66:UOH$66))</f>
        <v>0</v>
      </c>
      <c r="UOK66" s="956">
        <f>MIN(UOK60*$C$65,Application!$AO$636-SUM('15 Year Pro Forma'!$E$66:UOJ$66))</f>
        <v>0</v>
      </c>
      <c r="UOM66" s="956">
        <f>MIN(UOM60*$C$65,Application!$AO$636-SUM('15 Year Pro Forma'!$E$66:UOL$66))</f>
        <v>0</v>
      </c>
      <c r="UOO66" s="956">
        <f>MIN(UOO60*$C$65,Application!$AO$636-SUM('15 Year Pro Forma'!$E$66:UON$66))</f>
        <v>0</v>
      </c>
      <c r="UOQ66" s="956">
        <f>MIN(UOQ60*$C$65,Application!$AO$636-SUM('15 Year Pro Forma'!$E$66:UOP$66))</f>
        <v>0</v>
      </c>
      <c r="UOS66" s="956">
        <f>MIN(UOS60*$C$65,Application!$AO$636-SUM('15 Year Pro Forma'!$E$66:UOR$66))</f>
        <v>0</v>
      </c>
      <c r="UOU66" s="956">
        <f>MIN(UOU60*$C$65,Application!$AO$636-SUM('15 Year Pro Forma'!$E$66:UOT$66))</f>
        <v>0</v>
      </c>
      <c r="UOW66" s="956">
        <f>MIN(UOW60*$C$65,Application!$AO$636-SUM('15 Year Pro Forma'!$E$66:UOV$66))</f>
        <v>0</v>
      </c>
      <c r="UOY66" s="956">
        <f>MIN(UOY60*$C$65,Application!$AO$636-SUM('15 Year Pro Forma'!$E$66:UOX$66))</f>
        <v>0</v>
      </c>
      <c r="UPA66" s="956">
        <f>MIN(UPA60*$C$65,Application!$AO$636-SUM('15 Year Pro Forma'!$E$66:UOZ$66))</f>
        <v>0</v>
      </c>
      <c r="UPC66" s="956">
        <f>MIN(UPC60*$C$65,Application!$AO$636-SUM('15 Year Pro Forma'!$E$66:UPB$66))</f>
        <v>0</v>
      </c>
      <c r="UPE66" s="956">
        <f>MIN(UPE60*$C$65,Application!$AO$636-SUM('15 Year Pro Forma'!$E$66:UPD$66))</f>
        <v>0</v>
      </c>
      <c r="UPG66" s="956">
        <f>MIN(UPG60*$C$65,Application!$AO$636-SUM('15 Year Pro Forma'!$E$66:UPF$66))</f>
        <v>0</v>
      </c>
      <c r="UPI66" s="956">
        <f>MIN(UPI60*$C$65,Application!$AO$636-SUM('15 Year Pro Forma'!$E$66:UPH$66))</f>
        <v>0</v>
      </c>
      <c r="UPK66" s="956">
        <f>MIN(UPK60*$C$65,Application!$AO$636-SUM('15 Year Pro Forma'!$E$66:UPJ$66))</f>
        <v>0</v>
      </c>
      <c r="UPM66" s="956">
        <f>MIN(UPM60*$C$65,Application!$AO$636-SUM('15 Year Pro Forma'!$E$66:UPL$66))</f>
        <v>0</v>
      </c>
      <c r="UPO66" s="956">
        <f>MIN(UPO60*$C$65,Application!$AO$636-SUM('15 Year Pro Forma'!$E$66:UPN$66))</f>
        <v>0</v>
      </c>
      <c r="UPQ66" s="956">
        <f>MIN(UPQ60*$C$65,Application!$AO$636-SUM('15 Year Pro Forma'!$E$66:UPP$66))</f>
        <v>0</v>
      </c>
      <c r="UPS66" s="956">
        <f>MIN(UPS60*$C$65,Application!$AO$636-SUM('15 Year Pro Forma'!$E$66:UPR$66))</f>
        <v>0</v>
      </c>
      <c r="UPU66" s="956">
        <f>MIN(UPU60*$C$65,Application!$AO$636-SUM('15 Year Pro Forma'!$E$66:UPT$66))</f>
        <v>0</v>
      </c>
      <c r="UPW66" s="956">
        <f>MIN(UPW60*$C$65,Application!$AO$636-SUM('15 Year Pro Forma'!$E$66:UPV$66))</f>
        <v>0</v>
      </c>
      <c r="UPY66" s="956">
        <f>MIN(UPY60*$C$65,Application!$AO$636-SUM('15 Year Pro Forma'!$E$66:UPX$66))</f>
        <v>0</v>
      </c>
      <c r="UQA66" s="956">
        <f>MIN(UQA60*$C$65,Application!$AO$636-SUM('15 Year Pro Forma'!$E$66:UPZ$66))</f>
        <v>0</v>
      </c>
      <c r="UQC66" s="956">
        <f>MIN(UQC60*$C$65,Application!$AO$636-SUM('15 Year Pro Forma'!$E$66:UQB$66))</f>
        <v>0</v>
      </c>
      <c r="UQE66" s="956">
        <f>MIN(UQE60*$C$65,Application!$AO$636-SUM('15 Year Pro Forma'!$E$66:UQD$66))</f>
        <v>0</v>
      </c>
      <c r="UQG66" s="956">
        <f>MIN(UQG60*$C$65,Application!$AO$636-SUM('15 Year Pro Forma'!$E$66:UQF$66))</f>
        <v>0</v>
      </c>
      <c r="UQI66" s="956">
        <f>MIN(UQI60*$C$65,Application!$AO$636-SUM('15 Year Pro Forma'!$E$66:UQH$66))</f>
        <v>0</v>
      </c>
      <c r="UQK66" s="956">
        <f>MIN(UQK60*$C$65,Application!$AO$636-SUM('15 Year Pro Forma'!$E$66:UQJ$66))</f>
        <v>0</v>
      </c>
      <c r="UQM66" s="956">
        <f>MIN(UQM60*$C$65,Application!$AO$636-SUM('15 Year Pro Forma'!$E$66:UQL$66))</f>
        <v>0</v>
      </c>
      <c r="UQO66" s="956">
        <f>MIN(UQO60*$C$65,Application!$AO$636-SUM('15 Year Pro Forma'!$E$66:UQN$66))</f>
        <v>0</v>
      </c>
      <c r="UQQ66" s="956">
        <f>MIN(UQQ60*$C$65,Application!$AO$636-SUM('15 Year Pro Forma'!$E$66:UQP$66))</f>
        <v>0</v>
      </c>
      <c r="UQS66" s="956">
        <f>MIN(UQS60*$C$65,Application!$AO$636-SUM('15 Year Pro Forma'!$E$66:UQR$66))</f>
        <v>0</v>
      </c>
      <c r="UQU66" s="956">
        <f>MIN(UQU60*$C$65,Application!$AO$636-SUM('15 Year Pro Forma'!$E$66:UQT$66))</f>
        <v>0</v>
      </c>
      <c r="UQW66" s="956">
        <f>MIN(UQW60*$C$65,Application!$AO$636-SUM('15 Year Pro Forma'!$E$66:UQV$66))</f>
        <v>0</v>
      </c>
      <c r="UQY66" s="956">
        <f>MIN(UQY60*$C$65,Application!$AO$636-SUM('15 Year Pro Forma'!$E$66:UQX$66))</f>
        <v>0</v>
      </c>
      <c r="URA66" s="956">
        <f>MIN(URA60*$C$65,Application!$AO$636-SUM('15 Year Pro Forma'!$E$66:UQZ$66))</f>
        <v>0</v>
      </c>
      <c r="URC66" s="956">
        <f>MIN(URC60*$C$65,Application!$AO$636-SUM('15 Year Pro Forma'!$E$66:URB$66))</f>
        <v>0</v>
      </c>
      <c r="URE66" s="956">
        <f>MIN(URE60*$C$65,Application!$AO$636-SUM('15 Year Pro Forma'!$E$66:URD$66))</f>
        <v>0</v>
      </c>
      <c r="URG66" s="956">
        <f>MIN(URG60*$C$65,Application!$AO$636-SUM('15 Year Pro Forma'!$E$66:URF$66))</f>
        <v>0</v>
      </c>
      <c r="URI66" s="956">
        <f>MIN(URI60*$C$65,Application!$AO$636-SUM('15 Year Pro Forma'!$E$66:URH$66))</f>
        <v>0</v>
      </c>
      <c r="URK66" s="956">
        <f>MIN(URK60*$C$65,Application!$AO$636-SUM('15 Year Pro Forma'!$E$66:URJ$66))</f>
        <v>0</v>
      </c>
      <c r="URM66" s="956">
        <f>MIN(URM60*$C$65,Application!$AO$636-SUM('15 Year Pro Forma'!$E$66:URL$66))</f>
        <v>0</v>
      </c>
      <c r="URO66" s="956">
        <f>MIN(URO60*$C$65,Application!$AO$636-SUM('15 Year Pro Forma'!$E$66:URN$66))</f>
        <v>0</v>
      </c>
      <c r="URQ66" s="956">
        <f>MIN(URQ60*$C$65,Application!$AO$636-SUM('15 Year Pro Forma'!$E$66:URP$66))</f>
        <v>0</v>
      </c>
      <c r="URS66" s="956">
        <f>MIN(URS60*$C$65,Application!$AO$636-SUM('15 Year Pro Forma'!$E$66:URR$66))</f>
        <v>0</v>
      </c>
      <c r="URU66" s="956">
        <f>MIN(URU60*$C$65,Application!$AO$636-SUM('15 Year Pro Forma'!$E$66:URT$66))</f>
        <v>0</v>
      </c>
      <c r="URW66" s="956">
        <f>MIN(URW60*$C$65,Application!$AO$636-SUM('15 Year Pro Forma'!$E$66:URV$66))</f>
        <v>0</v>
      </c>
      <c r="URY66" s="956">
        <f>MIN(URY60*$C$65,Application!$AO$636-SUM('15 Year Pro Forma'!$E$66:URX$66))</f>
        <v>0</v>
      </c>
      <c r="USA66" s="956">
        <f>MIN(USA60*$C$65,Application!$AO$636-SUM('15 Year Pro Forma'!$E$66:URZ$66))</f>
        <v>0</v>
      </c>
      <c r="USC66" s="956">
        <f>MIN(USC60*$C$65,Application!$AO$636-SUM('15 Year Pro Forma'!$E$66:USB$66))</f>
        <v>0</v>
      </c>
      <c r="USE66" s="956">
        <f>MIN(USE60*$C$65,Application!$AO$636-SUM('15 Year Pro Forma'!$E$66:USD$66))</f>
        <v>0</v>
      </c>
      <c r="USG66" s="956">
        <f>MIN(USG60*$C$65,Application!$AO$636-SUM('15 Year Pro Forma'!$E$66:USF$66))</f>
        <v>0</v>
      </c>
      <c r="USI66" s="956">
        <f>MIN(USI60*$C$65,Application!$AO$636-SUM('15 Year Pro Forma'!$E$66:USH$66))</f>
        <v>0</v>
      </c>
      <c r="USK66" s="956">
        <f>MIN(USK60*$C$65,Application!$AO$636-SUM('15 Year Pro Forma'!$E$66:USJ$66))</f>
        <v>0</v>
      </c>
      <c r="USM66" s="956">
        <f>MIN(USM60*$C$65,Application!$AO$636-SUM('15 Year Pro Forma'!$E$66:USL$66))</f>
        <v>0</v>
      </c>
      <c r="USO66" s="956">
        <f>MIN(USO60*$C$65,Application!$AO$636-SUM('15 Year Pro Forma'!$E$66:USN$66))</f>
        <v>0</v>
      </c>
      <c r="USQ66" s="956">
        <f>MIN(USQ60*$C$65,Application!$AO$636-SUM('15 Year Pro Forma'!$E$66:USP$66))</f>
        <v>0</v>
      </c>
      <c r="USS66" s="956">
        <f>MIN(USS60*$C$65,Application!$AO$636-SUM('15 Year Pro Forma'!$E$66:USR$66))</f>
        <v>0</v>
      </c>
      <c r="USU66" s="956">
        <f>MIN(USU60*$C$65,Application!$AO$636-SUM('15 Year Pro Forma'!$E$66:UST$66))</f>
        <v>0</v>
      </c>
      <c r="USW66" s="956">
        <f>MIN(USW60*$C$65,Application!$AO$636-SUM('15 Year Pro Forma'!$E$66:USV$66))</f>
        <v>0</v>
      </c>
      <c r="USY66" s="956">
        <f>MIN(USY60*$C$65,Application!$AO$636-SUM('15 Year Pro Forma'!$E$66:USX$66))</f>
        <v>0</v>
      </c>
      <c r="UTA66" s="956">
        <f>MIN(UTA60*$C$65,Application!$AO$636-SUM('15 Year Pro Forma'!$E$66:USZ$66))</f>
        <v>0</v>
      </c>
      <c r="UTC66" s="956">
        <f>MIN(UTC60*$C$65,Application!$AO$636-SUM('15 Year Pro Forma'!$E$66:UTB$66))</f>
        <v>0</v>
      </c>
      <c r="UTE66" s="956">
        <f>MIN(UTE60*$C$65,Application!$AO$636-SUM('15 Year Pro Forma'!$E$66:UTD$66))</f>
        <v>0</v>
      </c>
      <c r="UTG66" s="956">
        <f>MIN(UTG60*$C$65,Application!$AO$636-SUM('15 Year Pro Forma'!$E$66:UTF$66))</f>
        <v>0</v>
      </c>
      <c r="UTI66" s="956">
        <f>MIN(UTI60*$C$65,Application!$AO$636-SUM('15 Year Pro Forma'!$E$66:UTH$66))</f>
        <v>0</v>
      </c>
      <c r="UTK66" s="956">
        <f>MIN(UTK60*$C$65,Application!$AO$636-SUM('15 Year Pro Forma'!$E$66:UTJ$66))</f>
        <v>0</v>
      </c>
      <c r="UTM66" s="956">
        <f>MIN(UTM60*$C$65,Application!$AO$636-SUM('15 Year Pro Forma'!$E$66:UTL$66))</f>
        <v>0</v>
      </c>
      <c r="UTO66" s="956">
        <f>MIN(UTO60*$C$65,Application!$AO$636-SUM('15 Year Pro Forma'!$E$66:UTN$66))</f>
        <v>0</v>
      </c>
      <c r="UTQ66" s="956">
        <f>MIN(UTQ60*$C$65,Application!$AO$636-SUM('15 Year Pro Forma'!$E$66:UTP$66))</f>
        <v>0</v>
      </c>
      <c r="UTS66" s="956">
        <f>MIN(UTS60*$C$65,Application!$AO$636-SUM('15 Year Pro Forma'!$E$66:UTR$66))</f>
        <v>0</v>
      </c>
      <c r="UTU66" s="956">
        <f>MIN(UTU60*$C$65,Application!$AO$636-SUM('15 Year Pro Forma'!$E$66:UTT$66))</f>
        <v>0</v>
      </c>
      <c r="UTW66" s="956">
        <f>MIN(UTW60*$C$65,Application!$AO$636-SUM('15 Year Pro Forma'!$E$66:UTV$66))</f>
        <v>0</v>
      </c>
      <c r="UTY66" s="956">
        <f>MIN(UTY60*$C$65,Application!$AO$636-SUM('15 Year Pro Forma'!$E$66:UTX$66))</f>
        <v>0</v>
      </c>
      <c r="UUA66" s="956">
        <f>MIN(UUA60*$C$65,Application!$AO$636-SUM('15 Year Pro Forma'!$E$66:UTZ$66))</f>
        <v>0</v>
      </c>
      <c r="UUC66" s="956">
        <f>MIN(UUC60*$C$65,Application!$AO$636-SUM('15 Year Pro Forma'!$E$66:UUB$66))</f>
        <v>0</v>
      </c>
      <c r="UUE66" s="956">
        <f>MIN(UUE60*$C$65,Application!$AO$636-SUM('15 Year Pro Forma'!$E$66:UUD$66))</f>
        <v>0</v>
      </c>
      <c r="UUG66" s="956">
        <f>MIN(UUG60*$C$65,Application!$AO$636-SUM('15 Year Pro Forma'!$E$66:UUF$66))</f>
        <v>0</v>
      </c>
      <c r="UUI66" s="956">
        <f>MIN(UUI60*$C$65,Application!$AO$636-SUM('15 Year Pro Forma'!$E$66:UUH$66))</f>
        <v>0</v>
      </c>
      <c r="UUK66" s="956">
        <f>MIN(UUK60*$C$65,Application!$AO$636-SUM('15 Year Pro Forma'!$E$66:UUJ$66))</f>
        <v>0</v>
      </c>
      <c r="UUM66" s="956">
        <f>MIN(UUM60*$C$65,Application!$AO$636-SUM('15 Year Pro Forma'!$E$66:UUL$66))</f>
        <v>0</v>
      </c>
      <c r="UUO66" s="956">
        <f>MIN(UUO60*$C$65,Application!$AO$636-SUM('15 Year Pro Forma'!$E$66:UUN$66))</f>
        <v>0</v>
      </c>
      <c r="UUQ66" s="956">
        <f>MIN(UUQ60*$C$65,Application!$AO$636-SUM('15 Year Pro Forma'!$E$66:UUP$66))</f>
        <v>0</v>
      </c>
      <c r="UUS66" s="956">
        <f>MIN(UUS60*$C$65,Application!$AO$636-SUM('15 Year Pro Forma'!$E$66:UUR$66))</f>
        <v>0</v>
      </c>
      <c r="UUU66" s="956">
        <f>MIN(UUU60*$C$65,Application!$AO$636-SUM('15 Year Pro Forma'!$E$66:UUT$66))</f>
        <v>0</v>
      </c>
      <c r="UUW66" s="956">
        <f>MIN(UUW60*$C$65,Application!$AO$636-SUM('15 Year Pro Forma'!$E$66:UUV$66))</f>
        <v>0</v>
      </c>
      <c r="UUY66" s="956">
        <f>MIN(UUY60*$C$65,Application!$AO$636-SUM('15 Year Pro Forma'!$E$66:UUX$66))</f>
        <v>0</v>
      </c>
      <c r="UVA66" s="956">
        <f>MIN(UVA60*$C$65,Application!$AO$636-SUM('15 Year Pro Forma'!$E$66:UUZ$66))</f>
        <v>0</v>
      </c>
      <c r="UVC66" s="956">
        <f>MIN(UVC60*$C$65,Application!$AO$636-SUM('15 Year Pro Forma'!$E$66:UVB$66))</f>
        <v>0</v>
      </c>
      <c r="UVE66" s="956">
        <f>MIN(UVE60*$C$65,Application!$AO$636-SUM('15 Year Pro Forma'!$E$66:UVD$66))</f>
        <v>0</v>
      </c>
      <c r="UVG66" s="956">
        <f>MIN(UVG60*$C$65,Application!$AO$636-SUM('15 Year Pro Forma'!$E$66:UVF$66))</f>
        <v>0</v>
      </c>
      <c r="UVI66" s="956">
        <f>MIN(UVI60*$C$65,Application!$AO$636-SUM('15 Year Pro Forma'!$E$66:UVH$66))</f>
        <v>0</v>
      </c>
      <c r="UVK66" s="956">
        <f>MIN(UVK60*$C$65,Application!$AO$636-SUM('15 Year Pro Forma'!$E$66:UVJ$66))</f>
        <v>0</v>
      </c>
      <c r="UVM66" s="956">
        <f>MIN(UVM60*$C$65,Application!$AO$636-SUM('15 Year Pro Forma'!$E$66:UVL$66))</f>
        <v>0</v>
      </c>
      <c r="UVO66" s="956">
        <f>MIN(UVO60*$C$65,Application!$AO$636-SUM('15 Year Pro Forma'!$E$66:UVN$66))</f>
        <v>0</v>
      </c>
      <c r="UVQ66" s="956">
        <f>MIN(UVQ60*$C$65,Application!$AO$636-SUM('15 Year Pro Forma'!$E$66:UVP$66))</f>
        <v>0</v>
      </c>
      <c r="UVS66" s="956">
        <f>MIN(UVS60*$C$65,Application!$AO$636-SUM('15 Year Pro Forma'!$E$66:UVR$66))</f>
        <v>0</v>
      </c>
      <c r="UVU66" s="956">
        <f>MIN(UVU60*$C$65,Application!$AO$636-SUM('15 Year Pro Forma'!$E$66:UVT$66))</f>
        <v>0</v>
      </c>
      <c r="UVW66" s="956">
        <f>MIN(UVW60*$C$65,Application!$AO$636-SUM('15 Year Pro Forma'!$E$66:UVV$66))</f>
        <v>0</v>
      </c>
      <c r="UVY66" s="956">
        <f>MIN(UVY60*$C$65,Application!$AO$636-SUM('15 Year Pro Forma'!$E$66:UVX$66))</f>
        <v>0</v>
      </c>
      <c r="UWA66" s="956">
        <f>MIN(UWA60*$C$65,Application!$AO$636-SUM('15 Year Pro Forma'!$E$66:UVZ$66))</f>
        <v>0</v>
      </c>
      <c r="UWC66" s="956">
        <f>MIN(UWC60*$C$65,Application!$AO$636-SUM('15 Year Pro Forma'!$E$66:UWB$66))</f>
        <v>0</v>
      </c>
      <c r="UWE66" s="956">
        <f>MIN(UWE60*$C$65,Application!$AO$636-SUM('15 Year Pro Forma'!$E$66:UWD$66))</f>
        <v>0</v>
      </c>
      <c r="UWG66" s="956">
        <f>MIN(UWG60*$C$65,Application!$AO$636-SUM('15 Year Pro Forma'!$E$66:UWF$66))</f>
        <v>0</v>
      </c>
      <c r="UWI66" s="956">
        <f>MIN(UWI60*$C$65,Application!$AO$636-SUM('15 Year Pro Forma'!$E$66:UWH$66))</f>
        <v>0</v>
      </c>
      <c r="UWK66" s="956">
        <f>MIN(UWK60*$C$65,Application!$AO$636-SUM('15 Year Pro Forma'!$E$66:UWJ$66))</f>
        <v>0</v>
      </c>
      <c r="UWM66" s="956">
        <f>MIN(UWM60*$C$65,Application!$AO$636-SUM('15 Year Pro Forma'!$E$66:UWL$66))</f>
        <v>0</v>
      </c>
      <c r="UWO66" s="956">
        <f>MIN(UWO60*$C$65,Application!$AO$636-SUM('15 Year Pro Forma'!$E$66:UWN$66))</f>
        <v>0</v>
      </c>
      <c r="UWQ66" s="956">
        <f>MIN(UWQ60*$C$65,Application!$AO$636-SUM('15 Year Pro Forma'!$E$66:UWP$66))</f>
        <v>0</v>
      </c>
      <c r="UWS66" s="956">
        <f>MIN(UWS60*$C$65,Application!$AO$636-SUM('15 Year Pro Forma'!$E$66:UWR$66))</f>
        <v>0</v>
      </c>
      <c r="UWU66" s="956">
        <f>MIN(UWU60*$C$65,Application!$AO$636-SUM('15 Year Pro Forma'!$E$66:UWT$66))</f>
        <v>0</v>
      </c>
      <c r="UWW66" s="956">
        <f>MIN(UWW60*$C$65,Application!$AO$636-SUM('15 Year Pro Forma'!$E$66:UWV$66))</f>
        <v>0</v>
      </c>
      <c r="UWY66" s="956">
        <f>MIN(UWY60*$C$65,Application!$AO$636-SUM('15 Year Pro Forma'!$E$66:UWX$66))</f>
        <v>0</v>
      </c>
      <c r="UXA66" s="956">
        <f>MIN(UXA60*$C$65,Application!$AO$636-SUM('15 Year Pro Forma'!$E$66:UWZ$66))</f>
        <v>0</v>
      </c>
      <c r="UXC66" s="956">
        <f>MIN(UXC60*$C$65,Application!$AO$636-SUM('15 Year Pro Forma'!$E$66:UXB$66))</f>
        <v>0</v>
      </c>
      <c r="UXE66" s="956">
        <f>MIN(UXE60*$C$65,Application!$AO$636-SUM('15 Year Pro Forma'!$E$66:UXD$66))</f>
        <v>0</v>
      </c>
      <c r="UXG66" s="956">
        <f>MIN(UXG60*$C$65,Application!$AO$636-SUM('15 Year Pro Forma'!$E$66:UXF$66))</f>
        <v>0</v>
      </c>
      <c r="UXI66" s="956">
        <f>MIN(UXI60*$C$65,Application!$AO$636-SUM('15 Year Pro Forma'!$E$66:UXH$66))</f>
        <v>0</v>
      </c>
      <c r="UXK66" s="956">
        <f>MIN(UXK60*$C$65,Application!$AO$636-SUM('15 Year Pro Forma'!$E$66:UXJ$66))</f>
        <v>0</v>
      </c>
      <c r="UXM66" s="956">
        <f>MIN(UXM60*$C$65,Application!$AO$636-SUM('15 Year Pro Forma'!$E$66:UXL$66))</f>
        <v>0</v>
      </c>
      <c r="UXO66" s="956">
        <f>MIN(UXO60*$C$65,Application!$AO$636-SUM('15 Year Pro Forma'!$E$66:UXN$66))</f>
        <v>0</v>
      </c>
      <c r="UXQ66" s="956">
        <f>MIN(UXQ60*$C$65,Application!$AO$636-SUM('15 Year Pro Forma'!$E$66:UXP$66))</f>
        <v>0</v>
      </c>
      <c r="UXS66" s="956">
        <f>MIN(UXS60*$C$65,Application!$AO$636-SUM('15 Year Pro Forma'!$E$66:UXR$66))</f>
        <v>0</v>
      </c>
      <c r="UXU66" s="956">
        <f>MIN(UXU60*$C$65,Application!$AO$636-SUM('15 Year Pro Forma'!$E$66:UXT$66))</f>
        <v>0</v>
      </c>
      <c r="UXW66" s="956">
        <f>MIN(UXW60*$C$65,Application!$AO$636-SUM('15 Year Pro Forma'!$E$66:UXV$66))</f>
        <v>0</v>
      </c>
      <c r="UXY66" s="956">
        <f>MIN(UXY60*$C$65,Application!$AO$636-SUM('15 Year Pro Forma'!$E$66:UXX$66))</f>
        <v>0</v>
      </c>
      <c r="UYA66" s="956">
        <f>MIN(UYA60*$C$65,Application!$AO$636-SUM('15 Year Pro Forma'!$E$66:UXZ$66))</f>
        <v>0</v>
      </c>
      <c r="UYC66" s="956">
        <f>MIN(UYC60*$C$65,Application!$AO$636-SUM('15 Year Pro Forma'!$E$66:UYB$66))</f>
        <v>0</v>
      </c>
      <c r="UYE66" s="956">
        <f>MIN(UYE60*$C$65,Application!$AO$636-SUM('15 Year Pro Forma'!$E$66:UYD$66))</f>
        <v>0</v>
      </c>
      <c r="UYG66" s="956">
        <f>MIN(UYG60*$C$65,Application!$AO$636-SUM('15 Year Pro Forma'!$E$66:UYF$66))</f>
        <v>0</v>
      </c>
      <c r="UYI66" s="956">
        <f>MIN(UYI60*$C$65,Application!$AO$636-SUM('15 Year Pro Forma'!$E$66:UYH$66))</f>
        <v>0</v>
      </c>
      <c r="UYK66" s="956">
        <f>MIN(UYK60*$C$65,Application!$AO$636-SUM('15 Year Pro Forma'!$E$66:UYJ$66))</f>
        <v>0</v>
      </c>
      <c r="UYM66" s="956">
        <f>MIN(UYM60*$C$65,Application!$AO$636-SUM('15 Year Pro Forma'!$E$66:UYL$66))</f>
        <v>0</v>
      </c>
      <c r="UYO66" s="956">
        <f>MIN(UYO60*$C$65,Application!$AO$636-SUM('15 Year Pro Forma'!$E$66:UYN$66))</f>
        <v>0</v>
      </c>
      <c r="UYQ66" s="956">
        <f>MIN(UYQ60*$C$65,Application!$AO$636-SUM('15 Year Pro Forma'!$E$66:UYP$66))</f>
        <v>0</v>
      </c>
      <c r="UYS66" s="956">
        <f>MIN(UYS60*$C$65,Application!$AO$636-SUM('15 Year Pro Forma'!$E$66:UYR$66))</f>
        <v>0</v>
      </c>
      <c r="UYU66" s="956">
        <f>MIN(UYU60*$C$65,Application!$AO$636-SUM('15 Year Pro Forma'!$E$66:UYT$66))</f>
        <v>0</v>
      </c>
      <c r="UYW66" s="956">
        <f>MIN(UYW60*$C$65,Application!$AO$636-SUM('15 Year Pro Forma'!$E$66:UYV$66))</f>
        <v>0</v>
      </c>
      <c r="UYY66" s="956">
        <f>MIN(UYY60*$C$65,Application!$AO$636-SUM('15 Year Pro Forma'!$E$66:UYX$66))</f>
        <v>0</v>
      </c>
      <c r="UZA66" s="956">
        <f>MIN(UZA60*$C$65,Application!$AO$636-SUM('15 Year Pro Forma'!$E$66:UYZ$66))</f>
        <v>0</v>
      </c>
      <c r="UZC66" s="956">
        <f>MIN(UZC60*$C$65,Application!$AO$636-SUM('15 Year Pro Forma'!$E$66:UZB$66))</f>
        <v>0</v>
      </c>
      <c r="UZE66" s="956">
        <f>MIN(UZE60*$C$65,Application!$AO$636-SUM('15 Year Pro Forma'!$E$66:UZD$66))</f>
        <v>0</v>
      </c>
      <c r="UZG66" s="956">
        <f>MIN(UZG60*$C$65,Application!$AO$636-SUM('15 Year Pro Forma'!$E$66:UZF$66))</f>
        <v>0</v>
      </c>
      <c r="UZI66" s="956">
        <f>MIN(UZI60*$C$65,Application!$AO$636-SUM('15 Year Pro Forma'!$E$66:UZH$66))</f>
        <v>0</v>
      </c>
      <c r="UZK66" s="956">
        <f>MIN(UZK60*$C$65,Application!$AO$636-SUM('15 Year Pro Forma'!$E$66:UZJ$66))</f>
        <v>0</v>
      </c>
      <c r="UZM66" s="956">
        <f>MIN(UZM60*$C$65,Application!$AO$636-SUM('15 Year Pro Forma'!$E$66:UZL$66))</f>
        <v>0</v>
      </c>
      <c r="UZO66" s="956">
        <f>MIN(UZO60*$C$65,Application!$AO$636-SUM('15 Year Pro Forma'!$E$66:UZN$66))</f>
        <v>0</v>
      </c>
      <c r="UZQ66" s="956">
        <f>MIN(UZQ60*$C$65,Application!$AO$636-SUM('15 Year Pro Forma'!$E$66:UZP$66))</f>
        <v>0</v>
      </c>
      <c r="UZS66" s="956">
        <f>MIN(UZS60*$C$65,Application!$AO$636-SUM('15 Year Pro Forma'!$E$66:UZR$66))</f>
        <v>0</v>
      </c>
      <c r="UZU66" s="956">
        <f>MIN(UZU60*$C$65,Application!$AO$636-SUM('15 Year Pro Forma'!$E$66:UZT$66))</f>
        <v>0</v>
      </c>
      <c r="UZW66" s="956">
        <f>MIN(UZW60*$C$65,Application!$AO$636-SUM('15 Year Pro Forma'!$E$66:UZV$66))</f>
        <v>0</v>
      </c>
      <c r="UZY66" s="956">
        <f>MIN(UZY60*$C$65,Application!$AO$636-SUM('15 Year Pro Forma'!$E$66:UZX$66))</f>
        <v>0</v>
      </c>
      <c r="VAA66" s="956">
        <f>MIN(VAA60*$C$65,Application!$AO$636-SUM('15 Year Pro Forma'!$E$66:UZZ$66))</f>
        <v>0</v>
      </c>
      <c r="VAC66" s="956">
        <f>MIN(VAC60*$C$65,Application!$AO$636-SUM('15 Year Pro Forma'!$E$66:VAB$66))</f>
        <v>0</v>
      </c>
      <c r="VAE66" s="956">
        <f>MIN(VAE60*$C$65,Application!$AO$636-SUM('15 Year Pro Forma'!$E$66:VAD$66))</f>
        <v>0</v>
      </c>
      <c r="VAG66" s="956">
        <f>MIN(VAG60*$C$65,Application!$AO$636-SUM('15 Year Pro Forma'!$E$66:VAF$66))</f>
        <v>0</v>
      </c>
      <c r="VAI66" s="956">
        <f>MIN(VAI60*$C$65,Application!$AO$636-SUM('15 Year Pro Forma'!$E$66:VAH$66))</f>
        <v>0</v>
      </c>
      <c r="VAK66" s="956">
        <f>MIN(VAK60*$C$65,Application!$AO$636-SUM('15 Year Pro Forma'!$E$66:VAJ$66))</f>
        <v>0</v>
      </c>
      <c r="VAM66" s="956">
        <f>MIN(VAM60*$C$65,Application!$AO$636-SUM('15 Year Pro Forma'!$E$66:VAL$66))</f>
        <v>0</v>
      </c>
      <c r="VAO66" s="956">
        <f>MIN(VAO60*$C$65,Application!$AO$636-SUM('15 Year Pro Forma'!$E$66:VAN$66))</f>
        <v>0</v>
      </c>
      <c r="VAQ66" s="956">
        <f>MIN(VAQ60*$C$65,Application!$AO$636-SUM('15 Year Pro Forma'!$E$66:VAP$66))</f>
        <v>0</v>
      </c>
      <c r="VAS66" s="956">
        <f>MIN(VAS60*$C$65,Application!$AO$636-SUM('15 Year Pro Forma'!$E$66:VAR$66))</f>
        <v>0</v>
      </c>
      <c r="VAU66" s="956">
        <f>MIN(VAU60*$C$65,Application!$AO$636-SUM('15 Year Pro Forma'!$E$66:VAT$66))</f>
        <v>0</v>
      </c>
      <c r="VAW66" s="956">
        <f>MIN(VAW60*$C$65,Application!$AO$636-SUM('15 Year Pro Forma'!$E$66:VAV$66))</f>
        <v>0</v>
      </c>
      <c r="VAY66" s="956">
        <f>MIN(VAY60*$C$65,Application!$AO$636-SUM('15 Year Pro Forma'!$E$66:VAX$66))</f>
        <v>0</v>
      </c>
      <c r="VBA66" s="956">
        <f>MIN(VBA60*$C$65,Application!$AO$636-SUM('15 Year Pro Forma'!$E$66:VAZ$66))</f>
        <v>0</v>
      </c>
      <c r="VBC66" s="956">
        <f>MIN(VBC60*$C$65,Application!$AO$636-SUM('15 Year Pro Forma'!$E$66:VBB$66))</f>
        <v>0</v>
      </c>
      <c r="VBE66" s="956">
        <f>MIN(VBE60*$C$65,Application!$AO$636-SUM('15 Year Pro Forma'!$E$66:VBD$66))</f>
        <v>0</v>
      </c>
      <c r="VBG66" s="956">
        <f>MIN(VBG60*$C$65,Application!$AO$636-SUM('15 Year Pro Forma'!$E$66:VBF$66))</f>
        <v>0</v>
      </c>
      <c r="VBI66" s="956">
        <f>MIN(VBI60*$C$65,Application!$AO$636-SUM('15 Year Pro Forma'!$E$66:VBH$66))</f>
        <v>0</v>
      </c>
      <c r="VBK66" s="956">
        <f>MIN(VBK60*$C$65,Application!$AO$636-SUM('15 Year Pro Forma'!$E$66:VBJ$66))</f>
        <v>0</v>
      </c>
      <c r="VBM66" s="956">
        <f>MIN(VBM60*$C$65,Application!$AO$636-SUM('15 Year Pro Forma'!$E$66:VBL$66))</f>
        <v>0</v>
      </c>
      <c r="VBO66" s="956">
        <f>MIN(VBO60*$C$65,Application!$AO$636-SUM('15 Year Pro Forma'!$E$66:VBN$66))</f>
        <v>0</v>
      </c>
      <c r="VBQ66" s="956">
        <f>MIN(VBQ60*$C$65,Application!$AO$636-SUM('15 Year Pro Forma'!$E$66:VBP$66))</f>
        <v>0</v>
      </c>
      <c r="VBS66" s="956">
        <f>MIN(VBS60*$C$65,Application!$AO$636-SUM('15 Year Pro Forma'!$E$66:VBR$66))</f>
        <v>0</v>
      </c>
      <c r="VBU66" s="956">
        <f>MIN(VBU60*$C$65,Application!$AO$636-SUM('15 Year Pro Forma'!$E$66:VBT$66))</f>
        <v>0</v>
      </c>
      <c r="VBW66" s="956">
        <f>MIN(VBW60*$C$65,Application!$AO$636-SUM('15 Year Pro Forma'!$E$66:VBV$66))</f>
        <v>0</v>
      </c>
      <c r="VBY66" s="956">
        <f>MIN(VBY60*$C$65,Application!$AO$636-SUM('15 Year Pro Forma'!$E$66:VBX$66))</f>
        <v>0</v>
      </c>
      <c r="VCA66" s="956">
        <f>MIN(VCA60*$C$65,Application!$AO$636-SUM('15 Year Pro Forma'!$E$66:VBZ$66))</f>
        <v>0</v>
      </c>
      <c r="VCC66" s="956">
        <f>MIN(VCC60*$C$65,Application!$AO$636-SUM('15 Year Pro Forma'!$E$66:VCB$66))</f>
        <v>0</v>
      </c>
      <c r="VCE66" s="956">
        <f>MIN(VCE60*$C$65,Application!$AO$636-SUM('15 Year Pro Forma'!$E$66:VCD$66))</f>
        <v>0</v>
      </c>
      <c r="VCG66" s="956">
        <f>MIN(VCG60*$C$65,Application!$AO$636-SUM('15 Year Pro Forma'!$E$66:VCF$66))</f>
        <v>0</v>
      </c>
      <c r="VCI66" s="956">
        <f>MIN(VCI60*$C$65,Application!$AO$636-SUM('15 Year Pro Forma'!$E$66:VCH$66))</f>
        <v>0</v>
      </c>
      <c r="VCK66" s="956">
        <f>MIN(VCK60*$C$65,Application!$AO$636-SUM('15 Year Pro Forma'!$E$66:VCJ$66))</f>
        <v>0</v>
      </c>
      <c r="VCM66" s="956">
        <f>MIN(VCM60*$C$65,Application!$AO$636-SUM('15 Year Pro Forma'!$E$66:VCL$66))</f>
        <v>0</v>
      </c>
      <c r="VCO66" s="956">
        <f>MIN(VCO60*$C$65,Application!$AO$636-SUM('15 Year Pro Forma'!$E$66:VCN$66))</f>
        <v>0</v>
      </c>
      <c r="VCQ66" s="956">
        <f>MIN(VCQ60*$C$65,Application!$AO$636-SUM('15 Year Pro Forma'!$E$66:VCP$66))</f>
        <v>0</v>
      </c>
      <c r="VCS66" s="956">
        <f>MIN(VCS60*$C$65,Application!$AO$636-SUM('15 Year Pro Forma'!$E$66:VCR$66))</f>
        <v>0</v>
      </c>
      <c r="VCU66" s="956">
        <f>MIN(VCU60*$C$65,Application!$AO$636-SUM('15 Year Pro Forma'!$E$66:VCT$66))</f>
        <v>0</v>
      </c>
      <c r="VCW66" s="956">
        <f>MIN(VCW60*$C$65,Application!$AO$636-SUM('15 Year Pro Forma'!$E$66:VCV$66))</f>
        <v>0</v>
      </c>
      <c r="VCY66" s="956">
        <f>MIN(VCY60*$C$65,Application!$AO$636-SUM('15 Year Pro Forma'!$E$66:VCX$66))</f>
        <v>0</v>
      </c>
      <c r="VDA66" s="956">
        <f>MIN(VDA60*$C$65,Application!$AO$636-SUM('15 Year Pro Forma'!$E$66:VCZ$66))</f>
        <v>0</v>
      </c>
      <c r="VDC66" s="956">
        <f>MIN(VDC60*$C$65,Application!$AO$636-SUM('15 Year Pro Forma'!$E$66:VDB$66))</f>
        <v>0</v>
      </c>
      <c r="VDE66" s="956">
        <f>MIN(VDE60*$C$65,Application!$AO$636-SUM('15 Year Pro Forma'!$E$66:VDD$66))</f>
        <v>0</v>
      </c>
      <c r="VDG66" s="956">
        <f>MIN(VDG60*$C$65,Application!$AO$636-SUM('15 Year Pro Forma'!$E$66:VDF$66))</f>
        <v>0</v>
      </c>
      <c r="VDI66" s="956">
        <f>MIN(VDI60*$C$65,Application!$AO$636-SUM('15 Year Pro Forma'!$E$66:VDH$66))</f>
        <v>0</v>
      </c>
      <c r="VDK66" s="956">
        <f>MIN(VDK60*$C$65,Application!$AO$636-SUM('15 Year Pro Forma'!$E$66:VDJ$66))</f>
        <v>0</v>
      </c>
      <c r="VDM66" s="956">
        <f>MIN(VDM60*$C$65,Application!$AO$636-SUM('15 Year Pro Forma'!$E$66:VDL$66))</f>
        <v>0</v>
      </c>
      <c r="VDO66" s="956">
        <f>MIN(VDO60*$C$65,Application!$AO$636-SUM('15 Year Pro Forma'!$E$66:VDN$66))</f>
        <v>0</v>
      </c>
      <c r="VDQ66" s="956">
        <f>MIN(VDQ60*$C$65,Application!$AO$636-SUM('15 Year Pro Forma'!$E$66:VDP$66))</f>
        <v>0</v>
      </c>
      <c r="VDS66" s="956">
        <f>MIN(VDS60*$C$65,Application!$AO$636-SUM('15 Year Pro Forma'!$E$66:VDR$66))</f>
        <v>0</v>
      </c>
      <c r="VDU66" s="956">
        <f>MIN(VDU60*$C$65,Application!$AO$636-SUM('15 Year Pro Forma'!$E$66:VDT$66))</f>
        <v>0</v>
      </c>
      <c r="VDW66" s="956">
        <f>MIN(VDW60*$C$65,Application!$AO$636-SUM('15 Year Pro Forma'!$E$66:VDV$66))</f>
        <v>0</v>
      </c>
      <c r="VDY66" s="956">
        <f>MIN(VDY60*$C$65,Application!$AO$636-SUM('15 Year Pro Forma'!$E$66:VDX$66))</f>
        <v>0</v>
      </c>
      <c r="VEA66" s="956">
        <f>MIN(VEA60*$C$65,Application!$AO$636-SUM('15 Year Pro Forma'!$E$66:VDZ$66))</f>
        <v>0</v>
      </c>
      <c r="VEC66" s="956">
        <f>MIN(VEC60*$C$65,Application!$AO$636-SUM('15 Year Pro Forma'!$E$66:VEB$66))</f>
        <v>0</v>
      </c>
      <c r="VEE66" s="956">
        <f>MIN(VEE60*$C$65,Application!$AO$636-SUM('15 Year Pro Forma'!$E$66:VED$66))</f>
        <v>0</v>
      </c>
      <c r="VEG66" s="956">
        <f>MIN(VEG60*$C$65,Application!$AO$636-SUM('15 Year Pro Forma'!$E$66:VEF$66))</f>
        <v>0</v>
      </c>
      <c r="VEI66" s="956">
        <f>MIN(VEI60*$C$65,Application!$AO$636-SUM('15 Year Pro Forma'!$E$66:VEH$66))</f>
        <v>0</v>
      </c>
      <c r="VEK66" s="956">
        <f>MIN(VEK60*$C$65,Application!$AO$636-SUM('15 Year Pro Forma'!$E$66:VEJ$66))</f>
        <v>0</v>
      </c>
      <c r="VEM66" s="956">
        <f>MIN(VEM60*$C$65,Application!$AO$636-SUM('15 Year Pro Forma'!$E$66:VEL$66))</f>
        <v>0</v>
      </c>
      <c r="VEO66" s="956">
        <f>MIN(VEO60*$C$65,Application!$AO$636-SUM('15 Year Pro Forma'!$E$66:VEN$66))</f>
        <v>0</v>
      </c>
      <c r="VEQ66" s="956">
        <f>MIN(VEQ60*$C$65,Application!$AO$636-SUM('15 Year Pro Forma'!$E$66:VEP$66))</f>
        <v>0</v>
      </c>
      <c r="VES66" s="956">
        <f>MIN(VES60*$C$65,Application!$AO$636-SUM('15 Year Pro Forma'!$E$66:VER$66))</f>
        <v>0</v>
      </c>
      <c r="VEU66" s="956">
        <f>MIN(VEU60*$C$65,Application!$AO$636-SUM('15 Year Pro Forma'!$E$66:VET$66))</f>
        <v>0</v>
      </c>
      <c r="VEW66" s="956">
        <f>MIN(VEW60*$C$65,Application!$AO$636-SUM('15 Year Pro Forma'!$E$66:VEV$66))</f>
        <v>0</v>
      </c>
      <c r="VEY66" s="956">
        <f>MIN(VEY60*$C$65,Application!$AO$636-SUM('15 Year Pro Forma'!$E$66:VEX$66))</f>
        <v>0</v>
      </c>
      <c r="VFA66" s="956">
        <f>MIN(VFA60*$C$65,Application!$AO$636-SUM('15 Year Pro Forma'!$E$66:VEZ$66))</f>
        <v>0</v>
      </c>
      <c r="VFC66" s="956">
        <f>MIN(VFC60*$C$65,Application!$AO$636-SUM('15 Year Pro Forma'!$E$66:VFB$66))</f>
        <v>0</v>
      </c>
      <c r="VFE66" s="956">
        <f>MIN(VFE60*$C$65,Application!$AO$636-SUM('15 Year Pro Forma'!$E$66:VFD$66))</f>
        <v>0</v>
      </c>
      <c r="VFG66" s="956">
        <f>MIN(VFG60*$C$65,Application!$AO$636-SUM('15 Year Pro Forma'!$E$66:VFF$66))</f>
        <v>0</v>
      </c>
      <c r="VFI66" s="956">
        <f>MIN(VFI60*$C$65,Application!$AO$636-SUM('15 Year Pro Forma'!$E$66:VFH$66))</f>
        <v>0</v>
      </c>
      <c r="VFK66" s="956">
        <f>MIN(VFK60*$C$65,Application!$AO$636-SUM('15 Year Pro Forma'!$E$66:VFJ$66))</f>
        <v>0</v>
      </c>
      <c r="VFM66" s="956">
        <f>MIN(VFM60*$C$65,Application!$AO$636-SUM('15 Year Pro Forma'!$E$66:VFL$66))</f>
        <v>0</v>
      </c>
      <c r="VFO66" s="956">
        <f>MIN(VFO60*$C$65,Application!$AO$636-SUM('15 Year Pro Forma'!$E$66:VFN$66))</f>
        <v>0</v>
      </c>
      <c r="VFQ66" s="956">
        <f>MIN(VFQ60*$C$65,Application!$AO$636-SUM('15 Year Pro Forma'!$E$66:VFP$66))</f>
        <v>0</v>
      </c>
      <c r="VFS66" s="956">
        <f>MIN(VFS60*$C$65,Application!$AO$636-SUM('15 Year Pro Forma'!$E$66:VFR$66))</f>
        <v>0</v>
      </c>
      <c r="VFU66" s="956">
        <f>MIN(VFU60*$C$65,Application!$AO$636-SUM('15 Year Pro Forma'!$E$66:VFT$66))</f>
        <v>0</v>
      </c>
      <c r="VFW66" s="956">
        <f>MIN(VFW60*$C$65,Application!$AO$636-SUM('15 Year Pro Forma'!$E$66:VFV$66))</f>
        <v>0</v>
      </c>
      <c r="VFY66" s="956">
        <f>MIN(VFY60*$C$65,Application!$AO$636-SUM('15 Year Pro Forma'!$E$66:VFX$66))</f>
        <v>0</v>
      </c>
      <c r="VGA66" s="956">
        <f>MIN(VGA60*$C$65,Application!$AO$636-SUM('15 Year Pro Forma'!$E$66:VFZ$66))</f>
        <v>0</v>
      </c>
      <c r="VGC66" s="956">
        <f>MIN(VGC60*$C$65,Application!$AO$636-SUM('15 Year Pro Forma'!$E$66:VGB$66))</f>
        <v>0</v>
      </c>
      <c r="VGE66" s="956">
        <f>MIN(VGE60*$C$65,Application!$AO$636-SUM('15 Year Pro Forma'!$E$66:VGD$66))</f>
        <v>0</v>
      </c>
      <c r="VGG66" s="956">
        <f>MIN(VGG60*$C$65,Application!$AO$636-SUM('15 Year Pro Forma'!$E$66:VGF$66))</f>
        <v>0</v>
      </c>
      <c r="VGI66" s="956">
        <f>MIN(VGI60*$C$65,Application!$AO$636-SUM('15 Year Pro Forma'!$E$66:VGH$66))</f>
        <v>0</v>
      </c>
      <c r="VGK66" s="956">
        <f>MIN(VGK60*$C$65,Application!$AO$636-SUM('15 Year Pro Forma'!$E$66:VGJ$66))</f>
        <v>0</v>
      </c>
      <c r="VGM66" s="956">
        <f>MIN(VGM60*$C$65,Application!$AO$636-SUM('15 Year Pro Forma'!$E$66:VGL$66))</f>
        <v>0</v>
      </c>
      <c r="VGO66" s="956">
        <f>MIN(VGO60*$C$65,Application!$AO$636-SUM('15 Year Pro Forma'!$E$66:VGN$66))</f>
        <v>0</v>
      </c>
      <c r="VGQ66" s="956">
        <f>MIN(VGQ60*$C$65,Application!$AO$636-SUM('15 Year Pro Forma'!$E$66:VGP$66))</f>
        <v>0</v>
      </c>
      <c r="VGS66" s="956">
        <f>MIN(VGS60*$C$65,Application!$AO$636-SUM('15 Year Pro Forma'!$E$66:VGR$66))</f>
        <v>0</v>
      </c>
      <c r="VGU66" s="956">
        <f>MIN(VGU60*$C$65,Application!$AO$636-SUM('15 Year Pro Forma'!$E$66:VGT$66))</f>
        <v>0</v>
      </c>
      <c r="VGW66" s="956">
        <f>MIN(VGW60*$C$65,Application!$AO$636-SUM('15 Year Pro Forma'!$E$66:VGV$66))</f>
        <v>0</v>
      </c>
      <c r="VGY66" s="956">
        <f>MIN(VGY60*$C$65,Application!$AO$636-SUM('15 Year Pro Forma'!$E$66:VGX$66))</f>
        <v>0</v>
      </c>
      <c r="VHA66" s="956">
        <f>MIN(VHA60*$C$65,Application!$AO$636-SUM('15 Year Pro Forma'!$E$66:VGZ$66))</f>
        <v>0</v>
      </c>
      <c r="VHC66" s="956">
        <f>MIN(VHC60*$C$65,Application!$AO$636-SUM('15 Year Pro Forma'!$E$66:VHB$66))</f>
        <v>0</v>
      </c>
      <c r="VHE66" s="956">
        <f>MIN(VHE60*$C$65,Application!$AO$636-SUM('15 Year Pro Forma'!$E$66:VHD$66))</f>
        <v>0</v>
      </c>
      <c r="VHG66" s="956">
        <f>MIN(VHG60*$C$65,Application!$AO$636-SUM('15 Year Pro Forma'!$E$66:VHF$66))</f>
        <v>0</v>
      </c>
      <c r="VHI66" s="956">
        <f>MIN(VHI60*$C$65,Application!$AO$636-SUM('15 Year Pro Forma'!$E$66:VHH$66))</f>
        <v>0</v>
      </c>
      <c r="VHK66" s="956">
        <f>MIN(VHK60*$C$65,Application!$AO$636-SUM('15 Year Pro Forma'!$E$66:VHJ$66))</f>
        <v>0</v>
      </c>
      <c r="VHM66" s="956">
        <f>MIN(VHM60*$C$65,Application!$AO$636-SUM('15 Year Pro Forma'!$E$66:VHL$66))</f>
        <v>0</v>
      </c>
      <c r="VHO66" s="956">
        <f>MIN(VHO60*$C$65,Application!$AO$636-SUM('15 Year Pro Forma'!$E$66:VHN$66))</f>
        <v>0</v>
      </c>
      <c r="VHQ66" s="956">
        <f>MIN(VHQ60*$C$65,Application!$AO$636-SUM('15 Year Pro Forma'!$E$66:VHP$66))</f>
        <v>0</v>
      </c>
      <c r="VHS66" s="956">
        <f>MIN(VHS60*$C$65,Application!$AO$636-SUM('15 Year Pro Forma'!$E$66:VHR$66))</f>
        <v>0</v>
      </c>
      <c r="VHU66" s="956">
        <f>MIN(VHU60*$C$65,Application!$AO$636-SUM('15 Year Pro Forma'!$E$66:VHT$66))</f>
        <v>0</v>
      </c>
      <c r="VHW66" s="956">
        <f>MIN(VHW60*$C$65,Application!$AO$636-SUM('15 Year Pro Forma'!$E$66:VHV$66))</f>
        <v>0</v>
      </c>
      <c r="VHY66" s="956">
        <f>MIN(VHY60*$C$65,Application!$AO$636-SUM('15 Year Pro Forma'!$E$66:VHX$66))</f>
        <v>0</v>
      </c>
      <c r="VIA66" s="956">
        <f>MIN(VIA60*$C$65,Application!$AO$636-SUM('15 Year Pro Forma'!$E$66:VHZ$66))</f>
        <v>0</v>
      </c>
      <c r="VIC66" s="956">
        <f>MIN(VIC60*$C$65,Application!$AO$636-SUM('15 Year Pro Forma'!$E$66:VIB$66))</f>
        <v>0</v>
      </c>
      <c r="VIE66" s="956">
        <f>MIN(VIE60*$C$65,Application!$AO$636-SUM('15 Year Pro Forma'!$E$66:VID$66))</f>
        <v>0</v>
      </c>
      <c r="VIG66" s="956">
        <f>MIN(VIG60*$C$65,Application!$AO$636-SUM('15 Year Pro Forma'!$E$66:VIF$66))</f>
        <v>0</v>
      </c>
      <c r="VII66" s="956">
        <f>MIN(VII60*$C$65,Application!$AO$636-SUM('15 Year Pro Forma'!$E$66:VIH$66))</f>
        <v>0</v>
      </c>
      <c r="VIK66" s="956">
        <f>MIN(VIK60*$C$65,Application!$AO$636-SUM('15 Year Pro Forma'!$E$66:VIJ$66))</f>
        <v>0</v>
      </c>
      <c r="VIM66" s="956">
        <f>MIN(VIM60*$C$65,Application!$AO$636-SUM('15 Year Pro Forma'!$E$66:VIL$66))</f>
        <v>0</v>
      </c>
      <c r="VIO66" s="956">
        <f>MIN(VIO60*$C$65,Application!$AO$636-SUM('15 Year Pro Forma'!$E$66:VIN$66))</f>
        <v>0</v>
      </c>
      <c r="VIQ66" s="956">
        <f>MIN(VIQ60*$C$65,Application!$AO$636-SUM('15 Year Pro Forma'!$E$66:VIP$66))</f>
        <v>0</v>
      </c>
      <c r="VIS66" s="956">
        <f>MIN(VIS60*$C$65,Application!$AO$636-SUM('15 Year Pro Forma'!$E$66:VIR$66))</f>
        <v>0</v>
      </c>
      <c r="VIU66" s="956">
        <f>MIN(VIU60*$C$65,Application!$AO$636-SUM('15 Year Pro Forma'!$E$66:VIT$66))</f>
        <v>0</v>
      </c>
      <c r="VIW66" s="956">
        <f>MIN(VIW60*$C$65,Application!$AO$636-SUM('15 Year Pro Forma'!$E$66:VIV$66))</f>
        <v>0</v>
      </c>
      <c r="VIY66" s="956">
        <f>MIN(VIY60*$C$65,Application!$AO$636-SUM('15 Year Pro Forma'!$E$66:VIX$66))</f>
        <v>0</v>
      </c>
      <c r="VJA66" s="956">
        <f>MIN(VJA60*$C$65,Application!$AO$636-SUM('15 Year Pro Forma'!$E$66:VIZ$66))</f>
        <v>0</v>
      </c>
      <c r="VJC66" s="956">
        <f>MIN(VJC60*$C$65,Application!$AO$636-SUM('15 Year Pro Forma'!$E$66:VJB$66))</f>
        <v>0</v>
      </c>
      <c r="VJE66" s="956">
        <f>MIN(VJE60*$C$65,Application!$AO$636-SUM('15 Year Pro Forma'!$E$66:VJD$66))</f>
        <v>0</v>
      </c>
      <c r="VJG66" s="956">
        <f>MIN(VJG60*$C$65,Application!$AO$636-SUM('15 Year Pro Forma'!$E$66:VJF$66))</f>
        <v>0</v>
      </c>
      <c r="VJI66" s="956">
        <f>MIN(VJI60*$C$65,Application!$AO$636-SUM('15 Year Pro Forma'!$E$66:VJH$66))</f>
        <v>0</v>
      </c>
      <c r="VJK66" s="956">
        <f>MIN(VJK60*$C$65,Application!$AO$636-SUM('15 Year Pro Forma'!$E$66:VJJ$66))</f>
        <v>0</v>
      </c>
      <c r="VJM66" s="956">
        <f>MIN(VJM60*$C$65,Application!$AO$636-SUM('15 Year Pro Forma'!$E$66:VJL$66))</f>
        <v>0</v>
      </c>
      <c r="VJO66" s="956">
        <f>MIN(VJO60*$C$65,Application!$AO$636-SUM('15 Year Pro Forma'!$E$66:VJN$66))</f>
        <v>0</v>
      </c>
      <c r="VJQ66" s="956">
        <f>MIN(VJQ60*$C$65,Application!$AO$636-SUM('15 Year Pro Forma'!$E$66:VJP$66))</f>
        <v>0</v>
      </c>
      <c r="VJS66" s="956">
        <f>MIN(VJS60*$C$65,Application!$AO$636-SUM('15 Year Pro Forma'!$E$66:VJR$66))</f>
        <v>0</v>
      </c>
      <c r="VJU66" s="956">
        <f>MIN(VJU60*$C$65,Application!$AO$636-SUM('15 Year Pro Forma'!$E$66:VJT$66))</f>
        <v>0</v>
      </c>
      <c r="VJW66" s="956">
        <f>MIN(VJW60*$C$65,Application!$AO$636-SUM('15 Year Pro Forma'!$E$66:VJV$66))</f>
        <v>0</v>
      </c>
      <c r="VJY66" s="956">
        <f>MIN(VJY60*$C$65,Application!$AO$636-SUM('15 Year Pro Forma'!$E$66:VJX$66))</f>
        <v>0</v>
      </c>
      <c r="VKA66" s="956">
        <f>MIN(VKA60*$C$65,Application!$AO$636-SUM('15 Year Pro Forma'!$E$66:VJZ$66))</f>
        <v>0</v>
      </c>
      <c r="VKC66" s="956">
        <f>MIN(VKC60*$C$65,Application!$AO$636-SUM('15 Year Pro Forma'!$E$66:VKB$66))</f>
        <v>0</v>
      </c>
      <c r="VKE66" s="956">
        <f>MIN(VKE60*$C$65,Application!$AO$636-SUM('15 Year Pro Forma'!$E$66:VKD$66))</f>
        <v>0</v>
      </c>
      <c r="VKG66" s="956">
        <f>MIN(VKG60*$C$65,Application!$AO$636-SUM('15 Year Pro Forma'!$E$66:VKF$66))</f>
        <v>0</v>
      </c>
      <c r="VKI66" s="956">
        <f>MIN(VKI60*$C$65,Application!$AO$636-SUM('15 Year Pro Forma'!$E$66:VKH$66))</f>
        <v>0</v>
      </c>
      <c r="VKK66" s="956">
        <f>MIN(VKK60*$C$65,Application!$AO$636-SUM('15 Year Pro Forma'!$E$66:VKJ$66))</f>
        <v>0</v>
      </c>
      <c r="VKM66" s="956">
        <f>MIN(VKM60*$C$65,Application!$AO$636-SUM('15 Year Pro Forma'!$E$66:VKL$66))</f>
        <v>0</v>
      </c>
      <c r="VKO66" s="956">
        <f>MIN(VKO60*$C$65,Application!$AO$636-SUM('15 Year Pro Forma'!$E$66:VKN$66))</f>
        <v>0</v>
      </c>
      <c r="VKQ66" s="956">
        <f>MIN(VKQ60*$C$65,Application!$AO$636-SUM('15 Year Pro Forma'!$E$66:VKP$66))</f>
        <v>0</v>
      </c>
      <c r="VKS66" s="956">
        <f>MIN(VKS60*$C$65,Application!$AO$636-SUM('15 Year Pro Forma'!$E$66:VKR$66))</f>
        <v>0</v>
      </c>
      <c r="VKU66" s="956">
        <f>MIN(VKU60*$C$65,Application!$AO$636-SUM('15 Year Pro Forma'!$E$66:VKT$66))</f>
        <v>0</v>
      </c>
      <c r="VKW66" s="956">
        <f>MIN(VKW60*$C$65,Application!$AO$636-SUM('15 Year Pro Forma'!$E$66:VKV$66))</f>
        <v>0</v>
      </c>
      <c r="VKY66" s="956">
        <f>MIN(VKY60*$C$65,Application!$AO$636-SUM('15 Year Pro Forma'!$E$66:VKX$66))</f>
        <v>0</v>
      </c>
      <c r="VLA66" s="956">
        <f>MIN(VLA60*$C$65,Application!$AO$636-SUM('15 Year Pro Forma'!$E$66:VKZ$66))</f>
        <v>0</v>
      </c>
      <c r="VLC66" s="956">
        <f>MIN(VLC60*$C$65,Application!$AO$636-SUM('15 Year Pro Forma'!$E$66:VLB$66))</f>
        <v>0</v>
      </c>
      <c r="VLE66" s="956">
        <f>MIN(VLE60*$C$65,Application!$AO$636-SUM('15 Year Pro Forma'!$E$66:VLD$66))</f>
        <v>0</v>
      </c>
      <c r="VLG66" s="956">
        <f>MIN(VLG60*$C$65,Application!$AO$636-SUM('15 Year Pro Forma'!$E$66:VLF$66))</f>
        <v>0</v>
      </c>
      <c r="VLI66" s="956">
        <f>MIN(VLI60*$C$65,Application!$AO$636-SUM('15 Year Pro Forma'!$E$66:VLH$66))</f>
        <v>0</v>
      </c>
      <c r="VLK66" s="956">
        <f>MIN(VLK60*$C$65,Application!$AO$636-SUM('15 Year Pro Forma'!$E$66:VLJ$66))</f>
        <v>0</v>
      </c>
      <c r="VLM66" s="956">
        <f>MIN(VLM60*$C$65,Application!$AO$636-SUM('15 Year Pro Forma'!$E$66:VLL$66))</f>
        <v>0</v>
      </c>
      <c r="VLO66" s="956">
        <f>MIN(VLO60*$C$65,Application!$AO$636-SUM('15 Year Pro Forma'!$E$66:VLN$66))</f>
        <v>0</v>
      </c>
      <c r="VLQ66" s="956">
        <f>MIN(VLQ60*$C$65,Application!$AO$636-SUM('15 Year Pro Forma'!$E$66:VLP$66))</f>
        <v>0</v>
      </c>
      <c r="VLS66" s="956">
        <f>MIN(VLS60*$C$65,Application!$AO$636-SUM('15 Year Pro Forma'!$E$66:VLR$66))</f>
        <v>0</v>
      </c>
      <c r="VLU66" s="956">
        <f>MIN(VLU60*$C$65,Application!$AO$636-SUM('15 Year Pro Forma'!$E$66:VLT$66))</f>
        <v>0</v>
      </c>
      <c r="VLW66" s="956">
        <f>MIN(VLW60*$C$65,Application!$AO$636-SUM('15 Year Pro Forma'!$E$66:VLV$66))</f>
        <v>0</v>
      </c>
      <c r="VLY66" s="956">
        <f>MIN(VLY60*$C$65,Application!$AO$636-SUM('15 Year Pro Forma'!$E$66:VLX$66))</f>
        <v>0</v>
      </c>
      <c r="VMA66" s="956">
        <f>MIN(VMA60*$C$65,Application!$AO$636-SUM('15 Year Pro Forma'!$E$66:VLZ$66))</f>
        <v>0</v>
      </c>
      <c r="VMC66" s="956">
        <f>MIN(VMC60*$C$65,Application!$AO$636-SUM('15 Year Pro Forma'!$E$66:VMB$66))</f>
        <v>0</v>
      </c>
      <c r="VME66" s="956">
        <f>MIN(VME60*$C$65,Application!$AO$636-SUM('15 Year Pro Forma'!$E$66:VMD$66))</f>
        <v>0</v>
      </c>
      <c r="VMG66" s="956">
        <f>MIN(VMG60*$C$65,Application!$AO$636-SUM('15 Year Pro Forma'!$E$66:VMF$66))</f>
        <v>0</v>
      </c>
      <c r="VMI66" s="956">
        <f>MIN(VMI60*$C$65,Application!$AO$636-SUM('15 Year Pro Forma'!$E$66:VMH$66))</f>
        <v>0</v>
      </c>
      <c r="VMK66" s="956">
        <f>MIN(VMK60*$C$65,Application!$AO$636-SUM('15 Year Pro Forma'!$E$66:VMJ$66))</f>
        <v>0</v>
      </c>
      <c r="VMM66" s="956">
        <f>MIN(VMM60*$C$65,Application!$AO$636-SUM('15 Year Pro Forma'!$E$66:VML$66))</f>
        <v>0</v>
      </c>
      <c r="VMO66" s="956">
        <f>MIN(VMO60*$C$65,Application!$AO$636-SUM('15 Year Pro Forma'!$E$66:VMN$66))</f>
        <v>0</v>
      </c>
      <c r="VMQ66" s="956">
        <f>MIN(VMQ60*$C$65,Application!$AO$636-SUM('15 Year Pro Forma'!$E$66:VMP$66))</f>
        <v>0</v>
      </c>
      <c r="VMS66" s="956">
        <f>MIN(VMS60*$C$65,Application!$AO$636-SUM('15 Year Pro Forma'!$E$66:VMR$66))</f>
        <v>0</v>
      </c>
      <c r="VMU66" s="956">
        <f>MIN(VMU60*$C$65,Application!$AO$636-SUM('15 Year Pro Forma'!$E$66:VMT$66))</f>
        <v>0</v>
      </c>
      <c r="VMW66" s="956">
        <f>MIN(VMW60*$C$65,Application!$AO$636-SUM('15 Year Pro Forma'!$E$66:VMV$66))</f>
        <v>0</v>
      </c>
      <c r="VMY66" s="956">
        <f>MIN(VMY60*$C$65,Application!$AO$636-SUM('15 Year Pro Forma'!$E$66:VMX$66))</f>
        <v>0</v>
      </c>
      <c r="VNA66" s="956">
        <f>MIN(VNA60*$C$65,Application!$AO$636-SUM('15 Year Pro Forma'!$E$66:VMZ$66))</f>
        <v>0</v>
      </c>
      <c r="VNC66" s="956">
        <f>MIN(VNC60*$C$65,Application!$AO$636-SUM('15 Year Pro Forma'!$E$66:VNB$66))</f>
        <v>0</v>
      </c>
      <c r="VNE66" s="956">
        <f>MIN(VNE60*$C$65,Application!$AO$636-SUM('15 Year Pro Forma'!$E$66:VND$66))</f>
        <v>0</v>
      </c>
      <c r="VNG66" s="956">
        <f>MIN(VNG60*$C$65,Application!$AO$636-SUM('15 Year Pro Forma'!$E$66:VNF$66))</f>
        <v>0</v>
      </c>
      <c r="VNI66" s="956">
        <f>MIN(VNI60*$C$65,Application!$AO$636-SUM('15 Year Pro Forma'!$E$66:VNH$66))</f>
        <v>0</v>
      </c>
      <c r="VNK66" s="956">
        <f>MIN(VNK60*$C$65,Application!$AO$636-SUM('15 Year Pro Forma'!$E$66:VNJ$66))</f>
        <v>0</v>
      </c>
      <c r="VNM66" s="956">
        <f>MIN(VNM60*$C$65,Application!$AO$636-SUM('15 Year Pro Forma'!$E$66:VNL$66))</f>
        <v>0</v>
      </c>
      <c r="VNO66" s="956">
        <f>MIN(VNO60*$C$65,Application!$AO$636-SUM('15 Year Pro Forma'!$E$66:VNN$66))</f>
        <v>0</v>
      </c>
      <c r="VNQ66" s="956">
        <f>MIN(VNQ60*$C$65,Application!$AO$636-SUM('15 Year Pro Forma'!$E$66:VNP$66))</f>
        <v>0</v>
      </c>
      <c r="VNS66" s="956">
        <f>MIN(VNS60*$C$65,Application!$AO$636-SUM('15 Year Pro Forma'!$E$66:VNR$66))</f>
        <v>0</v>
      </c>
      <c r="VNU66" s="956">
        <f>MIN(VNU60*$C$65,Application!$AO$636-SUM('15 Year Pro Forma'!$E$66:VNT$66))</f>
        <v>0</v>
      </c>
      <c r="VNW66" s="956">
        <f>MIN(VNW60*$C$65,Application!$AO$636-SUM('15 Year Pro Forma'!$E$66:VNV$66))</f>
        <v>0</v>
      </c>
      <c r="VNY66" s="956">
        <f>MIN(VNY60*$C$65,Application!$AO$636-SUM('15 Year Pro Forma'!$E$66:VNX$66))</f>
        <v>0</v>
      </c>
      <c r="VOA66" s="956">
        <f>MIN(VOA60*$C$65,Application!$AO$636-SUM('15 Year Pro Forma'!$E$66:VNZ$66))</f>
        <v>0</v>
      </c>
      <c r="VOC66" s="956">
        <f>MIN(VOC60*$C$65,Application!$AO$636-SUM('15 Year Pro Forma'!$E$66:VOB$66))</f>
        <v>0</v>
      </c>
      <c r="VOE66" s="956">
        <f>MIN(VOE60*$C$65,Application!$AO$636-SUM('15 Year Pro Forma'!$E$66:VOD$66))</f>
        <v>0</v>
      </c>
      <c r="VOG66" s="956">
        <f>MIN(VOG60*$C$65,Application!$AO$636-SUM('15 Year Pro Forma'!$E$66:VOF$66))</f>
        <v>0</v>
      </c>
      <c r="VOI66" s="956">
        <f>MIN(VOI60*$C$65,Application!$AO$636-SUM('15 Year Pro Forma'!$E$66:VOH$66))</f>
        <v>0</v>
      </c>
      <c r="VOK66" s="956">
        <f>MIN(VOK60*$C$65,Application!$AO$636-SUM('15 Year Pro Forma'!$E$66:VOJ$66))</f>
        <v>0</v>
      </c>
      <c r="VOM66" s="956">
        <f>MIN(VOM60*$C$65,Application!$AO$636-SUM('15 Year Pro Forma'!$E$66:VOL$66))</f>
        <v>0</v>
      </c>
      <c r="VOO66" s="956">
        <f>MIN(VOO60*$C$65,Application!$AO$636-SUM('15 Year Pro Forma'!$E$66:VON$66))</f>
        <v>0</v>
      </c>
      <c r="VOQ66" s="956">
        <f>MIN(VOQ60*$C$65,Application!$AO$636-SUM('15 Year Pro Forma'!$E$66:VOP$66))</f>
        <v>0</v>
      </c>
      <c r="VOS66" s="956">
        <f>MIN(VOS60*$C$65,Application!$AO$636-SUM('15 Year Pro Forma'!$E$66:VOR$66))</f>
        <v>0</v>
      </c>
      <c r="VOU66" s="956">
        <f>MIN(VOU60*$C$65,Application!$AO$636-SUM('15 Year Pro Forma'!$E$66:VOT$66))</f>
        <v>0</v>
      </c>
      <c r="VOW66" s="956">
        <f>MIN(VOW60*$C$65,Application!$AO$636-SUM('15 Year Pro Forma'!$E$66:VOV$66))</f>
        <v>0</v>
      </c>
      <c r="VOY66" s="956">
        <f>MIN(VOY60*$C$65,Application!$AO$636-SUM('15 Year Pro Forma'!$E$66:VOX$66))</f>
        <v>0</v>
      </c>
      <c r="VPA66" s="956">
        <f>MIN(VPA60*$C$65,Application!$AO$636-SUM('15 Year Pro Forma'!$E$66:VOZ$66))</f>
        <v>0</v>
      </c>
      <c r="VPC66" s="956">
        <f>MIN(VPC60*$C$65,Application!$AO$636-SUM('15 Year Pro Forma'!$E$66:VPB$66))</f>
        <v>0</v>
      </c>
      <c r="VPE66" s="956">
        <f>MIN(VPE60*$C$65,Application!$AO$636-SUM('15 Year Pro Forma'!$E$66:VPD$66))</f>
        <v>0</v>
      </c>
      <c r="VPG66" s="956">
        <f>MIN(VPG60*$C$65,Application!$AO$636-SUM('15 Year Pro Forma'!$E$66:VPF$66))</f>
        <v>0</v>
      </c>
      <c r="VPI66" s="956">
        <f>MIN(VPI60*$C$65,Application!$AO$636-SUM('15 Year Pro Forma'!$E$66:VPH$66))</f>
        <v>0</v>
      </c>
      <c r="VPK66" s="956">
        <f>MIN(VPK60*$C$65,Application!$AO$636-SUM('15 Year Pro Forma'!$E$66:VPJ$66))</f>
        <v>0</v>
      </c>
      <c r="VPM66" s="956">
        <f>MIN(VPM60*$C$65,Application!$AO$636-SUM('15 Year Pro Forma'!$E$66:VPL$66))</f>
        <v>0</v>
      </c>
      <c r="VPO66" s="956">
        <f>MIN(VPO60*$C$65,Application!$AO$636-SUM('15 Year Pro Forma'!$E$66:VPN$66))</f>
        <v>0</v>
      </c>
      <c r="VPQ66" s="956">
        <f>MIN(VPQ60*$C$65,Application!$AO$636-SUM('15 Year Pro Forma'!$E$66:VPP$66))</f>
        <v>0</v>
      </c>
      <c r="VPS66" s="956">
        <f>MIN(VPS60*$C$65,Application!$AO$636-SUM('15 Year Pro Forma'!$E$66:VPR$66))</f>
        <v>0</v>
      </c>
      <c r="VPU66" s="956">
        <f>MIN(VPU60*$C$65,Application!$AO$636-SUM('15 Year Pro Forma'!$E$66:VPT$66))</f>
        <v>0</v>
      </c>
      <c r="VPW66" s="956">
        <f>MIN(VPW60*$C$65,Application!$AO$636-SUM('15 Year Pro Forma'!$E$66:VPV$66))</f>
        <v>0</v>
      </c>
      <c r="VPY66" s="956">
        <f>MIN(VPY60*$C$65,Application!$AO$636-SUM('15 Year Pro Forma'!$E$66:VPX$66))</f>
        <v>0</v>
      </c>
      <c r="VQA66" s="956">
        <f>MIN(VQA60*$C$65,Application!$AO$636-SUM('15 Year Pro Forma'!$E$66:VPZ$66))</f>
        <v>0</v>
      </c>
      <c r="VQC66" s="956">
        <f>MIN(VQC60*$C$65,Application!$AO$636-SUM('15 Year Pro Forma'!$E$66:VQB$66))</f>
        <v>0</v>
      </c>
      <c r="VQE66" s="956">
        <f>MIN(VQE60*$C$65,Application!$AO$636-SUM('15 Year Pro Forma'!$E$66:VQD$66))</f>
        <v>0</v>
      </c>
      <c r="VQG66" s="956">
        <f>MIN(VQG60*$C$65,Application!$AO$636-SUM('15 Year Pro Forma'!$E$66:VQF$66))</f>
        <v>0</v>
      </c>
      <c r="VQI66" s="956">
        <f>MIN(VQI60*$C$65,Application!$AO$636-SUM('15 Year Pro Forma'!$E$66:VQH$66))</f>
        <v>0</v>
      </c>
      <c r="VQK66" s="956">
        <f>MIN(VQK60*$C$65,Application!$AO$636-SUM('15 Year Pro Forma'!$E$66:VQJ$66))</f>
        <v>0</v>
      </c>
      <c r="VQM66" s="956">
        <f>MIN(VQM60*$C$65,Application!$AO$636-SUM('15 Year Pro Forma'!$E$66:VQL$66))</f>
        <v>0</v>
      </c>
      <c r="VQO66" s="956">
        <f>MIN(VQO60*$C$65,Application!$AO$636-SUM('15 Year Pro Forma'!$E$66:VQN$66))</f>
        <v>0</v>
      </c>
      <c r="VQQ66" s="956">
        <f>MIN(VQQ60*$C$65,Application!$AO$636-SUM('15 Year Pro Forma'!$E$66:VQP$66))</f>
        <v>0</v>
      </c>
      <c r="VQS66" s="956">
        <f>MIN(VQS60*$C$65,Application!$AO$636-SUM('15 Year Pro Forma'!$E$66:VQR$66))</f>
        <v>0</v>
      </c>
      <c r="VQU66" s="956">
        <f>MIN(VQU60*$C$65,Application!$AO$636-SUM('15 Year Pro Forma'!$E$66:VQT$66))</f>
        <v>0</v>
      </c>
      <c r="VQW66" s="956">
        <f>MIN(VQW60*$C$65,Application!$AO$636-SUM('15 Year Pro Forma'!$E$66:VQV$66))</f>
        <v>0</v>
      </c>
      <c r="VQY66" s="956">
        <f>MIN(VQY60*$C$65,Application!$AO$636-SUM('15 Year Pro Forma'!$E$66:VQX$66))</f>
        <v>0</v>
      </c>
      <c r="VRA66" s="956">
        <f>MIN(VRA60*$C$65,Application!$AO$636-SUM('15 Year Pro Forma'!$E$66:VQZ$66))</f>
        <v>0</v>
      </c>
      <c r="VRC66" s="956">
        <f>MIN(VRC60*$C$65,Application!$AO$636-SUM('15 Year Pro Forma'!$E$66:VRB$66))</f>
        <v>0</v>
      </c>
      <c r="VRE66" s="956">
        <f>MIN(VRE60*$C$65,Application!$AO$636-SUM('15 Year Pro Forma'!$E$66:VRD$66))</f>
        <v>0</v>
      </c>
      <c r="VRG66" s="956">
        <f>MIN(VRG60*$C$65,Application!$AO$636-SUM('15 Year Pro Forma'!$E$66:VRF$66))</f>
        <v>0</v>
      </c>
      <c r="VRI66" s="956">
        <f>MIN(VRI60*$C$65,Application!$AO$636-SUM('15 Year Pro Forma'!$E$66:VRH$66))</f>
        <v>0</v>
      </c>
      <c r="VRK66" s="956">
        <f>MIN(VRK60*$C$65,Application!$AO$636-SUM('15 Year Pro Forma'!$E$66:VRJ$66))</f>
        <v>0</v>
      </c>
      <c r="VRM66" s="956">
        <f>MIN(VRM60*$C$65,Application!$AO$636-SUM('15 Year Pro Forma'!$E$66:VRL$66))</f>
        <v>0</v>
      </c>
      <c r="VRO66" s="956">
        <f>MIN(VRO60*$C$65,Application!$AO$636-SUM('15 Year Pro Forma'!$E$66:VRN$66))</f>
        <v>0</v>
      </c>
      <c r="VRQ66" s="956">
        <f>MIN(VRQ60*$C$65,Application!$AO$636-SUM('15 Year Pro Forma'!$E$66:VRP$66))</f>
        <v>0</v>
      </c>
      <c r="VRS66" s="956">
        <f>MIN(VRS60*$C$65,Application!$AO$636-SUM('15 Year Pro Forma'!$E$66:VRR$66))</f>
        <v>0</v>
      </c>
      <c r="VRU66" s="956">
        <f>MIN(VRU60*$C$65,Application!$AO$636-SUM('15 Year Pro Forma'!$E$66:VRT$66))</f>
        <v>0</v>
      </c>
      <c r="VRW66" s="956">
        <f>MIN(VRW60*$C$65,Application!$AO$636-SUM('15 Year Pro Forma'!$E$66:VRV$66))</f>
        <v>0</v>
      </c>
      <c r="VRY66" s="956">
        <f>MIN(VRY60*$C$65,Application!$AO$636-SUM('15 Year Pro Forma'!$E$66:VRX$66))</f>
        <v>0</v>
      </c>
      <c r="VSA66" s="956">
        <f>MIN(VSA60*$C$65,Application!$AO$636-SUM('15 Year Pro Forma'!$E$66:VRZ$66))</f>
        <v>0</v>
      </c>
      <c r="VSC66" s="956">
        <f>MIN(VSC60*$C$65,Application!$AO$636-SUM('15 Year Pro Forma'!$E$66:VSB$66))</f>
        <v>0</v>
      </c>
      <c r="VSE66" s="956">
        <f>MIN(VSE60*$C$65,Application!$AO$636-SUM('15 Year Pro Forma'!$E$66:VSD$66))</f>
        <v>0</v>
      </c>
      <c r="VSG66" s="956">
        <f>MIN(VSG60*$C$65,Application!$AO$636-SUM('15 Year Pro Forma'!$E$66:VSF$66))</f>
        <v>0</v>
      </c>
      <c r="VSI66" s="956">
        <f>MIN(VSI60*$C$65,Application!$AO$636-SUM('15 Year Pro Forma'!$E$66:VSH$66))</f>
        <v>0</v>
      </c>
      <c r="VSK66" s="956">
        <f>MIN(VSK60*$C$65,Application!$AO$636-SUM('15 Year Pro Forma'!$E$66:VSJ$66))</f>
        <v>0</v>
      </c>
      <c r="VSM66" s="956">
        <f>MIN(VSM60*$C$65,Application!$AO$636-SUM('15 Year Pro Forma'!$E$66:VSL$66))</f>
        <v>0</v>
      </c>
      <c r="VSO66" s="956">
        <f>MIN(VSO60*$C$65,Application!$AO$636-SUM('15 Year Pro Forma'!$E$66:VSN$66))</f>
        <v>0</v>
      </c>
      <c r="VSQ66" s="956">
        <f>MIN(VSQ60*$C$65,Application!$AO$636-SUM('15 Year Pro Forma'!$E$66:VSP$66))</f>
        <v>0</v>
      </c>
      <c r="VSS66" s="956">
        <f>MIN(VSS60*$C$65,Application!$AO$636-SUM('15 Year Pro Forma'!$E$66:VSR$66))</f>
        <v>0</v>
      </c>
      <c r="VSU66" s="956">
        <f>MIN(VSU60*$C$65,Application!$AO$636-SUM('15 Year Pro Forma'!$E$66:VST$66))</f>
        <v>0</v>
      </c>
      <c r="VSW66" s="956">
        <f>MIN(VSW60*$C$65,Application!$AO$636-SUM('15 Year Pro Forma'!$E$66:VSV$66))</f>
        <v>0</v>
      </c>
      <c r="VSY66" s="956">
        <f>MIN(VSY60*$C$65,Application!$AO$636-SUM('15 Year Pro Forma'!$E$66:VSX$66))</f>
        <v>0</v>
      </c>
      <c r="VTA66" s="956">
        <f>MIN(VTA60*$C$65,Application!$AO$636-SUM('15 Year Pro Forma'!$E$66:VSZ$66))</f>
        <v>0</v>
      </c>
      <c r="VTC66" s="956">
        <f>MIN(VTC60*$C$65,Application!$AO$636-SUM('15 Year Pro Forma'!$E$66:VTB$66))</f>
        <v>0</v>
      </c>
      <c r="VTE66" s="956">
        <f>MIN(VTE60*$C$65,Application!$AO$636-SUM('15 Year Pro Forma'!$E$66:VTD$66))</f>
        <v>0</v>
      </c>
      <c r="VTG66" s="956">
        <f>MIN(VTG60*$C$65,Application!$AO$636-SUM('15 Year Pro Forma'!$E$66:VTF$66))</f>
        <v>0</v>
      </c>
      <c r="VTI66" s="956">
        <f>MIN(VTI60*$C$65,Application!$AO$636-SUM('15 Year Pro Forma'!$E$66:VTH$66))</f>
        <v>0</v>
      </c>
      <c r="VTK66" s="956">
        <f>MIN(VTK60*$C$65,Application!$AO$636-SUM('15 Year Pro Forma'!$E$66:VTJ$66))</f>
        <v>0</v>
      </c>
      <c r="VTM66" s="956">
        <f>MIN(VTM60*$C$65,Application!$AO$636-SUM('15 Year Pro Forma'!$E$66:VTL$66))</f>
        <v>0</v>
      </c>
      <c r="VTO66" s="956">
        <f>MIN(VTO60*$C$65,Application!$AO$636-SUM('15 Year Pro Forma'!$E$66:VTN$66))</f>
        <v>0</v>
      </c>
      <c r="VTQ66" s="956">
        <f>MIN(VTQ60*$C$65,Application!$AO$636-SUM('15 Year Pro Forma'!$E$66:VTP$66))</f>
        <v>0</v>
      </c>
      <c r="VTS66" s="956">
        <f>MIN(VTS60*$C$65,Application!$AO$636-SUM('15 Year Pro Forma'!$E$66:VTR$66))</f>
        <v>0</v>
      </c>
      <c r="VTU66" s="956">
        <f>MIN(VTU60*$C$65,Application!$AO$636-SUM('15 Year Pro Forma'!$E$66:VTT$66))</f>
        <v>0</v>
      </c>
      <c r="VTW66" s="956">
        <f>MIN(VTW60*$C$65,Application!$AO$636-SUM('15 Year Pro Forma'!$E$66:VTV$66))</f>
        <v>0</v>
      </c>
      <c r="VTY66" s="956">
        <f>MIN(VTY60*$C$65,Application!$AO$636-SUM('15 Year Pro Forma'!$E$66:VTX$66))</f>
        <v>0</v>
      </c>
      <c r="VUA66" s="956">
        <f>MIN(VUA60*$C$65,Application!$AO$636-SUM('15 Year Pro Forma'!$E$66:VTZ$66))</f>
        <v>0</v>
      </c>
      <c r="VUC66" s="956">
        <f>MIN(VUC60*$C$65,Application!$AO$636-SUM('15 Year Pro Forma'!$E$66:VUB$66))</f>
        <v>0</v>
      </c>
      <c r="VUE66" s="956">
        <f>MIN(VUE60*$C$65,Application!$AO$636-SUM('15 Year Pro Forma'!$E$66:VUD$66))</f>
        <v>0</v>
      </c>
      <c r="VUG66" s="956">
        <f>MIN(VUG60*$C$65,Application!$AO$636-SUM('15 Year Pro Forma'!$E$66:VUF$66))</f>
        <v>0</v>
      </c>
      <c r="VUI66" s="956">
        <f>MIN(VUI60*$C$65,Application!$AO$636-SUM('15 Year Pro Forma'!$E$66:VUH$66))</f>
        <v>0</v>
      </c>
      <c r="VUK66" s="956">
        <f>MIN(VUK60*$C$65,Application!$AO$636-SUM('15 Year Pro Forma'!$E$66:VUJ$66))</f>
        <v>0</v>
      </c>
      <c r="VUM66" s="956">
        <f>MIN(VUM60*$C$65,Application!$AO$636-SUM('15 Year Pro Forma'!$E$66:VUL$66))</f>
        <v>0</v>
      </c>
      <c r="VUO66" s="956">
        <f>MIN(VUO60*$C$65,Application!$AO$636-SUM('15 Year Pro Forma'!$E$66:VUN$66))</f>
        <v>0</v>
      </c>
      <c r="VUQ66" s="956">
        <f>MIN(VUQ60*$C$65,Application!$AO$636-SUM('15 Year Pro Forma'!$E$66:VUP$66))</f>
        <v>0</v>
      </c>
      <c r="VUS66" s="956">
        <f>MIN(VUS60*$C$65,Application!$AO$636-SUM('15 Year Pro Forma'!$E$66:VUR$66))</f>
        <v>0</v>
      </c>
      <c r="VUU66" s="956">
        <f>MIN(VUU60*$C$65,Application!$AO$636-SUM('15 Year Pro Forma'!$E$66:VUT$66))</f>
        <v>0</v>
      </c>
      <c r="VUW66" s="956">
        <f>MIN(VUW60*$C$65,Application!$AO$636-SUM('15 Year Pro Forma'!$E$66:VUV$66))</f>
        <v>0</v>
      </c>
      <c r="VUY66" s="956">
        <f>MIN(VUY60*$C$65,Application!$AO$636-SUM('15 Year Pro Forma'!$E$66:VUX$66))</f>
        <v>0</v>
      </c>
      <c r="VVA66" s="956">
        <f>MIN(VVA60*$C$65,Application!$AO$636-SUM('15 Year Pro Forma'!$E$66:VUZ$66))</f>
        <v>0</v>
      </c>
      <c r="VVC66" s="956">
        <f>MIN(VVC60*$C$65,Application!$AO$636-SUM('15 Year Pro Forma'!$E$66:VVB$66))</f>
        <v>0</v>
      </c>
      <c r="VVE66" s="956">
        <f>MIN(VVE60*$C$65,Application!$AO$636-SUM('15 Year Pro Forma'!$E$66:VVD$66))</f>
        <v>0</v>
      </c>
      <c r="VVG66" s="956">
        <f>MIN(VVG60*$C$65,Application!$AO$636-SUM('15 Year Pro Forma'!$E$66:VVF$66))</f>
        <v>0</v>
      </c>
      <c r="VVI66" s="956">
        <f>MIN(VVI60*$C$65,Application!$AO$636-SUM('15 Year Pro Forma'!$E$66:VVH$66))</f>
        <v>0</v>
      </c>
      <c r="VVK66" s="956">
        <f>MIN(VVK60*$C$65,Application!$AO$636-SUM('15 Year Pro Forma'!$E$66:VVJ$66))</f>
        <v>0</v>
      </c>
      <c r="VVM66" s="956">
        <f>MIN(VVM60*$C$65,Application!$AO$636-SUM('15 Year Pro Forma'!$E$66:VVL$66))</f>
        <v>0</v>
      </c>
      <c r="VVO66" s="956">
        <f>MIN(VVO60*$C$65,Application!$AO$636-SUM('15 Year Pro Forma'!$E$66:VVN$66))</f>
        <v>0</v>
      </c>
      <c r="VVQ66" s="956">
        <f>MIN(VVQ60*$C$65,Application!$AO$636-SUM('15 Year Pro Forma'!$E$66:VVP$66))</f>
        <v>0</v>
      </c>
      <c r="VVS66" s="956">
        <f>MIN(VVS60*$C$65,Application!$AO$636-SUM('15 Year Pro Forma'!$E$66:VVR$66))</f>
        <v>0</v>
      </c>
      <c r="VVU66" s="956">
        <f>MIN(VVU60*$C$65,Application!$AO$636-SUM('15 Year Pro Forma'!$E$66:VVT$66))</f>
        <v>0</v>
      </c>
      <c r="VVW66" s="956">
        <f>MIN(VVW60*$C$65,Application!$AO$636-SUM('15 Year Pro Forma'!$E$66:VVV$66))</f>
        <v>0</v>
      </c>
      <c r="VVY66" s="956">
        <f>MIN(VVY60*$C$65,Application!$AO$636-SUM('15 Year Pro Forma'!$E$66:VVX$66))</f>
        <v>0</v>
      </c>
      <c r="VWA66" s="956">
        <f>MIN(VWA60*$C$65,Application!$AO$636-SUM('15 Year Pro Forma'!$E$66:VVZ$66))</f>
        <v>0</v>
      </c>
      <c r="VWC66" s="956">
        <f>MIN(VWC60*$C$65,Application!$AO$636-SUM('15 Year Pro Forma'!$E$66:VWB$66))</f>
        <v>0</v>
      </c>
      <c r="VWE66" s="956">
        <f>MIN(VWE60*$C$65,Application!$AO$636-SUM('15 Year Pro Forma'!$E$66:VWD$66))</f>
        <v>0</v>
      </c>
      <c r="VWG66" s="956">
        <f>MIN(VWG60*$C$65,Application!$AO$636-SUM('15 Year Pro Forma'!$E$66:VWF$66))</f>
        <v>0</v>
      </c>
      <c r="VWI66" s="956">
        <f>MIN(VWI60*$C$65,Application!$AO$636-SUM('15 Year Pro Forma'!$E$66:VWH$66))</f>
        <v>0</v>
      </c>
      <c r="VWK66" s="956">
        <f>MIN(VWK60*$C$65,Application!$AO$636-SUM('15 Year Pro Forma'!$E$66:VWJ$66))</f>
        <v>0</v>
      </c>
      <c r="VWM66" s="956">
        <f>MIN(VWM60*$C$65,Application!$AO$636-SUM('15 Year Pro Forma'!$E$66:VWL$66))</f>
        <v>0</v>
      </c>
      <c r="VWO66" s="956">
        <f>MIN(VWO60*$C$65,Application!$AO$636-SUM('15 Year Pro Forma'!$E$66:VWN$66))</f>
        <v>0</v>
      </c>
      <c r="VWQ66" s="956">
        <f>MIN(VWQ60*$C$65,Application!$AO$636-SUM('15 Year Pro Forma'!$E$66:VWP$66))</f>
        <v>0</v>
      </c>
      <c r="VWS66" s="956">
        <f>MIN(VWS60*$C$65,Application!$AO$636-SUM('15 Year Pro Forma'!$E$66:VWR$66))</f>
        <v>0</v>
      </c>
      <c r="VWU66" s="956">
        <f>MIN(VWU60*$C$65,Application!$AO$636-SUM('15 Year Pro Forma'!$E$66:VWT$66))</f>
        <v>0</v>
      </c>
      <c r="VWW66" s="956">
        <f>MIN(VWW60*$C$65,Application!$AO$636-SUM('15 Year Pro Forma'!$E$66:VWV$66))</f>
        <v>0</v>
      </c>
      <c r="VWY66" s="956">
        <f>MIN(VWY60*$C$65,Application!$AO$636-SUM('15 Year Pro Forma'!$E$66:VWX$66))</f>
        <v>0</v>
      </c>
      <c r="VXA66" s="956">
        <f>MIN(VXA60*$C$65,Application!$AO$636-SUM('15 Year Pro Forma'!$E$66:VWZ$66))</f>
        <v>0</v>
      </c>
      <c r="VXC66" s="956">
        <f>MIN(VXC60*$C$65,Application!$AO$636-SUM('15 Year Pro Forma'!$E$66:VXB$66))</f>
        <v>0</v>
      </c>
      <c r="VXE66" s="956">
        <f>MIN(VXE60*$C$65,Application!$AO$636-SUM('15 Year Pro Forma'!$E$66:VXD$66))</f>
        <v>0</v>
      </c>
      <c r="VXG66" s="956">
        <f>MIN(VXG60*$C$65,Application!$AO$636-SUM('15 Year Pro Forma'!$E$66:VXF$66))</f>
        <v>0</v>
      </c>
      <c r="VXI66" s="956">
        <f>MIN(VXI60*$C$65,Application!$AO$636-SUM('15 Year Pro Forma'!$E$66:VXH$66))</f>
        <v>0</v>
      </c>
      <c r="VXK66" s="956">
        <f>MIN(VXK60*$C$65,Application!$AO$636-SUM('15 Year Pro Forma'!$E$66:VXJ$66))</f>
        <v>0</v>
      </c>
      <c r="VXM66" s="956">
        <f>MIN(VXM60*$C$65,Application!$AO$636-SUM('15 Year Pro Forma'!$E$66:VXL$66))</f>
        <v>0</v>
      </c>
      <c r="VXO66" s="956">
        <f>MIN(VXO60*$C$65,Application!$AO$636-SUM('15 Year Pro Forma'!$E$66:VXN$66))</f>
        <v>0</v>
      </c>
      <c r="VXQ66" s="956">
        <f>MIN(VXQ60*$C$65,Application!$AO$636-SUM('15 Year Pro Forma'!$E$66:VXP$66))</f>
        <v>0</v>
      </c>
      <c r="VXS66" s="956">
        <f>MIN(VXS60*$C$65,Application!$AO$636-SUM('15 Year Pro Forma'!$E$66:VXR$66))</f>
        <v>0</v>
      </c>
      <c r="VXU66" s="956">
        <f>MIN(VXU60*$C$65,Application!$AO$636-SUM('15 Year Pro Forma'!$E$66:VXT$66))</f>
        <v>0</v>
      </c>
      <c r="VXW66" s="956">
        <f>MIN(VXW60*$C$65,Application!$AO$636-SUM('15 Year Pro Forma'!$E$66:VXV$66))</f>
        <v>0</v>
      </c>
      <c r="VXY66" s="956">
        <f>MIN(VXY60*$C$65,Application!$AO$636-SUM('15 Year Pro Forma'!$E$66:VXX$66))</f>
        <v>0</v>
      </c>
      <c r="VYA66" s="956">
        <f>MIN(VYA60*$C$65,Application!$AO$636-SUM('15 Year Pro Forma'!$E$66:VXZ$66))</f>
        <v>0</v>
      </c>
      <c r="VYC66" s="956">
        <f>MIN(VYC60*$C$65,Application!$AO$636-SUM('15 Year Pro Forma'!$E$66:VYB$66))</f>
        <v>0</v>
      </c>
      <c r="VYE66" s="956">
        <f>MIN(VYE60*$C$65,Application!$AO$636-SUM('15 Year Pro Forma'!$E$66:VYD$66))</f>
        <v>0</v>
      </c>
      <c r="VYG66" s="956">
        <f>MIN(VYG60*$C$65,Application!$AO$636-SUM('15 Year Pro Forma'!$E$66:VYF$66))</f>
        <v>0</v>
      </c>
      <c r="VYI66" s="956">
        <f>MIN(VYI60*$C$65,Application!$AO$636-SUM('15 Year Pro Forma'!$E$66:VYH$66))</f>
        <v>0</v>
      </c>
      <c r="VYK66" s="956">
        <f>MIN(VYK60*$C$65,Application!$AO$636-SUM('15 Year Pro Forma'!$E$66:VYJ$66))</f>
        <v>0</v>
      </c>
      <c r="VYM66" s="956">
        <f>MIN(VYM60*$C$65,Application!$AO$636-SUM('15 Year Pro Forma'!$E$66:VYL$66))</f>
        <v>0</v>
      </c>
      <c r="VYO66" s="956">
        <f>MIN(VYO60*$C$65,Application!$AO$636-SUM('15 Year Pro Forma'!$E$66:VYN$66))</f>
        <v>0</v>
      </c>
      <c r="VYQ66" s="956">
        <f>MIN(VYQ60*$C$65,Application!$AO$636-SUM('15 Year Pro Forma'!$E$66:VYP$66))</f>
        <v>0</v>
      </c>
      <c r="VYS66" s="956">
        <f>MIN(VYS60*$C$65,Application!$AO$636-SUM('15 Year Pro Forma'!$E$66:VYR$66))</f>
        <v>0</v>
      </c>
      <c r="VYU66" s="956">
        <f>MIN(VYU60*$C$65,Application!$AO$636-SUM('15 Year Pro Forma'!$E$66:VYT$66))</f>
        <v>0</v>
      </c>
      <c r="VYW66" s="956">
        <f>MIN(VYW60*$C$65,Application!$AO$636-SUM('15 Year Pro Forma'!$E$66:VYV$66))</f>
        <v>0</v>
      </c>
      <c r="VYY66" s="956">
        <f>MIN(VYY60*$C$65,Application!$AO$636-SUM('15 Year Pro Forma'!$E$66:VYX$66))</f>
        <v>0</v>
      </c>
      <c r="VZA66" s="956">
        <f>MIN(VZA60*$C$65,Application!$AO$636-SUM('15 Year Pro Forma'!$E$66:VYZ$66))</f>
        <v>0</v>
      </c>
      <c r="VZC66" s="956">
        <f>MIN(VZC60*$C$65,Application!$AO$636-SUM('15 Year Pro Forma'!$E$66:VZB$66))</f>
        <v>0</v>
      </c>
      <c r="VZE66" s="956">
        <f>MIN(VZE60*$C$65,Application!$AO$636-SUM('15 Year Pro Forma'!$E$66:VZD$66))</f>
        <v>0</v>
      </c>
      <c r="VZG66" s="956">
        <f>MIN(VZG60*$C$65,Application!$AO$636-SUM('15 Year Pro Forma'!$E$66:VZF$66))</f>
        <v>0</v>
      </c>
      <c r="VZI66" s="956">
        <f>MIN(VZI60*$C$65,Application!$AO$636-SUM('15 Year Pro Forma'!$E$66:VZH$66))</f>
        <v>0</v>
      </c>
      <c r="VZK66" s="956">
        <f>MIN(VZK60*$C$65,Application!$AO$636-SUM('15 Year Pro Forma'!$E$66:VZJ$66))</f>
        <v>0</v>
      </c>
      <c r="VZM66" s="956">
        <f>MIN(VZM60*$C$65,Application!$AO$636-SUM('15 Year Pro Forma'!$E$66:VZL$66))</f>
        <v>0</v>
      </c>
      <c r="VZO66" s="956">
        <f>MIN(VZO60*$C$65,Application!$AO$636-SUM('15 Year Pro Forma'!$E$66:VZN$66))</f>
        <v>0</v>
      </c>
      <c r="VZQ66" s="956">
        <f>MIN(VZQ60*$C$65,Application!$AO$636-SUM('15 Year Pro Forma'!$E$66:VZP$66))</f>
        <v>0</v>
      </c>
      <c r="VZS66" s="956">
        <f>MIN(VZS60*$C$65,Application!$AO$636-SUM('15 Year Pro Forma'!$E$66:VZR$66))</f>
        <v>0</v>
      </c>
      <c r="VZU66" s="956">
        <f>MIN(VZU60*$C$65,Application!$AO$636-SUM('15 Year Pro Forma'!$E$66:VZT$66))</f>
        <v>0</v>
      </c>
      <c r="VZW66" s="956">
        <f>MIN(VZW60*$C$65,Application!$AO$636-SUM('15 Year Pro Forma'!$E$66:VZV$66))</f>
        <v>0</v>
      </c>
      <c r="VZY66" s="956">
        <f>MIN(VZY60*$C$65,Application!$AO$636-SUM('15 Year Pro Forma'!$E$66:VZX$66))</f>
        <v>0</v>
      </c>
      <c r="WAA66" s="956">
        <f>MIN(WAA60*$C$65,Application!$AO$636-SUM('15 Year Pro Forma'!$E$66:VZZ$66))</f>
        <v>0</v>
      </c>
      <c r="WAC66" s="956">
        <f>MIN(WAC60*$C$65,Application!$AO$636-SUM('15 Year Pro Forma'!$E$66:WAB$66))</f>
        <v>0</v>
      </c>
      <c r="WAE66" s="956">
        <f>MIN(WAE60*$C$65,Application!$AO$636-SUM('15 Year Pro Forma'!$E$66:WAD$66))</f>
        <v>0</v>
      </c>
      <c r="WAG66" s="956">
        <f>MIN(WAG60*$C$65,Application!$AO$636-SUM('15 Year Pro Forma'!$E$66:WAF$66))</f>
        <v>0</v>
      </c>
      <c r="WAI66" s="956">
        <f>MIN(WAI60*$C$65,Application!$AO$636-SUM('15 Year Pro Forma'!$E$66:WAH$66))</f>
        <v>0</v>
      </c>
      <c r="WAK66" s="956">
        <f>MIN(WAK60*$C$65,Application!$AO$636-SUM('15 Year Pro Forma'!$E$66:WAJ$66))</f>
        <v>0</v>
      </c>
      <c r="WAM66" s="956">
        <f>MIN(WAM60*$C$65,Application!$AO$636-SUM('15 Year Pro Forma'!$E$66:WAL$66))</f>
        <v>0</v>
      </c>
      <c r="WAO66" s="956">
        <f>MIN(WAO60*$C$65,Application!$AO$636-SUM('15 Year Pro Forma'!$E$66:WAN$66))</f>
        <v>0</v>
      </c>
      <c r="WAQ66" s="956">
        <f>MIN(WAQ60*$C$65,Application!$AO$636-SUM('15 Year Pro Forma'!$E$66:WAP$66))</f>
        <v>0</v>
      </c>
      <c r="WAS66" s="956">
        <f>MIN(WAS60*$C$65,Application!$AO$636-SUM('15 Year Pro Forma'!$E$66:WAR$66))</f>
        <v>0</v>
      </c>
      <c r="WAU66" s="956">
        <f>MIN(WAU60*$C$65,Application!$AO$636-SUM('15 Year Pro Forma'!$E$66:WAT$66))</f>
        <v>0</v>
      </c>
      <c r="WAW66" s="956">
        <f>MIN(WAW60*$C$65,Application!$AO$636-SUM('15 Year Pro Forma'!$E$66:WAV$66))</f>
        <v>0</v>
      </c>
      <c r="WAY66" s="956">
        <f>MIN(WAY60*$C$65,Application!$AO$636-SUM('15 Year Pro Forma'!$E$66:WAX$66))</f>
        <v>0</v>
      </c>
      <c r="WBA66" s="956">
        <f>MIN(WBA60*$C$65,Application!$AO$636-SUM('15 Year Pro Forma'!$E$66:WAZ$66))</f>
        <v>0</v>
      </c>
      <c r="WBC66" s="956">
        <f>MIN(WBC60*$C$65,Application!$AO$636-SUM('15 Year Pro Forma'!$E$66:WBB$66))</f>
        <v>0</v>
      </c>
      <c r="WBE66" s="956">
        <f>MIN(WBE60*$C$65,Application!$AO$636-SUM('15 Year Pro Forma'!$E$66:WBD$66))</f>
        <v>0</v>
      </c>
      <c r="WBG66" s="956">
        <f>MIN(WBG60*$C$65,Application!$AO$636-SUM('15 Year Pro Forma'!$E$66:WBF$66))</f>
        <v>0</v>
      </c>
      <c r="WBI66" s="956">
        <f>MIN(WBI60*$C$65,Application!$AO$636-SUM('15 Year Pro Forma'!$E$66:WBH$66))</f>
        <v>0</v>
      </c>
      <c r="WBK66" s="956">
        <f>MIN(WBK60*$C$65,Application!$AO$636-SUM('15 Year Pro Forma'!$E$66:WBJ$66))</f>
        <v>0</v>
      </c>
      <c r="WBM66" s="956">
        <f>MIN(WBM60*$C$65,Application!$AO$636-SUM('15 Year Pro Forma'!$E$66:WBL$66))</f>
        <v>0</v>
      </c>
      <c r="WBO66" s="956">
        <f>MIN(WBO60*$C$65,Application!$AO$636-SUM('15 Year Pro Forma'!$E$66:WBN$66))</f>
        <v>0</v>
      </c>
      <c r="WBQ66" s="956">
        <f>MIN(WBQ60*$C$65,Application!$AO$636-SUM('15 Year Pro Forma'!$E$66:WBP$66))</f>
        <v>0</v>
      </c>
      <c r="WBS66" s="956">
        <f>MIN(WBS60*$C$65,Application!$AO$636-SUM('15 Year Pro Forma'!$E$66:WBR$66))</f>
        <v>0</v>
      </c>
      <c r="WBU66" s="956">
        <f>MIN(WBU60*$C$65,Application!$AO$636-SUM('15 Year Pro Forma'!$E$66:WBT$66))</f>
        <v>0</v>
      </c>
      <c r="WBW66" s="956">
        <f>MIN(WBW60*$C$65,Application!$AO$636-SUM('15 Year Pro Forma'!$E$66:WBV$66))</f>
        <v>0</v>
      </c>
      <c r="WBY66" s="956">
        <f>MIN(WBY60*$C$65,Application!$AO$636-SUM('15 Year Pro Forma'!$E$66:WBX$66))</f>
        <v>0</v>
      </c>
      <c r="WCA66" s="956">
        <f>MIN(WCA60*$C$65,Application!$AO$636-SUM('15 Year Pro Forma'!$E$66:WBZ$66))</f>
        <v>0</v>
      </c>
      <c r="WCC66" s="956">
        <f>MIN(WCC60*$C$65,Application!$AO$636-SUM('15 Year Pro Forma'!$E$66:WCB$66))</f>
        <v>0</v>
      </c>
      <c r="WCE66" s="956">
        <f>MIN(WCE60*$C$65,Application!$AO$636-SUM('15 Year Pro Forma'!$E$66:WCD$66))</f>
        <v>0</v>
      </c>
      <c r="WCG66" s="956">
        <f>MIN(WCG60*$C$65,Application!$AO$636-SUM('15 Year Pro Forma'!$E$66:WCF$66))</f>
        <v>0</v>
      </c>
      <c r="WCI66" s="956">
        <f>MIN(WCI60*$C$65,Application!$AO$636-SUM('15 Year Pro Forma'!$E$66:WCH$66))</f>
        <v>0</v>
      </c>
      <c r="WCK66" s="956">
        <f>MIN(WCK60*$C$65,Application!$AO$636-SUM('15 Year Pro Forma'!$E$66:WCJ$66))</f>
        <v>0</v>
      </c>
      <c r="WCM66" s="956">
        <f>MIN(WCM60*$C$65,Application!$AO$636-SUM('15 Year Pro Forma'!$E$66:WCL$66))</f>
        <v>0</v>
      </c>
      <c r="WCO66" s="956">
        <f>MIN(WCO60*$C$65,Application!$AO$636-SUM('15 Year Pro Forma'!$E$66:WCN$66))</f>
        <v>0</v>
      </c>
      <c r="WCQ66" s="956">
        <f>MIN(WCQ60*$C$65,Application!$AO$636-SUM('15 Year Pro Forma'!$E$66:WCP$66))</f>
        <v>0</v>
      </c>
      <c r="WCS66" s="956">
        <f>MIN(WCS60*$C$65,Application!$AO$636-SUM('15 Year Pro Forma'!$E$66:WCR$66))</f>
        <v>0</v>
      </c>
      <c r="WCU66" s="956">
        <f>MIN(WCU60*$C$65,Application!$AO$636-SUM('15 Year Pro Forma'!$E$66:WCT$66))</f>
        <v>0</v>
      </c>
      <c r="WCW66" s="956">
        <f>MIN(WCW60*$C$65,Application!$AO$636-SUM('15 Year Pro Forma'!$E$66:WCV$66))</f>
        <v>0</v>
      </c>
      <c r="WCY66" s="956">
        <f>MIN(WCY60*$C$65,Application!$AO$636-SUM('15 Year Pro Forma'!$E$66:WCX$66))</f>
        <v>0</v>
      </c>
      <c r="WDA66" s="956">
        <f>MIN(WDA60*$C$65,Application!$AO$636-SUM('15 Year Pro Forma'!$E$66:WCZ$66))</f>
        <v>0</v>
      </c>
      <c r="WDC66" s="956">
        <f>MIN(WDC60*$C$65,Application!$AO$636-SUM('15 Year Pro Forma'!$E$66:WDB$66))</f>
        <v>0</v>
      </c>
      <c r="WDE66" s="956">
        <f>MIN(WDE60*$C$65,Application!$AO$636-SUM('15 Year Pro Forma'!$E$66:WDD$66))</f>
        <v>0</v>
      </c>
      <c r="WDG66" s="956">
        <f>MIN(WDG60*$C$65,Application!$AO$636-SUM('15 Year Pro Forma'!$E$66:WDF$66))</f>
        <v>0</v>
      </c>
      <c r="WDI66" s="956">
        <f>MIN(WDI60*$C$65,Application!$AO$636-SUM('15 Year Pro Forma'!$E$66:WDH$66))</f>
        <v>0</v>
      </c>
      <c r="WDK66" s="956">
        <f>MIN(WDK60*$C$65,Application!$AO$636-SUM('15 Year Pro Forma'!$E$66:WDJ$66))</f>
        <v>0</v>
      </c>
      <c r="WDM66" s="956">
        <f>MIN(WDM60*$C$65,Application!$AO$636-SUM('15 Year Pro Forma'!$E$66:WDL$66))</f>
        <v>0</v>
      </c>
      <c r="WDO66" s="956">
        <f>MIN(WDO60*$C$65,Application!$AO$636-SUM('15 Year Pro Forma'!$E$66:WDN$66))</f>
        <v>0</v>
      </c>
      <c r="WDQ66" s="956">
        <f>MIN(WDQ60*$C$65,Application!$AO$636-SUM('15 Year Pro Forma'!$E$66:WDP$66))</f>
        <v>0</v>
      </c>
      <c r="WDS66" s="956">
        <f>MIN(WDS60*$C$65,Application!$AO$636-SUM('15 Year Pro Forma'!$E$66:WDR$66))</f>
        <v>0</v>
      </c>
      <c r="WDU66" s="956">
        <f>MIN(WDU60*$C$65,Application!$AO$636-SUM('15 Year Pro Forma'!$E$66:WDT$66))</f>
        <v>0</v>
      </c>
      <c r="WDW66" s="956">
        <f>MIN(WDW60*$C$65,Application!$AO$636-SUM('15 Year Pro Forma'!$E$66:WDV$66))</f>
        <v>0</v>
      </c>
      <c r="WDY66" s="956">
        <f>MIN(WDY60*$C$65,Application!$AO$636-SUM('15 Year Pro Forma'!$E$66:WDX$66))</f>
        <v>0</v>
      </c>
      <c r="WEA66" s="956">
        <f>MIN(WEA60*$C$65,Application!$AO$636-SUM('15 Year Pro Forma'!$E$66:WDZ$66))</f>
        <v>0</v>
      </c>
      <c r="WEC66" s="956">
        <f>MIN(WEC60*$C$65,Application!$AO$636-SUM('15 Year Pro Forma'!$E$66:WEB$66))</f>
        <v>0</v>
      </c>
      <c r="WEE66" s="956">
        <f>MIN(WEE60*$C$65,Application!$AO$636-SUM('15 Year Pro Forma'!$E$66:WED$66))</f>
        <v>0</v>
      </c>
      <c r="WEG66" s="956">
        <f>MIN(WEG60*$C$65,Application!$AO$636-SUM('15 Year Pro Forma'!$E$66:WEF$66))</f>
        <v>0</v>
      </c>
      <c r="WEI66" s="956">
        <f>MIN(WEI60*$C$65,Application!$AO$636-SUM('15 Year Pro Forma'!$E$66:WEH$66))</f>
        <v>0</v>
      </c>
      <c r="WEK66" s="956">
        <f>MIN(WEK60*$C$65,Application!$AO$636-SUM('15 Year Pro Forma'!$E$66:WEJ$66))</f>
        <v>0</v>
      </c>
      <c r="WEM66" s="956">
        <f>MIN(WEM60*$C$65,Application!$AO$636-SUM('15 Year Pro Forma'!$E$66:WEL$66))</f>
        <v>0</v>
      </c>
      <c r="WEO66" s="956">
        <f>MIN(WEO60*$C$65,Application!$AO$636-SUM('15 Year Pro Forma'!$E$66:WEN$66))</f>
        <v>0</v>
      </c>
      <c r="WEQ66" s="956">
        <f>MIN(WEQ60*$C$65,Application!$AO$636-SUM('15 Year Pro Forma'!$E$66:WEP$66))</f>
        <v>0</v>
      </c>
      <c r="WES66" s="956">
        <f>MIN(WES60*$C$65,Application!$AO$636-SUM('15 Year Pro Forma'!$E$66:WER$66))</f>
        <v>0</v>
      </c>
      <c r="WEU66" s="956">
        <f>MIN(WEU60*$C$65,Application!$AO$636-SUM('15 Year Pro Forma'!$E$66:WET$66))</f>
        <v>0</v>
      </c>
      <c r="WEW66" s="956">
        <f>MIN(WEW60*$C$65,Application!$AO$636-SUM('15 Year Pro Forma'!$E$66:WEV$66))</f>
        <v>0</v>
      </c>
      <c r="WEY66" s="956">
        <f>MIN(WEY60*$C$65,Application!$AO$636-SUM('15 Year Pro Forma'!$E$66:WEX$66))</f>
        <v>0</v>
      </c>
      <c r="WFA66" s="956">
        <f>MIN(WFA60*$C$65,Application!$AO$636-SUM('15 Year Pro Forma'!$E$66:WEZ$66))</f>
        <v>0</v>
      </c>
      <c r="WFC66" s="956">
        <f>MIN(WFC60*$C$65,Application!$AO$636-SUM('15 Year Pro Forma'!$E$66:WFB$66))</f>
        <v>0</v>
      </c>
      <c r="WFE66" s="956">
        <f>MIN(WFE60*$C$65,Application!$AO$636-SUM('15 Year Pro Forma'!$E$66:WFD$66))</f>
        <v>0</v>
      </c>
      <c r="WFG66" s="956">
        <f>MIN(WFG60*$C$65,Application!$AO$636-SUM('15 Year Pro Forma'!$E$66:WFF$66))</f>
        <v>0</v>
      </c>
      <c r="WFI66" s="956">
        <f>MIN(WFI60*$C$65,Application!$AO$636-SUM('15 Year Pro Forma'!$E$66:WFH$66))</f>
        <v>0</v>
      </c>
      <c r="WFK66" s="956">
        <f>MIN(WFK60*$C$65,Application!$AO$636-SUM('15 Year Pro Forma'!$E$66:WFJ$66))</f>
        <v>0</v>
      </c>
      <c r="WFM66" s="956">
        <f>MIN(WFM60*$C$65,Application!$AO$636-SUM('15 Year Pro Forma'!$E$66:WFL$66))</f>
        <v>0</v>
      </c>
      <c r="WFO66" s="956">
        <f>MIN(WFO60*$C$65,Application!$AO$636-SUM('15 Year Pro Forma'!$E$66:WFN$66))</f>
        <v>0</v>
      </c>
      <c r="WFQ66" s="956">
        <f>MIN(WFQ60*$C$65,Application!$AO$636-SUM('15 Year Pro Forma'!$E$66:WFP$66))</f>
        <v>0</v>
      </c>
      <c r="WFS66" s="956">
        <f>MIN(WFS60*$C$65,Application!$AO$636-SUM('15 Year Pro Forma'!$E$66:WFR$66))</f>
        <v>0</v>
      </c>
      <c r="WFU66" s="956">
        <f>MIN(WFU60*$C$65,Application!$AO$636-SUM('15 Year Pro Forma'!$E$66:WFT$66))</f>
        <v>0</v>
      </c>
      <c r="WFW66" s="956">
        <f>MIN(WFW60*$C$65,Application!$AO$636-SUM('15 Year Pro Forma'!$E$66:WFV$66))</f>
        <v>0</v>
      </c>
      <c r="WFY66" s="956">
        <f>MIN(WFY60*$C$65,Application!$AO$636-SUM('15 Year Pro Forma'!$E$66:WFX$66))</f>
        <v>0</v>
      </c>
      <c r="WGA66" s="956">
        <f>MIN(WGA60*$C$65,Application!$AO$636-SUM('15 Year Pro Forma'!$E$66:WFZ$66))</f>
        <v>0</v>
      </c>
      <c r="WGC66" s="956">
        <f>MIN(WGC60*$C$65,Application!$AO$636-SUM('15 Year Pro Forma'!$E$66:WGB$66))</f>
        <v>0</v>
      </c>
      <c r="WGE66" s="956">
        <f>MIN(WGE60*$C$65,Application!$AO$636-SUM('15 Year Pro Forma'!$E$66:WGD$66))</f>
        <v>0</v>
      </c>
      <c r="WGG66" s="956">
        <f>MIN(WGG60*$C$65,Application!$AO$636-SUM('15 Year Pro Forma'!$E$66:WGF$66))</f>
        <v>0</v>
      </c>
      <c r="WGI66" s="956">
        <f>MIN(WGI60*$C$65,Application!$AO$636-SUM('15 Year Pro Forma'!$E$66:WGH$66))</f>
        <v>0</v>
      </c>
      <c r="WGK66" s="956">
        <f>MIN(WGK60*$C$65,Application!$AO$636-SUM('15 Year Pro Forma'!$E$66:WGJ$66))</f>
        <v>0</v>
      </c>
      <c r="WGM66" s="956">
        <f>MIN(WGM60*$C$65,Application!$AO$636-SUM('15 Year Pro Forma'!$E$66:WGL$66))</f>
        <v>0</v>
      </c>
      <c r="WGO66" s="956">
        <f>MIN(WGO60*$C$65,Application!$AO$636-SUM('15 Year Pro Forma'!$E$66:WGN$66))</f>
        <v>0</v>
      </c>
      <c r="WGQ66" s="956">
        <f>MIN(WGQ60*$C$65,Application!$AO$636-SUM('15 Year Pro Forma'!$E$66:WGP$66))</f>
        <v>0</v>
      </c>
      <c r="WGS66" s="956">
        <f>MIN(WGS60*$C$65,Application!$AO$636-SUM('15 Year Pro Forma'!$E$66:WGR$66))</f>
        <v>0</v>
      </c>
      <c r="WGU66" s="956">
        <f>MIN(WGU60*$C$65,Application!$AO$636-SUM('15 Year Pro Forma'!$E$66:WGT$66))</f>
        <v>0</v>
      </c>
      <c r="WGW66" s="956">
        <f>MIN(WGW60*$C$65,Application!$AO$636-SUM('15 Year Pro Forma'!$E$66:WGV$66))</f>
        <v>0</v>
      </c>
      <c r="WGY66" s="956">
        <f>MIN(WGY60*$C$65,Application!$AO$636-SUM('15 Year Pro Forma'!$E$66:WGX$66))</f>
        <v>0</v>
      </c>
      <c r="WHA66" s="956">
        <f>MIN(WHA60*$C$65,Application!$AO$636-SUM('15 Year Pro Forma'!$E$66:WGZ$66))</f>
        <v>0</v>
      </c>
      <c r="WHC66" s="956">
        <f>MIN(WHC60*$C$65,Application!$AO$636-SUM('15 Year Pro Forma'!$E$66:WHB$66))</f>
        <v>0</v>
      </c>
      <c r="WHE66" s="956">
        <f>MIN(WHE60*$C$65,Application!$AO$636-SUM('15 Year Pro Forma'!$E$66:WHD$66))</f>
        <v>0</v>
      </c>
      <c r="WHG66" s="956">
        <f>MIN(WHG60*$C$65,Application!$AO$636-SUM('15 Year Pro Forma'!$E$66:WHF$66))</f>
        <v>0</v>
      </c>
      <c r="WHI66" s="956">
        <f>MIN(WHI60*$C$65,Application!$AO$636-SUM('15 Year Pro Forma'!$E$66:WHH$66))</f>
        <v>0</v>
      </c>
      <c r="WHK66" s="956">
        <f>MIN(WHK60*$C$65,Application!$AO$636-SUM('15 Year Pro Forma'!$E$66:WHJ$66))</f>
        <v>0</v>
      </c>
      <c r="WHM66" s="956">
        <f>MIN(WHM60*$C$65,Application!$AO$636-SUM('15 Year Pro Forma'!$E$66:WHL$66))</f>
        <v>0</v>
      </c>
      <c r="WHO66" s="956">
        <f>MIN(WHO60*$C$65,Application!$AO$636-SUM('15 Year Pro Forma'!$E$66:WHN$66))</f>
        <v>0</v>
      </c>
      <c r="WHQ66" s="956">
        <f>MIN(WHQ60*$C$65,Application!$AO$636-SUM('15 Year Pro Forma'!$E$66:WHP$66))</f>
        <v>0</v>
      </c>
      <c r="WHS66" s="956">
        <f>MIN(WHS60*$C$65,Application!$AO$636-SUM('15 Year Pro Forma'!$E$66:WHR$66))</f>
        <v>0</v>
      </c>
      <c r="WHU66" s="956">
        <f>MIN(WHU60*$C$65,Application!$AO$636-SUM('15 Year Pro Forma'!$E$66:WHT$66))</f>
        <v>0</v>
      </c>
      <c r="WHW66" s="956">
        <f>MIN(WHW60*$C$65,Application!$AO$636-SUM('15 Year Pro Forma'!$E$66:WHV$66))</f>
        <v>0</v>
      </c>
      <c r="WHY66" s="956">
        <f>MIN(WHY60*$C$65,Application!$AO$636-SUM('15 Year Pro Forma'!$E$66:WHX$66))</f>
        <v>0</v>
      </c>
      <c r="WIA66" s="956">
        <f>MIN(WIA60*$C$65,Application!$AO$636-SUM('15 Year Pro Forma'!$E$66:WHZ$66))</f>
        <v>0</v>
      </c>
      <c r="WIC66" s="956">
        <f>MIN(WIC60*$C$65,Application!$AO$636-SUM('15 Year Pro Forma'!$E$66:WIB$66))</f>
        <v>0</v>
      </c>
      <c r="WIE66" s="956">
        <f>MIN(WIE60*$C$65,Application!$AO$636-SUM('15 Year Pro Forma'!$E$66:WID$66))</f>
        <v>0</v>
      </c>
      <c r="WIG66" s="956">
        <f>MIN(WIG60*$C$65,Application!$AO$636-SUM('15 Year Pro Forma'!$E$66:WIF$66))</f>
        <v>0</v>
      </c>
      <c r="WII66" s="956">
        <f>MIN(WII60*$C$65,Application!$AO$636-SUM('15 Year Pro Forma'!$E$66:WIH$66))</f>
        <v>0</v>
      </c>
      <c r="WIK66" s="956">
        <f>MIN(WIK60*$C$65,Application!$AO$636-SUM('15 Year Pro Forma'!$E$66:WIJ$66))</f>
        <v>0</v>
      </c>
      <c r="WIM66" s="956">
        <f>MIN(WIM60*$C$65,Application!$AO$636-SUM('15 Year Pro Forma'!$E$66:WIL$66))</f>
        <v>0</v>
      </c>
      <c r="WIO66" s="956">
        <f>MIN(WIO60*$C$65,Application!$AO$636-SUM('15 Year Pro Forma'!$E$66:WIN$66))</f>
        <v>0</v>
      </c>
      <c r="WIQ66" s="956">
        <f>MIN(WIQ60*$C$65,Application!$AO$636-SUM('15 Year Pro Forma'!$E$66:WIP$66))</f>
        <v>0</v>
      </c>
      <c r="WIS66" s="956">
        <f>MIN(WIS60*$C$65,Application!$AO$636-SUM('15 Year Pro Forma'!$E$66:WIR$66))</f>
        <v>0</v>
      </c>
      <c r="WIU66" s="956">
        <f>MIN(WIU60*$C$65,Application!$AO$636-SUM('15 Year Pro Forma'!$E$66:WIT$66))</f>
        <v>0</v>
      </c>
      <c r="WIW66" s="956">
        <f>MIN(WIW60*$C$65,Application!$AO$636-SUM('15 Year Pro Forma'!$E$66:WIV$66))</f>
        <v>0</v>
      </c>
      <c r="WIY66" s="956">
        <f>MIN(WIY60*$C$65,Application!$AO$636-SUM('15 Year Pro Forma'!$E$66:WIX$66))</f>
        <v>0</v>
      </c>
      <c r="WJA66" s="956">
        <f>MIN(WJA60*$C$65,Application!$AO$636-SUM('15 Year Pro Forma'!$E$66:WIZ$66))</f>
        <v>0</v>
      </c>
      <c r="WJC66" s="956">
        <f>MIN(WJC60*$C$65,Application!$AO$636-SUM('15 Year Pro Forma'!$E$66:WJB$66))</f>
        <v>0</v>
      </c>
      <c r="WJE66" s="956">
        <f>MIN(WJE60*$C$65,Application!$AO$636-SUM('15 Year Pro Forma'!$E$66:WJD$66))</f>
        <v>0</v>
      </c>
      <c r="WJG66" s="956">
        <f>MIN(WJG60*$C$65,Application!$AO$636-SUM('15 Year Pro Forma'!$E$66:WJF$66))</f>
        <v>0</v>
      </c>
      <c r="WJI66" s="956">
        <f>MIN(WJI60*$C$65,Application!$AO$636-SUM('15 Year Pro Forma'!$E$66:WJH$66))</f>
        <v>0</v>
      </c>
      <c r="WJK66" s="956">
        <f>MIN(WJK60*$C$65,Application!$AO$636-SUM('15 Year Pro Forma'!$E$66:WJJ$66))</f>
        <v>0</v>
      </c>
      <c r="WJM66" s="956">
        <f>MIN(WJM60*$C$65,Application!$AO$636-SUM('15 Year Pro Forma'!$E$66:WJL$66))</f>
        <v>0</v>
      </c>
      <c r="WJO66" s="956">
        <f>MIN(WJO60*$C$65,Application!$AO$636-SUM('15 Year Pro Forma'!$E$66:WJN$66))</f>
        <v>0</v>
      </c>
      <c r="WJQ66" s="956">
        <f>MIN(WJQ60*$C$65,Application!$AO$636-SUM('15 Year Pro Forma'!$E$66:WJP$66))</f>
        <v>0</v>
      </c>
      <c r="WJS66" s="956">
        <f>MIN(WJS60*$C$65,Application!$AO$636-SUM('15 Year Pro Forma'!$E$66:WJR$66))</f>
        <v>0</v>
      </c>
      <c r="WJU66" s="956">
        <f>MIN(WJU60*$C$65,Application!$AO$636-SUM('15 Year Pro Forma'!$E$66:WJT$66))</f>
        <v>0</v>
      </c>
      <c r="WJW66" s="956">
        <f>MIN(WJW60*$C$65,Application!$AO$636-SUM('15 Year Pro Forma'!$E$66:WJV$66))</f>
        <v>0</v>
      </c>
      <c r="WJY66" s="956">
        <f>MIN(WJY60*$C$65,Application!$AO$636-SUM('15 Year Pro Forma'!$E$66:WJX$66))</f>
        <v>0</v>
      </c>
      <c r="WKA66" s="956">
        <f>MIN(WKA60*$C$65,Application!$AO$636-SUM('15 Year Pro Forma'!$E$66:WJZ$66))</f>
        <v>0</v>
      </c>
      <c r="WKC66" s="956">
        <f>MIN(WKC60*$C$65,Application!$AO$636-SUM('15 Year Pro Forma'!$E$66:WKB$66))</f>
        <v>0</v>
      </c>
      <c r="WKE66" s="956">
        <f>MIN(WKE60*$C$65,Application!$AO$636-SUM('15 Year Pro Forma'!$E$66:WKD$66))</f>
        <v>0</v>
      </c>
      <c r="WKG66" s="956">
        <f>MIN(WKG60*$C$65,Application!$AO$636-SUM('15 Year Pro Forma'!$E$66:WKF$66))</f>
        <v>0</v>
      </c>
      <c r="WKI66" s="956">
        <f>MIN(WKI60*$C$65,Application!$AO$636-SUM('15 Year Pro Forma'!$E$66:WKH$66))</f>
        <v>0</v>
      </c>
      <c r="WKK66" s="956">
        <f>MIN(WKK60*$C$65,Application!$AO$636-SUM('15 Year Pro Forma'!$E$66:WKJ$66))</f>
        <v>0</v>
      </c>
      <c r="WKM66" s="956">
        <f>MIN(WKM60*$C$65,Application!$AO$636-SUM('15 Year Pro Forma'!$E$66:WKL$66))</f>
        <v>0</v>
      </c>
      <c r="WKO66" s="956">
        <f>MIN(WKO60*$C$65,Application!$AO$636-SUM('15 Year Pro Forma'!$E$66:WKN$66))</f>
        <v>0</v>
      </c>
      <c r="WKQ66" s="956">
        <f>MIN(WKQ60*$C$65,Application!$AO$636-SUM('15 Year Pro Forma'!$E$66:WKP$66))</f>
        <v>0</v>
      </c>
      <c r="WKS66" s="956">
        <f>MIN(WKS60*$C$65,Application!$AO$636-SUM('15 Year Pro Forma'!$E$66:WKR$66))</f>
        <v>0</v>
      </c>
      <c r="WKU66" s="956">
        <f>MIN(WKU60*$C$65,Application!$AO$636-SUM('15 Year Pro Forma'!$E$66:WKT$66))</f>
        <v>0</v>
      </c>
      <c r="WKW66" s="956">
        <f>MIN(WKW60*$C$65,Application!$AO$636-SUM('15 Year Pro Forma'!$E$66:WKV$66))</f>
        <v>0</v>
      </c>
      <c r="WKY66" s="956">
        <f>MIN(WKY60*$C$65,Application!$AO$636-SUM('15 Year Pro Forma'!$E$66:WKX$66))</f>
        <v>0</v>
      </c>
      <c r="WLA66" s="956">
        <f>MIN(WLA60*$C$65,Application!$AO$636-SUM('15 Year Pro Forma'!$E$66:WKZ$66))</f>
        <v>0</v>
      </c>
      <c r="WLC66" s="956">
        <f>MIN(WLC60*$C$65,Application!$AO$636-SUM('15 Year Pro Forma'!$E$66:WLB$66))</f>
        <v>0</v>
      </c>
      <c r="WLE66" s="956">
        <f>MIN(WLE60*$C$65,Application!$AO$636-SUM('15 Year Pro Forma'!$E$66:WLD$66))</f>
        <v>0</v>
      </c>
      <c r="WLG66" s="956">
        <f>MIN(WLG60*$C$65,Application!$AO$636-SUM('15 Year Pro Forma'!$E$66:WLF$66))</f>
        <v>0</v>
      </c>
      <c r="WLI66" s="956">
        <f>MIN(WLI60*$C$65,Application!$AO$636-SUM('15 Year Pro Forma'!$E$66:WLH$66))</f>
        <v>0</v>
      </c>
      <c r="WLK66" s="956">
        <f>MIN(WLK60*$C$65,Application!$AO$636-SUM('15 Year Pro Forma'!$E$66:WLJ$66))</f>
        <v>0</v>
      </c>
      <c r="WLM66" s="956">
        <f>MIN(WLM60*$C$65,Application!$AO$636-SUM('15 Year Pro Forma'!$E$66:WLL$66))</f>
        <v>0</v>
      </c>
      <c r="WLO66" s="956">
        <f>MIN(WLO60*$C$65,Application!$AO$636-SUM('15 Year Pro Forma'!$E$66:WLN$66))</f>
        <v>0</v>
      </c>
      <c r="WLQ66" s="956">
        <f>MIN(WLQ60*$C$65,Application!$AO$636-SUM('15 Year Pro Forma'!$E$66:WLP$66))</f>
        <v>0</v>
      </c>
      <c r="WLS66" s="956">
        <f>MIN(WLS60*$C$65,Application!$AO$636-SUM('15 Year Pro Forma'!$E$66:WLR$66))</f>
        <v>0</v>
      </c>
      <c r="WLU66" s="956">
        <f>MIN(WLU60*$C$65,Application!$AO$636-SUM('15 Year Pro Forma'!$E$66:WLT$66))</f>
        <v>0</v>
      </c>
      <c r="WLW66" s="956">
        <f>MIN(WLW60*$C$65,Application!$AO$636-SUM('15 Year Pro Forma'!$E$66:WLV$66))</f>
        <v>0</v>
      </c>
      <c r="WLY66" s="956">
        <f>MIN(WLY60*$C$65,Application!$AO$636-SUM('15 Year Pro Forma'!$E$66:WLX$66))</f>
        <v>0</v>
      </c>
      <c r="WMA66" s="956">
        <f>MIN(WMA60*$C$65,Application!$AO$636-SUM('15 Year Pro Forma'!$E$66:WLZ$66))</f>
        <v>0</v>
      </c>
      <c r="WMC66" s="956">
        <f>MIN(WMC60*$C$65,Application!$AO$636-SUM('15 Year Pro Forma'!$E$66:WMB$66))</f>
        <v>0</v>
      </c>
      <c r="WME66" s="956">
        <f>MIN(WME60*$C$65,Application!$AO$636-SUM('15 Year Pro Forma'!$E$66:WMD$66))</f>
        <v>0</v>
      </c>
      <c r="WMG66" s="956">
        <f>MIN(WMG60*$C$65,Application!$AO$636-SUM('15 Year Pro Forma'!$E$66:WMF$66))</f>
        <v>0</v>
      </c>
      <c r="WMI66" s="956">
        <f>MIN(WMI60*$C$65,Application!$AO$636-SUM('15 Year Pro Forma'!$E$66:WMH$66))</f>
        <v>0</v>
      </c>
      <c r="WMK66" s="956">
        <f>MIN(WMK60*$C$65,Application!$AO$636-SUM('15 Year Pro Forma'!$E$66:WMJ$66))</f>
        <v>0</v>
      </c>
      <c r="WMM66" s="956">
        <f>MIN(WMM60*$C$65,Application!$AO$636-SUM('15 Year Pro Forma'!$E$66:WML$66))</f>
        <v>0</v>
      </c>
      <c r="WMO66" s="956">
        <f>MIN(WMO60*$C$65,Application!$AO$636-SUM('15 Year Pro Forma'!$E$66:WMN$66))</f>
        <v>0</v>
      </c>
      <c r="WMQ66" s="956">
        <f>MIN(WMQ60*$C$65,Application!$AO$636-SUM('15 Year Pro Forma'!$E$66:WMP$66))</f>
        <v>0</v>
      </c>
      <c r="WMS66" s="956">
        <f>MIN(WMS60*$C$65,Application!$AO$636-SUM('15 Year Pro Forma'!$E$66:WMR$66))</f>
        <v>0</v>
      </c>
      <c r="WMU66" s="956">
        <f>MIN(WMU60*$C$65,Application!$AO$636-SUM('15 Year Pro Forma'!$E$66:WMT$66))</f>
        <v>0</v>
      </c>
      <c r="WMW66" s="956">
        <f>MIN(WMW60*$C$65,Application!$AO$636-SUM('15 Year Pro Forma'!$E$66:WMV$66))</f>
        <v>0</v>
      </c>
      <c r="WMY66" s="956">
        <f>MIN(WMY60*$C$65,Application!$AO$636-SUM('15 Year Pro Forma'!$E$66:WMX$66))</f>
        <v>0</v>
      </c>
      <c r="WNA66" s="956">
        <f>MIN(WNA60*$C$65,Application!$AO$636-SUM('15 Year Pro Forma'!$E$66:WMZ$66))</f>
        <v>0</v>
      </c>
      <c r="WNC66" s="956">
        <f>MIN(WNC60*$C$65,Application!$AO$636-SUM('15 Year Pro Forma'!$E$66:WNB$66))</f>
        <v>0</v>
      </c>
      <c r="WNE66" s="956">
        <f>MIN(WNE60*$C$65,Application!$AO$636-SUM('15 Year Pro Forma'!$E$66:WND$66))</f>
        <v>0</v>
      </c>
      <c r="WNG66" s="956">
        <f>MIN(WNG60*$C$65,Application!$AO$636-SUM('15 Year Pro Forma'!$E$66:WNF$66))</f>
        <v>0</v>
      </c>
      <c r="WNI66" s="956">
        <f>MIN(WNI60*$C$65,Application!$AO$636-SUM('15 Year Pro Forma'!$E$66:WNH$66))</f>
        <v>0</v>
      </c>
      <c r="WNK66" s="956">
        <f>MIN(WNK60*$C$65,Application!$AO$636-SUM('15 Year Pro Forma'!$E$66:WNJ$66))</f>
        <v>0</v>
      </c>
      <c r="WNM66" s="956">
        <f>MIN(WNM60*$C$65,Application!$AO$636-SUM('15 Year Pro Forma'!$E$66:WNL$66))</f>
        <v>0</v>
      </c>
      <c r="WNO66" s="956">
        <f>MIN(WNO60*$C$65,Application!$AO$636-SUM('15 Year Pro Forma'!$E$66:WNN$66))</f>
        <v>0</v>
      </c>
      <c r="WNQ66" s="956">
        <f>MIN(WNQ60*$C$65,Application!$AO$636-SUM('15 Year Pro Forma'!$E$66:WNP$66))</f>
        <v>0</v>
      </c>
      <c r="WNS66" s="956">
        <f>MIN(WNS60*$C$65,Application!$AO$636-SUM('15 Year Pro Forma'!$E$66:WNR$66))</f>
        <v>0</v>
      </c>
      <c r="WNU66" s="956">
        <f>MIN(WNU60*$C$65,Application!$AO$636-SUM('15 Year Pro Forma'!$E$66:WNT$66))</f>
        <v>0</v>
      </c>
      <c r="WNW66" s="956">
        <f>MIN(WNW60*$C$65,Application!$AO$636-SUM('15 Year Pro Forma'!$E$66:WNV$66))</f>
        <v>0</v>
      </c>
      <c r="WNY66" s="956">
        <f>MIN(WNY60*$C$65,Application!$AO$636-SUM('15 Year Pro Forma'!$E$66:WNX$66))</f>
        <v>0</v>
      </c>
      <c r="WOA66" s="956">
        <f>MIN(WOA60*$C$65,Application!$AO$636-SUM('15 Year Pro Forma'!$E$66:WNZ$66))</f>
        <v>0</v>
      </c>
      <c r="WOC66" s="956">
        <f>MIN(WOC60*$C$65,Application!$AO$636-SUM('15 Year Pro Forma'!$E$66:WOB$66))</f>
        <v>0</v>
      </c>
      <c r="WOE66" s="956">
        <f>MIN(WOE60*$C$65,Application!$AO$636-SUM('15 Year Pro Forma'!$E$66:WOD$66))</f>
        <v>0</v>
      </c>
      <c r="WOG66" s="956">
        <f>MIN(WOG60*$C$65,Application!$AO$636-SUM('15 Year Pro Forma'!$E$66:WOF$66))</f>
        <v>0</v>
      </c>
      <c r="WOI66" s="956">
        <f>MIN(WOI60*$C$65,Application!$AO$636-SUM('15 Year Pro Forma'!$E$66:WOH$66))</f>
        <v>0</v>
      </c>
      <c r="WOK66" s="956">
        <f>MIN(WOK60*$C$65,Application!$AO$636-SUM('15 Year Pro Forma'!$E$66:WOJ$66))</f>
        <v>0</v>
      </c>
      <c r="WOM66" s="956">
        <f>MIN(WOM60*$C$65,Application!$AO$636-SUM('15 Year Pro Forma'!$E$66:WOL$66))</f>
        <v>0</v>
      </c>
      <c r="WOO66" s="956">
        <f>MIN(WOO60*$C$65,Application!$AO$636-SUM('15 Year Pro Forma'!$E$66:WON$66))</f>
        <v>0</v>
      </c>
      <c r="WOQ66" s="956">
        <f>MIN(WOQ60*$C$65,Application!$AO$636-SUM('15 Year Pro Forma'!$E$66:WOP$66))</f>
        <v>0</v>
      </c>
      <c r="WOS66" s="956">
        <f>MIN(WOS60*$C$65,Application!$AO$636-SUM('15 Year Pro Forma'!$E$66:WOR$66))</f>
        <v>0</v>
      </c>
      <c r="WOU66" s="956">
        <f>MIN(WOU60*$C$65,Application!$AO$636-SUM('15 Year Pro Forma'!$E$66:WOT$66))</f>
        <v>0</v>
      </c>
      <c r="WOW66" s="956">
        <f>MIN(WOW60*$C$65,Application!$AO$636-SUM('15 Year Pro Forma'!$E$66:WOV$66))</f>
        <v>0</v>
      </c>
      <c r="WOY66" s="956">
        <f>MIN(WOY60*$C$65,Application!$AO$636-SUM('15 Year Pro Forma'!$E$66:WOX$66))</f>
        <v>0</v>
      </c>
      <c r="WPA66" s="956">
        <f>MIN(WPA60*$C$65,Application!$AO$636-SUM('15 Year Pro Forma'!$E$66:WOZ$66))</f>
        <v>0</v>
      </c>
      <c r="WPC66" s="956">
        <f>MIN(WPC60*$C$65,Application!$AO$636-SUM('15 Year Pro Forma'!$E$66:WPB$66))</f>
        <v>0</v>
      </c>
      <c r="WPE66" s="956">
        <f>MIN(WPE60*$C$65,Application!$AO$636-SUM('15 Year Pro Forma'!$E$66:WPD$66))</f>
        <v>0</v>
      </c>
      <c r="WPG66" s="956">
        <f>MIN(WPG60*$C$65,Application!$AO$636-SUM('15 Year Pro Forma'!$E$66:WPF$66))</f>
        <v>0</v>
      </c>
      <c r="WPI66" s="956">
        <f>MIN(WPI60*$C$65,Application!$AO$636-SUM('15 Year Pro Forma'!$E$66:WPH$66))</f>
        <v>0</v>
      </c>
      <c r="WPK66" s="956">
        <f>MIN(WPK60*$C$65,Application!$AO$636-SUM('15 Year Pro Forma'!$E$66:WPJ$66))</f>
        <v>0</v>
      </c>
      <c r="WPM66" s="956">
        <f>MIN(WPM60*$C$65,Application!$AO$636-SUM('15 Year Pro Forma'!$E$66:WPL$66))</f>
        <v>0</v>
      </c>
      <c r="WPO66" s="956">
        <f>MIN(WPO60*$C$65,Application!$AO$636-SUM('15 Year Pro Forma'!$E$66:WPN$66))</f>
        <v>0</v>
      </c>
      <c r="WPQ66" s="956">
        <f>MIN(WPQ60*$C$65,Application!$AO$636-SUM('15 Year Pro Forma'!$E$66:WPP$66))</f>
        <v>0</v>
      </c>
      <c r="WPS66" s="956">
        <f>MIN(WPS60*$C$65,Application!$AO$636-SUM('15 Year Pro Forma'!$E$66:WPR$66))</f>
        <v>0</v>
      </c>
      <c r="WPU66" s="956">
        <f>MIN(WPU60*$C$65,Application!$AO$636-SUM('15 Year Pro Forma'!$E$66:WPT$66))</f>
        <v>0</v>
      </c>
      <c r="WPW66" s="956">
        <f>MIN(WPW60*$C$65,Application!$AO$636-SUM('15 Year Pro Forma'!$E$66:WPV$66))</f>
        <v>0</v>
      </c>
      <c r="WPY66" s="956">
        <f>MIN(WPY60*$C$65,Application!$AO$636-SUM('15 Year Pro Forma'!$E$66:WPX$66))</f>
        <v>0</v>
      </c>
      <c r="WQA66" s="956">
        <f>MIN(WQA60*$C$65,Application!$AO$636-SUM('15 Year Pro Forma'!$E$66:WPZ$66))</f>
        <v>0</v>
      </c>
      <c r="WQC66" s="956">
        <f>MIN(WQC60*$C$65,Application!$AO$636-SUM('15 Year Pro Forma'!$E$66:WQB$66))</f>
        <v>0</v>
      </c>
      <c r="WQE66" s="956">
        <f>MIN(WQE60*$C$65,Application!$AO$636-SUM('15 Year Pro Forma'!$E$66:WQD$66))</f>
        <v>0</v>
      </c>
      <c r="WQG66" s="956">
        <f>MIN(WQG60*$C$65,Application!$AO$636-SUM('15 Year Pro Forma'!$E$66:WQF$66))</f>
        <v>0</v>
      </c>
      <c r="WQI66" s="956">
        <f>MIN(WQI60*$C$65,Application!$AO$636-SUM('15 Year Pro Forma'!$E$66:WQH$66))</f>
        <v>0</v>
      </c>
      <c r="WQK66" s="956">
        <f>MIN(WQK60*$C$65,Application!$AO$636-SUM('15 Year Pro Forma'!$E$66:WQJ$66))</f>
        <v>0</v>
      </c>
      <c r="WQM66" s="956">
        <f>MIN(WQM60*$C$65,Application!$AO$636-SUM('15 Year Pro Forma'!$E$66:WQL$66))</f>
        <v>0</v>
      </c>
      <c r="WQO66" s="956">
        <f>MIN(WQO60*$C$65,Application!$AO$636-SUM('15 Year Pro Forma'!$E$66:WQN$66))</f>
        <v>0</v>
      </c>
      <c r="WQQ66" s="956">
        <f>MIN(WQQ60*$C$65,Application!$AO$636-SUM('15 Year Pro Forma'!$E$66:WQP$66))</f>
        <v>0</v>
      </c>
      <c r="WQS66" s="956">
        <f>MIN(WQS60*$C$65,Application!$AO$636-SUM('15 Year Pro Forma'!$E$66:WQR$66))</f>
        <v>0</v>
      </c>
      <c r="WQU66" s="956">
        <f>MIN(WQU60*$C$65,Application!$AO$636-SUM('15 Year Pro Forma'!$E$66:WQT$66))</f>
        <v>0</v>
      </c>
      <c r="WQW66" s="956">
        <f>MIN(WQW60*$C$65,Application!$AO$636-SUM('15 Year Pro Forma'!$E$66:WQV$66))</f>
        <v>0</v>
      </c>
      <c r="WQY66" s="956">
        <f>MIN(WQY60*$C$65,Application!$AO$636-SUM('15 Year Pro Forma'!$E$66:WQX$66))</f>
        <v>0</v>
      </c>
      <c r="WRA66" s="956">
        <f>MIN(WRA60*$C$65,Application!$AO$636-SUM('15 Year Pro Forma'!$E$66:WQZ$66))</f>
        <v>0</v>
      </c>
      <c r="WRC66" s="956">
        <f>MIN(WRC60*$C$65,Application!$AO$636-SUM('15 Year Pro Forma'!$E$66:WRB$66))</f>
        <v>0</v>
      </c>
      <c r="WRE66" s="956">
        <f>MIN(WRE60*$C$65,Application!$AO$636-SUM('15 Year Pro Forma'!$E$66:WRD$66))</f>
        <v>0</v>
      </c>
      <c r="WRG66" s="956">
        <f>MIN(WRG60*$C$65,Application!$AO$636-SUM('15 Year Pro Forma'!$E$66:WRF$66))</f>
        <v>0</v>
      </c>
      <c r="WRI66" s="956">
        <f>MIN(WRI60*$C$65,Application!$AO$636-SUM('15 Year Pro Forma'!$E$66:WRH$66))</f>
        <v>0</v>
      </c>
      <c r="WRK66" s="956">
        <f>MIN(WRK60*$C$65,Application!$AO$636-SUM('15 Year Pro Forma'!$E$66:WRJ$66))</f>
        <v>0</v>
      </c>
      <c r="WRM66" s="956">
        <f>MIN(WRM60*$C$65,Application!$AO$636-SUM('15 Year Pro Forma'!$E$66:WRL$66))</f>
        <v>0</v>
      </c>
      <c r="WRO66" s="956">
        <f>MIN(WRO60*$C$65,Application!$AO$636-SUM('15 Year Pro Forma'!$E$66:WRN$66))</f>
        <v>0</v>
      </c>
      <c r="WRQ66" s="956">
        <f>MIN(WRQ60*$C$65,Application!$AO$636-SUM('15 Year Pro Forma'!$E$66:WRP$66))</f>
        <v>0</v>
      </c>
      <c r="WRS66" s="956">
        <f>MIN(WRS60*$C$65,Application!$AO$636-SUM('15 Year Pro Forma'!$E$66:WRR$66))</f>
        <v>0</v>
      </c>
      <c r="WRU66" s="956">
        <f>MIN(WRU60*$C$65,Application!$AO$636-SUM('15 Year Pro Forma'!$E$66:WRT$66))</f>
        <v>0</v>
      </c>
      <c r="WRW66" s="956">
        <f>MIN(WRW60*$C$65,Application!$AO$636-SUM('15 Year Pro Forma'!$E$66:WRV$66))</f>
        <v>0</v>
      </c>
      <c r="WRY66" s="956">
        <f>MIN(WRY60*$C$65,Application!$AO$636-SUM('15 Year Pro Forma'!$E$66:WRX$66))</f>
        <v>0</v>
      </c>
      <c r="WSA66" s="956">
        <f>MIN(WSA60*$C$65,Application!$AO$636-SUM('15 Year Pro Forma'!$E$66:WRZ$66))</f>
        <v>0</v>
      </c>
      <c r="WSC66" s="956">
        <f>MIN(WSC60*$C$65,Application!$AO$636-SUM('15 Year Pro Forma'!$E$66:WSB$66))</f>
        <v>0</v>
      </c>
      <c r="WSE66" s="956">
        <f>MIN(WSE60*$C$65,Application!$AO$636-SUM('15 Year Pro Forma'!$E$66:WSD$66))</f>
        <v>0</v>
      </c>
      <c r="WSG66" s="956">
        <f>MIN(WSG60*$C$65,Application!$AO$636-SUM('15 Year Pro Forma'!$E$66:WSF$66))</f>
        <v>0</v>
      </c>
      <c r="WSI66" s="956">
        <f>MIN(WSI60*$C$65,Application!$AO$636-SUM('15 Year Pro Forma'!$E$66:WSH$66))</f>
        <v>0</v>
      </c>
      <c r="WSK66" s="956">
        <f>MIN(WSK60*$C$65,Application!$AO$636-SUM('15 Year Pro Forma'!$E$66:WSJ$66))</f>
        <v>0</v>
      </c>
      <c r="WSM66" s="956">
        <f>MIN(WSM60*$C$65,Application!$AO$636-SUM('15 Year Pro Forma'!$E$66:WSL$66))</f>
        <v>0</v>
      </c>
      <c r="WSO66" s="956">
        <f>MIN(WSO60*$C$65,Application!$AO$636-SUM('15 Year Pro Forma'!$E$66:WSN$66))</f>
        <v>0</v>
      </c>
      <c r="WSQ66" s="956">
        <f>MIN(WSQ60*$C$65,Application!$AO$636-SUM('15 Year Pro Forma'!$E$66:WSP$66))</f>
        <v>0</v>
      </c>
      <c r="WSS66" s="956">
        <f>MIN(WSS60*$C$65,Application!$AO$636-SUM('15 Year Pro Forma'!$E$66:WSR$66))</f>
        <v>0</v>
      </c>
      <c r="WSU66" s="956">
        <f>MIN(WSU60*$C$65,Application!$AO$636-SUM('15 Year Pro Forma'!$E$66:WST$66))</f>
        <v>0</v>
      </c>
      <c r="WSW66" s="956">
        <f>MIN(WSW60*$C$65,Application!$AO$636-SUM('15 Year Pro Forma'!$E$66:WSV$66))</f>
        <v>0</v>
      </c>
      <c r="WSY66" s="956">
        <f>MIN(WSY60*$C$65,Application!$AO$636-SUM('15 Year Pro Forma'!$E$66:WSX$66))</f>
        <v>0</v>
      </c>
      <c r="WTA66" s="956">
        <f>MIN(WTA60*$C$65,Application!$AO$636-SUM('15 Year Pro Forma'!$E$66:WSZ$66))</f>
        <v>0</v>
      </c>
      <c r="WTC66" s="956">
        <f>MIN(WTC60*$C$65,Application!$AO$636-SUM('15 Year Pro Forma'!$E$66:WTB$66))</f>
        <v>0</v>
      </c>
      <c r="WTE66" s="956">
        <f>MIN(WTE60*$C$65,Application!$AO$636-SUM('15 Year Pro Forma'!$E$66:WTD$66))</f>
        <v>0</v>
      </c>
      <c r="WTG66" s="956">
        <f>MIN(WTG60*$C$65,Application!$AO$636-SUM('15 Year Pro Forma'!$E$66:WTF$66))</f>
        <v>0</v>
      </c>
      <c r="WTI66" s="956">
        <f>MIN(WTI60*$C$65,Application!$AO$636-SUM('15 Year Pro Forma'!$E$66:WTH$66))</f>
        <v>0</v>
      </c>
      <c r="WTK66" s="956">
        <f>MIN(WTK60*$C$65,Application!$AO$636-SUM('15 Year Pro Forma'!$E$66:WTJ$66))</f>
        <v>0</v>
      </c>
      <c r="WTM66" s="956">
        <f>MIN(WTM60*$C$65,Application!$AO$636-SUM('15 Year Pro Forma'!$E$66:WTL$66))</f>
        <v>0</v>
      </c>
      <c r="WTO66" s="956">
        <f>MIN(WTO60*$C$65,Application!$AO$636-SUM('15 Year Pro Forma'!$E$66:WTN$66))</f>
        <v>0</v>
      </c>
      <c r="WTQ66" s="956">
        <f>MIN(WTQ60*$C$65,Application!$AO$636-SUM('15 Year Pro Forma'!$E$66:WTP$66))</f>
        <v>0</v>
      </c>
      <c r="WTS66" s="956">
        <f>MIN(WTS60*$C$65,Application!$AO$636-SUM('15 Year Pro Forma'!$E$66:WTR$66))</f>
        <v>0</v>
      </c>
      <c r="WTU66" s="956">
        <f>MIN(WTU60*$C$65,Application!$AO$636-SUM('15 Year Pro Forma'!$E$66:WTT$66))</f>
        <v>0</v>
      </c>
      <c r="WTW66" s="956">
        <f>MIN(WTW60*$C$65,Application!$AO$636-SUM('15 Year Pro Forma'!$E$66:WTV$66))</f>
        <v>0</v>
      </c>
      <c r="WTY66" s="956">
        <f>MIN(WTY60*$C$65,Application!$AO$636-SUM('15 Year Pro Forma'!$E$66:WTX$66))</f>
        <v>0</v>
      </c>
      <c r="WUA66" s="956">
        <f>MIN(WUA60*$C$65,Application!$AO$636-SUM('15 Year Pro Forma'!$E$66:WTZ$66))</f>
        <v>0</v>
      </c>
      <c r="WUC66" s="956">
        <f>MIN(WUC60*$C$65,Application!$AO$636-SUM('15 Year Pro Forma'!$E$66:WUB$66))</f>
        <v>0</v>
      </c>
      <c r="WUE66" s="956">
        <f>MIN(WUE60*$C$65,Application!$AO$636-SUM('15 Year Pro Forma'!$E$66:WUD$66))</f>
        <v>0</v>
      </c>
      <c r="WUG66" s="956">
        <f>MIN(WUG60*$C$65,Application!$AO$636-SUM('15 Year Pro Forma'!$E$66:WUF$66))</f>
        <v>0</v>
      </c>
      <c r="WUI66" s="956">
        <f>MIN(WUI60*$C$65,Application!$AO$636-SUM('15 Year Pro Forma'!$E$66:WUH$66))</f>
        <v>0</v>
      </c>
      <c r="WUK66" s="956">
        <f>MIN(WUK60*$C$65,Application!$AO$636-SUM('15 Year Pro Forma'!$E$66:WUJ$66))</f>
        <v>0</v>
      </c>
      <c r="WUM66" s="956">
        <f>MIN(WUM60*$C$65,Application!$AO$636-SUM('15 Year Pro Forma'!$E$66:WUL$66))</f>
        <v>0</v>
      </c>
      <c r="WUO66" s="956">
        <f>MIN(WUO60*$C$65,Application!$AO$636-SUM('15 Year Pro Forma'!$E$66:WUN$66))</f>
        <v>0</v>
      </c>
      <c r="WUQ66" s="956">
        <f>MIN(WUQ60*$C$65,Application!$AO$636-SUM('15 Year Pro Forma'!$E$66:WUP$66))</f>
        <v>0</v>
      </c>
      <c r="WUS66" s="956">
        <f>MIN(WUS60*$C$65,Application!$AO$636-SUM('15 Year Pro Forma'!$E$66:WUR$66))</f>
        <v>0</v>
      </c>
      <c r="WUU66" s="956">
        <f>MIN(WUU60*$C$65,Application!$AO$636-SUM('15 Year Pro Forma'!$E$66:WUT$66))</f>
        <v>0</v>
      </c>
      <c r="WUW66" s="956">
        <f>MIN(WUW60*$C$65,Application!$AO$636-SUM('15 Year Pro Forma'!$E$66:WUV$66))</f>
        <v>0</v>
      </c>
      <c r="WUY66" s="956">
        <f>MIN(WUY60*$C$65,Application!$AO$636-SUM('15 Year Pro Forma'!$E$66:WUX$66))</f>
        <v>0</v>
      </c>
      <c r="WVA66" s="956">
        <f>MIN(WVA60*$C$65,Application!$AO$636-SUM('15 Year Pro Forma'!$E$66:WUZ$66))</f>
        <v>0</v>
      </c>
      <c r="WVC66" s="956">
        <f>MIN(WVC60*$C$65,Application!$AO$636-SUM('15 Year Pro Forma'!$E$66:WVB$66))</f>
        <v>0</v>
      </c>
      <c r="WVE66" s="956">
        <f>MIN(WVE60*$C$65,Application!$AO$636-SUM('15 Year Pro Forma'!$E$66:WVD$66))</f>
        <v>0</v>
      </c>
      <c r="WVG66" s="956">
        <f>MIN(WVG60*$C$65,Application!$AO$636-SUM('15 Year Pro Forma'!$E$66:WVF$66))</f>
        <v>0</v>
      </c>
      <c r="WVI66" s="956">
        <f>MIN(WVI60*$C$65,Application!$AO$636-SUM('15 Year Pro Forma'!$E$66:WVH$66))</f>
        <v>0</v>
      </c>
      <c r="WVK66" s="956">
        <f>MIN(WVK60*$C$65,Application!$AO$636-SUM('15 Year Pro Forma'!$E$66:WVJ$66))</f>
        <v>0</v>
      </c>
      <c r="WVM66" s="956">
        <f>MIN(WVM60*$C$65,Application!$AO$636-SUM('15 Year Pro Forma'!$E$66:WVL$66))</f>
        <v>0</v>
      </c>
      <c r="WVO66" s="956">
        <f>MIN(WVO60*$C$65,Application!$AO$636-SUM('15 Year Pro Forma'!$E$66:WVN$66))</f>
        <v>0</v>
      </c>
      <c r="WVQ66" s="956">
        <f>MIN(WVQ60*$C$65,Application!$AO$636-SUM('15 Year Pro Forma'!$E$66:WVP$66))</f>
        <v>0</v>
      </c>
      <c r="WVS66" s="956">
        <f>MIN(WVS60*$C$65,Application!$AO$636-SUM('15 Year Pro Forma'!$E$66:WVR$66))</f>
        <v>0</v>
      </c>
      <c r="WVU66" s="956">
        <f>MIN(WVU60*$C$65,Application!$AO$636-SUM('15 Year Pro Forma'!$E$66:WVT$66))</f>
        <v>0</v>
      </c>
      <c r="WVW66" s="956">
        <f>MIN(WVW60*$C$65,Application!$AO$636-SUM('15 Year Pro Forma'!$E$66:WVV$66))</f>
        <v>0</v>
      </c>
      <c r="WVY66" s="956">
        <f>MIN(WVY60*$C$65,Application!$AO$636-SUM('15 Year Pro Forma'!$E$66:WVX$66))</f>
        <v>0</v>
      </c>
      <c r="WWA66" s="956">
        <f>MIN(WWA60*$C$65,Application!$AO$636-SUM('15 Year Pro Forma'!$E$66:WVZ$66))</f>
        <v>0</v>
      </c>
      <c r="WWC66" s="956">
        <f>MIN(WWC60*$C$65,Application!$AO$636-SUM('15 Year Pro Forma'!$E$66:WWB$66))</f>
        <v>0</v>
      </c>
      <c r="WWE66" s="956">
        <f>MIN(WWE60*$C$65,Application!$AO$636-SUM('15 Year Pro Forma'!$E$66:WWD$66))</f>
        <v>0</v>
      </c>
      <c r="WWG66" s="956">
        <f>MIN(WWG60*$C$65,Application!$AO$636-SUM('15 Year Pro Forma'!$E$66:WWF$66))</f>
        <v>0</v>
      </c>
      <c r="WWI66" s="956">
        <f>MIN(WWI60*$C$65,Application!$AO$636-SUM('15 Year Pro Forma'!$E$66:WWH$66))</f>
        <v>0</v>
      </c>
      <c r="WWK66" s="956">
        <f>MIN(WWK60*$C$65,Application!$AO$636-SUM('15 Year Pro Forma'!$E$66:WWJ$66))</f>
        <v>0</v>
      </c>
      <c r="WWM66" s="956">
        <f>MIN(WWM60*$C$65,Application!$AO$636-SUM('15 Year Pro Forma'!$E$66:WWL$66))</f>
        <v>0</v>
      </c>
      <c r="WWO66" s="956">
        <f>MIN(WWO60*$C$65,Application!$AO$636-SUM('15 Year Pro Forma'!$E$66:WWN$66))</f>
        <v>0</v>
      </c>
      <c r="WWQ66" s="956">
        <f>MIN(WWQ60*$C$65,Application!$AO$636-SUM('15 Year Pro Forma'!$E$66:WWP$66))</f>
        <v>0</v>
      </c>
      <c r="WWS66" s="956">
        <f>MIN(WWS60*$C$65,Application!$AO$636-SUM('15 Year Pro Forma'!$E$66:WWR$66))</f>
        <v>0</v>
      </c>
      <c r="WWU66" s="956">
        <f>MIN(WWU60*$C$65,Application!$AO$636-SUM('15 Year Pro Forma'!$E$66:WWT$66))</f>
        <v>0</v>
      </c>
      <c r="WWW66" s="956">
        <f>MIN(WWW60*$C$65,Application!$AO$636-SUM('15 Year Pro Forma'!$E$66:WWV$66))</f>
        <v>0</v>
      </c>
      <c r="WWY66" s="956">
        <f>MIN(WWY60*$C$65,Application!$AO$636-SUM('15 Year Pro Forma'!$E$66:WWX$66))</f>
        <v>0</v>
      </c>
      <c r="WXA66" s="956">
        <f>MIN(WXA60*$C$65,Application!$AO$636-SUM('15 Year Pro Forma'!$E$66:WWZ$66))</f>
        <v>0</v>
      </c>
      <c r="WXC66" s="956">
        <f>MIN(WXC60*$C$65,Application!$AO$636-SUM('15 Year Pro Forma'!$E$66:WXB$66))</f>
        <v>0</v>
      </c>
      <c r="WXE66" s="956">
        <f>MIN(WXE60*$C$65,Application!$AO$636-SUM('15 Year Pro Forma'!$E$66:WXD$66))</f>
        <v>0</v>
      </c>
      <c r="WXG66" s="956">
        <f>MIN(WXG60*$C$65,Application!$AO$636-SUM('15 Year Pro Forma'!$E$66:WXF$66))</f>
        <v>0</v>
      </c>
      <c r="WXI66" s="956">
        <f>MIN(WXI60*$C$65,Application!$AO$636-SUM('15 Year Pro Forma'!$E$66:WXH$66))</f>
        <v>0</v>
      </c>
      <c r="WXK66" s="956">
        <f>MIN(WXK60*$C$65,Application!$AO$636-SUM('15 Year Pro Forma'!$E$66:WXJ$66))</f>
        <v>0</v>
      </c>
      <c r="WXM66" s="956">
        <f>MIN(WXM60*$C$65,Application!$AO$636-SUM('15 Year Pro Forma'!$E$66:WXL$66))</f>
        <v>0</v>
      </c>
      <c r="WXO66" s="956">
        <f>MIN(WXO60*$C$65,Application!$AO$636-SUM('15 Year Pro Forma'!$E$66:WXN$66))</f>
        <v>0</v>
      </c>
      <c r="WXQ66" s="956">
        <f>MIN(WXQ60*$C$65,Application!$AO$636-SUM('15 Year Pro Forma'!$E$66:WXP$66))</f>
        <v>0</v>
      </c>
      <c r="WXS66" s="956">
        <f>MIN(WXS60*$C$65,Application!$AO$636-SUM('15 Year Pro Forma'!$E$66:WXR$66))</f>
        <v>0</v>
      </c>
      <c r="WXU66" s="956">
        <f>MIN(WXU60*$C$65,Application!$AO$636-SUM('15 Year Pro Forma'!$E$66:WXT$66))</f>
        <v>0</v>
      </c>
      <c r="WXW66" s="956">
        <f>MIN(WXW60*$C$65,Application!$AO$636-SUM('15 Year Pro Forma'!$E$66:WXV$66))</f>
        <v>0</v>
      </c>
      <c r="WXY66" s="956">
        <f>MIN(WXY60*$C$65,Application!$AO$636-SUM('15 Year Pro Forma'!$E$66:WXX$66))</f>
        <v>0</v>
      </c>
      <c r="WYA66" s="956">
        <f>MIN(WYA60*$C$65,Application!$AO$636-SUM('15 Year Pro Forma'!$E$66:WXZ$66))</f>
        <v>0</v>
      </c>
      <c r="WYC66" s="956">
        <f>MIN(WYC60*$C$65,Application!$AO$636-SUM('15 Year Pro Forma'!$E$66:WYB$66))</f>
        <v>0</v>
      </c>
      <c r="WYE66" s="956">
        <f>MIN(WYE60*$C$65,Application!$AO$636-SUM('15 Year Pro Forma'!$E$66:WYD$66))</f>
        <v>0</v>
      </c>
      <c r="WYG66" s="956">
        <f>MIN(WYG60*$C$65,Application!$AO$636-SUM('15 Year Pro Forma'!$E$66:WYF$66))</f>
        <v>0</v>
      </c>
      <c r="WYI66" s="956">
        <f>MIN(WYI60*$C$65,Application!$AO$636-SUM('15 Year Pro Forma'!$E$66:WYH$66))</f>
        <v>0</v>
      </c>
      <c r="WYK66" s="956">
        <f>MIN(WYK60*$C$65,Application!$AO$636-SUM('15 Year Pro Forma'!$E$66:WYJ$66))</f>
        <v>0</v>
      </c>
      <c r="WYM66" s="956">
        <f>MIN(WYM60*$C$65,Application!$AO$636-SUM('15 Year Pro Forma'!$E$66:WYL$66))</f>
        <v>0</v>
      </c>
      <c r="WYO66" s="956">
        <f>MIN(WYO60*$C$65,Application!$AO$636-SUM('15 Year Pro Forma'!$E$66:WYN$66))</f>
        <v>0</v>
      </c>
      <c r="WYQ66" s="956">
        <f>MIN(WYQ60*$C$65,Application!$AO$636-SUM('15 Year Pro Forma'!$E$66:WYP$66))</f>
        <v>0</v>
      </c>
      <c r="WYS66" s="956">
        <f>MIN(WYS60*$C$65,Application!$AO$636-SUM('15 Year Pro Forma'!$E$66:WYR$66))</f>
        <v>0</v>
      </c>
      <c r="WYU66" s="956">
        <f>MIN(WYU60*$C$65,Application!$AO$636-SUM('15 Year Pro Forma'!$E$66:WYT$66))</f>
        <v>0</v>
      </c>
      <c r="WYW66" s="956">
        <f>MIN(WYW60*$C$65,Application!$AO$636-SUM('15 Year Pro Forma'!$E$66:WYV$66))</f>
        <v>0</v>
      </c>
      <c r="WYY66" s="956">
        <f>MIN(WYY60*$C$65,Application!$AO$636-SUM('15 Year Pro Forma'!$E$66:WYX$66))</f>
        <v>0</v>
      </c>
      <c r="WZA66" s="956">
        <f>MIN(WZA60*$C$65,Application!$AO$636-SUM('15 Year Pro Forma'!$E$66:WYZ$66))</f>
        <v>0</v>
      </c>
      <c r="WZC66" s="956">
        <f>MIN(WZC60*$C$65,Application!$AO$636-SUM('15 Year Pro Forma'!$E$66:WZB$66))</f>
        <v>0</v>
      </c>
      <c r="WZE66" s="956">
        <f>MIN(WZE60*$C$65,Application!$AO$636-SUM('15 Year Pro Forma'!$E$66:WZD$66))</f>
        <v>0</v>
      </c>
      <c r="WZG66" s="956">
        <f>MIN(WZG60*$C$65,Application!$AO$636-SUM('15 Year Pro Forma'!$E$66:WZF$66))</f>
        <v>0</v>
      </c>
      <c r="WZI66" s="956">
        <f>MIN(WZI60*$C$65,Application!$AO$636-SUM('15 Year Pro Forma'!$E$66:WZH$66))</f>
        <v>0</v>
      </c>
      <c r="WZK66" s="956">
        <f>MIN(WZK60*$C$65,Application!$AO$636-SUM('15 Year Pro Forma'!$E$66:WZJ$66))</f>
        <v>0</v>
      </c>
      <c r="WZM66" s="956">
        <f>MIN(WZM60*$C$65,Application!$AO$636-SUM('15 Year Pro Forma'!$E$66:WZL$66))</f>
        <v>0</v>
      </c>
      <c r="WZO66" s="956">
        <f>MIN(WZO60*$C$65,Application!$AO$636-SUM('15 Year Pro Forma'!$E$66:WZN$66))</f>
        <v>0</v>
      </c>
      <c r="WZQ66" s="956">
        <f>MIN(WZQ60*$C$65,Application!$AO$636-SUM('15 Year Pro Forma'!$E$66:WZP$66))</f>
        <v>0</v>
      </c>
      <c r="WZS66" s="956">
        <f>MIN(WZS60*$C$65,Application!$AO$636-SUM('15 Year Pro Forma'!$E$66:WZR$66))</f>
        <v>0</v>
      </c>
      <c r="WZU66" s="956">
        <f>MIN(WZU60*$C$65,Application!$AO$636-SUM('15 Year Pro Forma'!$E$66:WZT$66))</f>
        <v>0</v>
      </c>
      <c r="WZW66" s="956">
        <f>MIN(WZW60*$C$65,Application!$AO$636-SUM('15 Year Pro Forma'!$E$66:WZV$66))</f>
        <v>0</v>
      </c>
      <c r="WZY66" s="956">
        <f>MIN(WZY60*$C$65,Application!$AO$636-SUM('15 Year Pro Forma'!$E$66:WZX$66))</f>
        <v>0</v>
      </c>
      <c r="XAA66" s="956">
        <f>MIN(XAA60*$C$65,Application!$AO$636-SUM('15 Year Pro Forma'!$E$66:WZZ$66))</f>
        <v>0</v>
      </c>
      <c r="XAC66" s="956">
        <f>MIN(XAC60*$C$65,Application!$AO$636-SUM('15 Year Pro Forma'!$E$66:XAB$66))</f>
        <v>0</v>
      </c>
      <c r="XAE66" s="956">
        <f>MIN(XAE60*$C$65,Application!$AO$636-SUM('15 Year Pro Forma'!$E$66:XAD$66))</f>
        <v>0</v>
      </c>
      <c r="XAG66" s="956">
        <f>MIN(XAG60*$C$65,Application!$AO$636-SUM('15 Year Pro Forma'!$E$66:XAF$66))</f>
        <v>0</v>
      </c>
      <c r="XAI66" s="956">
        <f>MIN(XAI60*$C$65,Application!$AO$636-SUM('15 Year Pro Forma'!$E$66:XAH$66))</f>
        <v>0</v>
      </c>
      <c r="XAK66" s="956">
        <f>MIN(XAK60*$C$65,Application!$AO$636-SUM('15 Year Pro Forma'!$E$66:XAJ$66))</f>
        <v>0</v>
      </c>
      <c r="XAM66" s="956">
        <f>MIN(XAM60*$C$65,Application!$AO$636-SUM('15 Year Pro Forma'!$E$66:XAL$66))</f>
        <v>0</v>
      </c>
      <c r="XAO66" s="956">
        <f>MIN(XAO60*$C$65,Application!$AO$636-SUM('15 Year Pro Forma'!$E$66:XAN$66))</f>
        <v>0</v>
      </c>
      <c r="XAQ66" s="956">
        <f>MIN(XAQ60*$C$65,Application!$AO$636-SUM('15 Year Pro Forma'!$E$66:XAP$66))</f>
        <v>0</v>
      </c>
      <c r="XAS66" s="956">
        <f>MIN(XAS60*$C$65,Application!$AO$636-SUM('15 Year Pro Forma'!$E$66:XAR$66))</f>
        <v>0</v>
      </c>
      <c r="XAU66" s="956">
        <f>MIN(XAU60*$C$65,Application!$AO$636-SUM('15 Year Pro Forma'!$E$66:XAT$66))</f>
        <v>0</v>
      </c>
      <c r="XAW66" s="956">
        <f>MIN(XAW60*$C$65,Application!$AO$636-SUM('15 Year Pro Forma'!$E$66:XAV$66))</f>
        <v>0</v>
      </c>
      <c r="XAY66" s="956">
        <f>MIN(XAY60*$C$65,Application!$AO$636-SUM('15 Year Pro Forma'!$E$66:XAX$66))</f>
        <v>0</v>
      </c>
      <c r="XBA66" s="956">
        <f>MIN(XBA60*$C$65,Application!$AO$636-SUM('15 Year Pro Forma'!$E$66:XAZ$66))</f>
        <v>0</v>
      </c>
      <c r="XBC66" s="956">
        <f>MIN(XBC60*$C$65,Application!$AO$636-SUM('15 Year Pro Forma'!$E$66:XBB$66))</f>
        <v>0</v>
      </c>
      <c r="XBE66" s="956">
        <f>MIN(XBE60*$C$65,Application!$AO$636-SUM('15 Year Pro Forma'!$E$66:XBD$66))</f>
        <v>0</v>
      </c>
      <c r="XBG66" s="956">
        <f>MIN(XBG60*$C$65,Application!$AO$636-SUM('15 Year Pro Forma'!$E$66:XBF$66))</f>
        <v>0</v>
      </c>
      <c r="XBI66" s="956">
        <f>MIN(XBI60*$C$65,Application!$AO$636-SUM('15 Year Pro Forma'!$E$66:XBH$66))</f>
        <v>0</v>
      </c>
      <c r="XBK66" s="956">
        <f>MIN(XBK60*$C$65,Application!$AO$636-SUM('15 Year Pro Forma'!$E$66:XBJ$66))</f>
        <v>0</v>
      </c>
      <c r="XBM66" s="956">
        <f>MIN(XBM60*$C$65,Application!$AO$636-SUM('15 Year Pro Forma'!$E$66:XBL$66))</f>
        <v>0</v>
      </c>
      <c r="XBO66" s="956">
        <f>MIN(XBO60*$C$65,Application!$AO$636-SUM('15 Year Pro Forma'!$E$66:XBN$66))</f>
        <v>0</v>
      </c>
      <c r="XBQ66" s="956">
        <f>MIN(XBQ60*$C$65,Application!$AO$636-SUM('15 Year Pro Forma'!$E$66:XBP$66))</f>
        <v>0</v>
      </c>
      <c r="XBS66" s="956">
        <f>MIN(XBS60*$C$65,Application!$AO$636-SUM('15 Year Pro Forma'!$E$66:XBR$66))</f>
        <v>0</v>
      </c>
      <c r="XBU66" s="956">
        <f>MIN(XBU60*$C$65,Application!$AO$636-SUM('15 Year Pro Forma'!$E$66:XBT$66))</f>
        <v>0</v>
      </c>
      <c r="XBW66" s="956">
        <f>MIN(XBW60*$C$65,Application!$AO$636-SUM('15 Year Pro Forma'!$E$66:XBV$66))</f>
        <v>0</v>
      </c>
      <c r="XBY66" s="956">
        <f>MIN(XBY60*$C$65,Application!$AO$636-SUM('15 Year Pro Forma'!$E$66:XBX$66))</f>
        <v>0</v>
      </c>
      <c r="XCA66" s="956">
        <f>MIN(XCA60*$C$65,Application!$AO$636-SUM('15 Year Pro Forma'!$E$66:XBZ$66))</f>
        <v>0</v>
      </c>
      <c r="XCC66" s="956">
        <f>MIN(XCC60*$C$65,Application!$AO$636-SUM('15 Year Pro Forma'!$E$66:XCB$66))</f>
        <v>0</v>
      </c>
      <c r="XCE66" s="956">
        <f>MIN(XCE60*$C$65,Application!$AO$636-SUM('15 Year Pro Forma'!$E$66:XCD$66))</f>
        <v>0</v>
      </c>
      <c r="XCG66" s="956">
        <f>MIN(XCG60*$C$65,Application!$AO$636-SUM('15 Year Pro Forma'!$E$66:XCF$66))</f>
        <v>0</v>
      </c>
      <c r="XCI66" s="956">
        <f>MIN(XCI60*$C$65,Application!$AO$636-SUM('15 Year Pro Forma'!$E$66:XCH$66))</f>
        <v>0</v>
      </c>
      <c r="XCK66" s="956">
        <f>MIN(XCK60*$C$65,Application!$AO$636-SUM('15 Year Pro Forma'!$E$66:XCJ$66))</f>
        <v>0</v>
      </c>
      <c r="XCM66" s="956">
        <f>MIN(XCM60*$C$65,Application!$AO$636-SUM('15 Year Pro Forma'!$E$66:XCL$66))</f>
        <v>0</v>
      </c>
      <c r="XCO66" s="956">
        <f>MIN(XCO60*$C$65,Application!$AO$636-SUM('15 Year Pro Forma'!$E$66:XCN$66))</f>
        <v>0</v>
      </c>
      <c r="XCQ66" s="956">
        <f>MIN(XCQ60*$C$65,Application!$AO$636-SUM('15 Year Pro Forma'!$E$66:XCP$66))</f>
        <v>0</v>
      </c>
      <c r="XCS66" s="956">
        <f>MIN(XCS60*$C$65,Application!$AO$636-SUM('15 Year Pro Forma'!$E$66:XCR$66))</f>
        <v>0</v>
      </c>
      <c r="XCU66" s="956">
        <f>MIN(XCU60*$C$65,Application!$AO$636-SUM('15 Year Pro Forma'!$E$66:XCT$66))</f>
        <v>0</v>
      </c>
      <c r="XCW66" s="956">
        <f>MIN(XCW60*$C$65,Application!$AO$636-SUM('15 Year Pro Forma'!$E$66:XCV$66))</f>
        <v>0</v>
      </c>
      <c r="XCY66" s="956">
        <f>MIN(XCY60*$C$65,Application!$AO$636-SUM('15 Year Pro Forma'!$E$66:XCX$66))</f>
        <v>0</v>
      </c>
      <c r="XDA66" s="956">
        <f>MIN(XDA60*$C$65,Application!$AO$636-SUM('15 Year Pro Forma'!$E$66:XCZ$66))</f>
        <v>0</v>
      </c>
      <c r="XDC66" s="956">
        <f>MIN(XDC60*$C$65,Application!$AO$636-SUM('15 Year Pro Forma'!$E$66:XDB$66))</f>
        <v>0</v>
      </c>
      <c r="XDE66" s="956">
        <f>MIN(XDE60*$C$65,Application!$AO$636-SUM('15 Year Pro Forma'!$E$66:XDD$66))</f>
        <v>0</v>
      </c>
      <c r="XDG66" s="956">
        <f>MIN(XDG60*$C$65,Application!$AO$636-SUM('15 Year Pro Forma'!$E$66:XDF$66))</f>
        <v>0</v>
      </c>
      <c r="XDI66" s="956">
        <f>MIN(XDI60*$C$65,Application!$AO$636-SUM('15 Year Pro Forma'!$E$66:XDH$66))</f>
        <v>0</v>
      </c>
      <c r="XDK66" s="956">
        <f>MIN(XDK60*$C$65,Application!$AO$636-SUM('15 Year Pro Forma'!$E$66:XDJ$66))</f>
        <v>0</v>
      </c>
      <c r="XDM66" s="956">
        <f>MIN(XDM60*$C$65,Application!$AO$636-SUM('15 Year Pro Forma'!$E$66:XDL$66))</f>
        <v>0</v>
      </c>
      <c r="XDO66" s="956">
        <f>MIN(XDO60*$C$65,Application!$AO$636-SUM('15 Year Pro Forma'!$E$66:XDN$66))</f>
        <v>0</v>
      </c>
      <c r="XDQ66" s="956">
        <f>MIN(XDQ60*$C$65,Application!$AO$636-SUM('15 Year Pro Forma'!$E$66:XDP$66))</f>
        <v>0</v>
      </c>
      <c r="XDS66" s="956">
        <f>MIN(XDS60*$C$65,Application!$AO$636-SUM('15 Year Pro Forma'!$E$66:XDR$66))</f>
        <v>0</v>
      </c>
      <c r="XDU66" s="956">
        <f>MIN(XDU60*$C$65,Application!$AO$636-SUM('15 Year Pro Forma'!$E$66:XDT$66))</f>
        <v>0</v>
      </c>
      <c r="XDW66" s="956">
        <f>MIN(XDW60*$C$65,Application!$AO$636-SUM('15 Year Pro Forma'!$E$66:XDV$66))</f>
        <v>0</v>
      </c>
      <c r="XDY66" s="956">
        <f>MIN(XDY60*$C$65,Application!$AO$636-SUM('15 Year Pro Forma'!$E$66:XDX$66))</f>
        <v>0</v>
      </c>
      <c r="XEA66" s="956">
        <f>MIN(XEA60*$C$65,Application!$AO$636-SUM('15 Year Pro Forma'!$E$66:XDZ$66))</f>
        <v>0</v>
      </c>
      <c r="XEC66" s="956">
        <f>MIN(XEC60*$C$65,Application!$AO$636-SUM('15 Year Pro Forma'!$E$66:XEB$66))</f>
        <v>0</v>
      </c>
      <c r="XEE66" s="956">
        <f>MIN(XEE60*$C$65,Application!$AO$636-SUM('15 Year Pro Forma'!$E$66:XED$66))</f>
        <v>0</v>
      </c>
      <c r="XEG66" s="956">
        <f>MIN(XEG60*$C$65,Application!$AO$636-SUM('15 Year Pro Forma'!$E$66:XEF$66))</f>
        <v>0</v>
      </c>
      <c r="XEI66" s="956">
        <f>MIN(XEI60*$C$65,Application!$AO$636-SUM('15 Year Pro Forma'!$E$66:XEH$66))</f>
        <v>0</v>
      </c>
      <c r="XEK66" s="956">
        <f>MIN(XEK60*$C$65,Application!$AO$636-SUM('15 Year Pro Forma'!$E$66:XEJ$66))</f>
        <v>0</v>
      </c>
      <c r="XEM66" s="956">
        <f>MIN(XEM60*$C$65,Application!$AO$636-SUM('15 Year Pro Forma'!$E$66:XEL$66))</f>
        <v>0</v>
      </c>
      <c r="XEO66" s="956">
        <f>MIN(XEO60*$C$65,Application!$AO$636-SUM('15 Year Pro Forma'!$E$66:XEN$66))</f>
        <v>0</v>
      </c>
      <c r="XEQ66" s="956">
        <f>MIN(XEQ60*$C$65,Application!$AO$636-SUM('15 Year Pro Forma'!$E$66:XEP$66))</f>
        <v>0</v>
      </c>
      <c r="XES66" s="956">
        <f>MIN(XES60*$C$65,Application!$AO$636-SUM('15 Year Pro Forma'!$E$66:XER$66))</f>
        <v>0</v>
      </c>
      <c r="XEU66" s="956">
        <f>MIN(XEU60*$C$65,Application!$AO$636-SUM('15 Year Pro Forma'!$E$66:XET$66))</f>
        <v>0</v>
      </c>
      <c r="XEW66" s="956">
        <f>MIN(XEW60*$C$65,Application!$AO$636-SUM('15 Year Pro Forma'!$E$66:XEV$66))</f>
        <v>0</v>
      </c>
      <c r="XEY66" s="956">
        <f>MIN(XEY60*$C$65,Application!$AO$636-SUM('15 Year Pro Forma'!$E$66:XEX$66))</f>
        <v>0</v>
      </c>
      <c r="XFA66" s="956">
        <f>MIN(XFA60*$C$65,Application!$AO$636-SUM('15 Year Pro Forma'!$E$66:XEZ$66))</f>
        <v>0</v>
      </c>
      <c r="XFC66" s="956">
        <f>MIN(XFC60*$C$65,Application!$AO$636-SUM('15 Year Pro Forma'!$E$66:XFB$66))</f>
        <v>0</v>
      </c>
    </row>
    <row r="67" spans="1:1023 1025:2047 2049:3071 3073:4095 4097:5119 5121:6143 6145:7167 7169:8191 8193:9215 9217:10239 10241:11263 11265:12287 12289:13311 13313:14335 14337:15359 15361:16383" s="956" customFormat="1">
      <c r="A67" s="961"/>
      <c r="B67" s="961"/>
      <c r="C67" s="966"/>
      <c r="E67" s="960"/>
    </row>
    <row r="68" spans="1:1023 1025:2047 2049:3071 3073:4095 4097:5119 5121:6143 6145:7167 7169:8191 8193:9215 9217:10239 10241:11263 11265:12287 12289:13311 13313:14335 14337:15359 15361:16383" s="956" customFormat="1">
      <c r="A68" s="961"/>
      <c r="B68" s="961"/>
      <c r="C68" s="966"/>
      <c r="E68" s="961"/>
    </row>
    <row r="69" spans="1:1023 1025:2047 2049:3071 3073:4095 4097:5119 5121:6143 6145:7167 7169:8191 8193:9215 9217:10239 10241:11263 11265:12287 12289:13311 13313:14335 14337:15359 15361:16383" s="956" customFormat="1">
      <c r="A69" s="961"/>
      <c r="B69" s="961"/>
      <c r="C69" s="966"/>
      <c r="E69" s="963"/>
      <c r="G69" s="964"/>
      <c r="I69" s="964"/>
      <c r="K69" s="964"/>
      <c r="M69" s="964"/>
      <c r="O69" s="964"/>
      <c r="Q69" s="964"/>
      <c r="S69" s="964"/>
      <c r="U69" s="964"/>
      <c r="W69" s="964"/>
      <c r="Y69" s="964"/>
      <c r="AA69" s="964"/>
      <c r="AC69" s="964"/>
      <c r="AE69" s="964"/>
      <c r="AG69" s="964"/>
      <c r="AI69" s="964"/>
      <c r="AK69" s="964"/>
      <c r="AM69" s="964"/>
      <c r="AO69" s="964"/>
      <c r="AQ69" s="964"/>
      <c r="AS69" s="964"/>
      <c r="AU69" s="964"/>
      <c r="AW69" s="964"/>
      <c r="AY69" s="964"/>
      <c r="BA69" s="964"/>
      <c r="BC69" s="964"/>
      <c r="BE69" s="964"/>
      <c r="BG69" s="964"/>
      <c r="BI69" s="964"/>
      <c r="BK69" s="964"/>
    </row>
    <row r="70" spans="1:1023 1025:2047 2049:3071 3073:4095 4097:5119 5121:6143 6145:7167 7169:8191 8193:9215 9217:10239 10241:11263 11265:12287 12289:13311 13313:14335 14337:15359 15361:16383"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34635.293447467906</v>
      </c>
      <c r="AC70" s="956">
        <f>SUM(AC66:AC69)</f>
        <v>303736.04533796548</v>
      </c>
      <c r="AE70" s="956">
        <f>SUM(AE66:AE69)</f>
        <v>324794.7612401722</v>
      </c>
      <c r="AG70" s="956">
        <f>SUM(AG66:AG69)</f>
        <v>346166.01443865639</v>
      </c>
      <c r="AI70" s="956">
        <f t="shared" ref="AI70" si="8640">SUM(AI66:AI69)</f>
        <v>367850.15191582759</v>
      </c>
      <c r="AK70" s="956">
        <f t="shared" ref="AK70" si="8641">SUM(AK66:AK69)</f>
        <v>389847.26869265543</v>
      </c>
      <c r="AM70" s="956">
        <f t="shared" ref="AM70" si="8642">SUM(AM66:AM69)</f>
        <v>412157.19242919103</v>
      </c>
      <c r="AO70" s="956">
        <f t="shared" ref="AO70" si="8643">SUM(AO66:AO69)</f>
        <v>434779.46732225909</v>
      </c>
      <c r="AQ70" s="956">
        <f t="shared" ref="AQ70" si="8644">SUM(AQ66:AQ69)</f>
        <v>457713.33727165026</v>
      </c>
      <c r="AS70" s="956">
        <f t="shared" ref="AS70" si="8645">SUM(AS66:AS69)</f>
        <v>480957.72828503756</v>
      </c>
      <c r="AU70" s="956">
        <f t="shared" ref="AU70" si="8646">SUM(AU66:AU69)</f>
        <v>504511.23009068565</v>
      </c>
      <c r="AW70" s="956">
        <f t="shared" ref="AW70" si="8647">SUM(AW66:AW69)</f>
        <v>528372.07692584326</v>
      </c>
      <c r="AY70" s="956">
        <f t="shared" ref="AY70" si="8648">SUM(AY66:AY69)</f>
        <v>212674.43260258809</v>
      </c>
      <c r="BA70" s="956">
        <f t="shared" ref="BA70" si="8649">SUM(BA66:BA69)</f>
        <v>0</v>
      </c>
      <c r="BC70" s="956">
        <f t="shared" ref="BC70" si="8650">SUM(BC66:BC69)</f>
        <v>0</v>
      </c>
      <c r="BE70" s="956">
        <f t="shared" ref="BE70" si="8651">SUM(BE66:BE69)</f>
        <v>0</v>
      </c>
      <c r="BG70" s="956">
        <f t="shared" ref="BG70" si="8652">SUM(BG66:BG69)</f>
        <v>0</v>
      </c>
      <c r="BI70" s="956">
        <f t="shared" ref="BI70" si="8653">SUM(BI66:BI69)</f>
        <v>0</v>
      </c>
      <c r="BK70" s="956">
        <f t="shared" ref="BK70" si="8654">SUM(BK66:BK69)</f>
        <v>0</v>
      </c>
    </row>
    <row r="71" spans="1:1023 1025:2047 2049:3071 3073:4095 4097:5119 5121:6143 6145:7167 7169:8191 8193:9215 9217:10239 10241:11263 11265:12287 12289:13311 13313:14335 14337:15359 15361:16383" s="956" customFormat="1">
      <c r="A71" s="958"/>
      <c r="C71" s="966"/>
    </row>
    <row r="72" spans="1:1023 1025:2047 2049:3071 3073:4095 4097:5119 5121:6143 6145:7167 7169:8191 8193:9215 9217:10239 10241:11263 11265:12287 12289:13311 13313:14335 14337:15359 15361:16383"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c r="AI72" s="958">
        <f t="shared" ref="AI72" si="8655">AI60-AI62-AI70</f>
        <v>0</v>
      </c>
      <c r="AK72" s="958">
        <f t="shared" ref="AK72" si="8656">AK60-AK62-AK70</f>
        <v>0</v>
      </c>
      <c r="AM72" s="958">
        <f t="shared" ref="AM72" si="8657">AM60-AM62-AM70</f>
        <v>0</v>
      </c>
      <c r="AO72" s="958">
        <f t="shared" ref="AO72" si="8658">AO60-AO62-AO70</f>
        <v>0</v>
      </c>
      <c r="AQ72" s="958">
        <f t="shared" ref="AQ72" si="8659">AQ60-AQ62-AQ70</f>
        <v>0</v>
      </c>
      <c r="AS72" s="958">
        <f t="shared" ref="AS72" si="8660">AS60-AS62-AS70</f>
        <v>0</v>
      </c>
      <c r="AU72" s="958">
        <f t="shared" ref="AU72" si="8661">AU60-AU62-AU70</f>
        <v>0</v>
      </c>
      <c r="AW72" s="958">
        <f t="shared" ref="AW72" si="8662">AW60-AW62-AW70</f>
        <v>0</v>
      </c>
      <c r="AY72" s="958">
        <f t="shared" ref="AY72" si="8663">AY60-AY62-AY70</f>
        <v>339863.69486487971</v>
      </c>
      <c r="BA72" s="958">
        <f t="shared" ref="BA72" si="8664">BA60-BA62-BA70</f>
        <v>577006.84387066611</v>
      </c>
      <c r="BC72" s="958">
        <f t="shared" ref="BC72" si="8665">BC60-BC62-BC70</f>
        <v>601775.26987888955</v>
      </c>
      <c r="BE72" s="958">
        <f t="shared" ref="BE72" si="8666">BE60-BE62-BE70</f>
        <v>626840.00796855276</v>
      </c>
      <c r="BG72" s="958">
        <f t="shared" ref="BG72" si="8667">BG60-BG62-BG70</f>
        <v>652197.19548934081</v>
      </c>
      <c r="BI72" s="958">
        <f t="shared" ref="BI72" si="8668">BI60-BI62-BI70</f>
        <v>677842.47975994728</v>
      </c>
      <c r="BK72" s="958">
        <f t="shared" ref="BK72" si="8669">BK60-BK62-BK70</f>
        <v>703770.99207749078</v>
      </c>
    </row>
    <row r="73" spans="1:1023 1025:2047 2049:3071 3073:4095 4097:5119 5121:6143 6145:7167 7169:8191 8193:9215 9217:10239 10241:11263 11265:12287 12289:13311 13313:14335 14337:15359 15361:16383" s="956" customFormat="1">
      <c r="A73" s="529"/>
      <c r="C73" s="966"/>
    </row>
    <row r="74" spans="1:1023 1025:2047 2049:3071 3073:4095 4097:5119 5121:6143 6145:7167 7169:8191 8193:9215 9217:10239 10241:11263 11265:12287 12289:13311 13313:14335 14337:15359 15361:16383" s="217" customFormat="1">
      <c r="A74" s="529"/>
      <c r="C74" s="183"/>
    </row>
    <row r="75" spans="1:1023 1025:2047 2049:3071 3073:4095 4097:5119 5121:6143 6145:7167 7169:8191 8193:9215 9217:10239 10241:11263 11265:12287 12289:13311 13313:14335 14337:15359 15361:16383" s="217" customFormat="1">
      <c r="A75" s="956" t="s">
        <v>1711</v>
      </c>
      <c r="C75" s="183"/>
    </row>
    <row r="76" spans="1:1023 1025:2047 2049:3071 3073:4095 4097:5119 5121:6143 6145:7167 7169:8191 8193:9215 9217:10239 10241:11263 11265:12287 12289:13311 13313:14335 14337:15359 15361:16383" s="217" customFormat="1">
      <c r="C76" s="183"/>
    </row>
    <row r="77" spans="1:1023 1025:2047 2049:3071 3073:4095 4097:5119 5121:6143 6145:7167 7169:8191 8193:9215 9217:10239 10241:11263 11265:12287 12289:13311 13313:14335 14337:15359 15361:16383" s="234" customFormat="1" ht="30" customHeight="1">
      <c r="A77" s="2683" t="s">
        <v>1710</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phoneticPr fontId="191" type="noConversion"/>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200000</v>
      </c>
      <c r="C8" s="266">
        <f>'Sources and Uses Budget'!$C7</f>
        <v>200000</v>
      </c>
      <c r="D8" s="270">
        <f t="shared" si="0"/>
        <v>0</v>
      </c>
      <c r="E8" s="268"/>
      <c r="F8" s="267"/>
    </row>
    <row r="9" spans="1:6" s="352" customFormat="1">
      <c r="A9" s="365" t="s">
        <v>593</v>
      </c>
      <c r="B9" s="270">
        <f>SUM(B5:B8)</f>
        <v>200000</v>
      </c>
      <c r="C9" s="270">
        <f>SUM(C5:C8)</f>
        <v>200000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200000</v>
      </c>
      <c r="C13" s="270">
        <f>SUM(C9+C12)</f>
        <v>200000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353782</v>
      </c>
      <c r="C30" s="266">
        <f>'Sources and Uses Budget'!$C29</f>
        <v>353782</v>
      </c>
      <c r="D30" s="270">
        <f t="shared" si="0"/>
        <v>0</v>
      </c>
      <c r="E30" s="268"/>
      <c r="F30" s="267"/>
    </row>
    <row r="31" spans="1:6" s="352" customFormat="1">
      <c r="A31" s="145" t="s">
        <v>599</v>
      </c>
      <c r="B31" s="266">
        <f>'Sources and Uses Budget'!$C30</f>
        <v>11000000</v>
      </c>
      <c r="C31" s="266">
        <f>'Sources and Uses Budget'!$C30</f>
        <v>11000000</v>
      </c>
      <c r="D31" s="270">
        <f t="shared" si="0"/>
        <v>0</v>
      </c>
      <c r="E31" s="268"/>
      <c r="F31" s="267"/>
    </row>
    <row r="32" spans="1:6" s="352" customFormat="1">
      <c r="A32" s="145" t="s">
        <v>600</v>
      </c>
      <c r="B32" s="266">
        <f>'Sources and Uses Budget'!$C31</f>
        <v>567689</v>
      </c>
      <c r="C32" s="266">
        <f>'Sources and Uses Budget'!$C31</f>
        <v>567689</v>
      </c>
      <c r="D32" s="270">
        <f t="shared" si="0"/>
        <v>0</v>
      </c>
      <c r="E32" s="268"/>
      <c r="F32" s="267"/>
    </row>
    <row r="33" spans="1:6" s="352" customFormat="1">
      <c r="A33" s="145" t="s">
        <v>137</v>
      </c>
      <c r="B33" s="266">
        <f>'Sources and Uses Budget'!$C32</f>
        <v>455000</v>
      </c>
      <c r="C33" s="266">
        <f>'Sources and Uses Budget'!$C32</f>
        <v>455000</v>
      </c>
      <c r="D33" s="270">
        <f t="shared" si="0"/>
        <v>0</v>
      </c>
      <c r="E33" s="268"/>
      <c r="F33" s="267"/>
    </row>
    <row r="34" spans="1:6" s="352" customFormat="1">
      <c r="A34" s="145" t="s">
        <v>138</v>
      </c>
      <c r="B34" s="266">
        <f>'Sources and Uses Budget'!$C33</f>
        <v>566840</v>
      </c>
      <c r="C34" s="266">
        <f>'Sources and Uses Budget'!$C33</f>
        <v>566840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250000</v>
      </c>
      <c r="C36" s="266">
        <f>'Sources and Uses Budget'!$C35</f>
        <v>250000</v>
      </c>
      <c r="D36" s="270">
        <f t="shared" si="0"/>
        <v>0</v>
      </c>
      <c r="E36" s="268"/>
      <c r="F36" s="267"/>
    </row>
    <row r="37" spans="1:6" s="352" customFormat="1">
      <c r="A37" s="283" t="s">
        <v>1629</v>
      </c>
      <c r="B37" s="266">
        <f>'Sources and Uses Budget'!$C36</f>
        <v>200000</v>
      </c>
      <c r="C37" s="266">
        <f>'Sources and Uses Budget'!$C36</f>
        <v>200000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13393311</v>
      </c>
      <c r="C39" s="270">
        <f>SUM(C30:C38)</f>
        <v>13393311</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242000</v>
      </c>
      <c r="C41" s="266">
        <f>'Sources and Uses Budget'!$C40</f>
        <v>242000</v>
      </c>
      <c r="D41" s="270">
        <f t="shared" si="0"/>
        <v>0</v>
      </c>
      <c r="E41" s="268"/>
      <c r="F41" s="267"/>
    </row>
    <row r="42" spans="1:6" s="352" customFormat="1">
      <c r="A42" s="269" t="s">
        <v>146</v>
      </c>
      <c r="B42" s="266">
        <f>'Sources and Uses Budget'!$C41</f>
        <v>200000</v>
      </c>
      <c r="C42" s="266">
        <f>'Sources and Uses Budget'!$C41</f>
        <v>200000</v>
      </c>
      <c r="D42" s="270">
        <f t="shared" si="0"/>
        <v>0</v>
      </c>
      <c r="E42" s="268"/>
      <c r="F42" s="267"/>
    </row>
    <row r="43" spans="1:6" s="352" customFormat="1">
      <c r="A43" s="271" t="s">
        <v>147</v>
      </c>
      <c r="B43" s="270">
        <f>SUM(B41:B42)</f>
        <v>442000</v>
      </c>
      <c r="C43" s="270">
        <f>SUM(C41:C42)</f>
        <v>442000</v>
      </c>
      <c r="D43" s="270">
        <f t="shared" si="0"/>
        <v>0</v>
      </c>
      <c r="E43" s="268"/>
      <c r="F43" s="267"/>
    </row>
    <row r="44" spans="1:6" s="352" customFormat="1">
      <c r="A44" s="271" t="s">
        <v>148</v>
      </c>
      <c r="B44" s="266">
        <f>'Sources and Uses Budget'!$C43</f>
        <v>631086</v>
      </c>
      <c r="C44" s="266">
        <f>'Sources and Uses Budget'!$C43</f>
        <v>631086</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1139086</v>
      </c>
      <c r="C46" s="266">
        <f>'Sources and Uses Budget'!$C45</f>
        <v>1139086</v>
      </c>
      <c r="D46" s="270">
        <f t="shared" si="0"/>
        <v>0</v>
      </c>
      <c r="E46" s="268"/>
      <c r="F46" s="267"/>
    </row>
    <row r="47" spans="1:6" s="352" customFormat="1">
      <c r="A47" s="145" t="s">
        <v>151</v>
      </c>
      <c r="B47" s="266">
        <f>'Sources and Uses Budget'!$C46</f>
        <v>158137</v>
      </c>
      <c r="C47" s="266">
        <f>'Sources and Uses Budget'!$C46</f>
        <v>158137</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375000</v>
      </c>
      <c r="C50" s="266">
        <f>'Sources and Uses Budget'!$C49</f>
        <v>375000</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1747223</v>
      </c>
      <c r="C55" s="273">
        <f>SUM(C46:C54)</f>
        <v>1747223</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102213</v>
      </c>
      <c r="C57" s="266">
        <f>'Sources and Uses Budget'!$C56</f>
        <v>102213</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75000</v>
      </c>
      <c r="C59" s="266">
        <f>'Sources and Uses Budget'!$C58</f>
        <v>75000</v>
      </c>
      <c r="D59" s="270">
        <f t="shared" si="0"/>
        <v>0</v>
      </c>
      <c r="E59" s="268"/>
      <c r="F59" s="267"/>
    </row>
    <row r="60" spans="1:6" s="352" customFormat="1">
      <c r="A60" s="269" t="s">
        <v>154</v>
      </c>
      <c r="B60" s="266">
        <f>'Sources and Uses Budget'!$C59</f>
        <v>44620</v>
      </c>
      <c r="C60" s="266">
        <f>'Sources and Uses Budget'!$C59</f>
        <v>44620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221833</v>
      </c>
      <c r="C63" s="270">
        <f>SUM(C57:C62)</f>
        <v>221833</v>
      </c>
      <c r="D63" s="270">
        <f t="shared" si="0"/>
        <v>0</v>
      </c>
      <c r="E63" s="268"/>
      <c r="F63" s="267"/>
    </row>
    <row r="64" spans="1:6" s="352" customFormat="1">
      <c r="A64" s="274" t="s">
        <v>302</v>
      </c>
      <c r="B64" s="270">
        <f>SUM(B9+B12+B14+B15+B17+B26+B28+B39+B43+B44+B55+B63)</f>
        <v>16635453</v>
      </c>
      <c r="C64" s="270">
        <f>SUM(C9+C12+C14+C15+C17+C26+C28+C39+C43+C44+C55+C63)</f>
        <v>16635453</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200000</v>
      </c>
      <c r="C66" s="266">
        <f>'Sources and Uses Budget'!$C65</f>
        <v>200000</v>
      </c>
      <c r="D66" s="270">
        <f t="shared" si="0"/>
        <v>0</v>
      </c>
      <c r="E66" s="268"/>
      <c r="F66" s="267"/>
    </row>
    <row r="67" spans="1:6" s="352" customFormat="1" ht="24">
      <c r="A67" s="283" t="s">
        <v>1630</v>
      </c>
      <c r="B67" s="266">
        <f>'Sources and Uses Budget'!$C66</f>
        <v>300000</v>
      </c>
      <c r="C67" s="266">
        <f>'Sources and Uses Budget'!$C66</f>
        <v>300000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(Outside Issuance Fees)</v>
      </c>
      <c r="B70" s="266">
        <f>'Sources and Uses Budget'!$C69</f>
        <v>75000</v>
      </c>
      <c r="C70" s="266">
        <f>'Sources and Uses Budget'!$C69</f>
        <v>75000</v>
      </c>
      <c r="D70" s="270">
        <f t="shared" si="0"/>
        <v>0</v>
      </c>
      <c r="E70" s="268"/>
      <c r="F70" s="267"/>
    </row>
    <row r="71" spans="1:6" s="352" customFormat="1">
      <c r="A71" s="149" t="s">
        <v>1634</v>
      </c>
      <c r="B71" s="270">
        <f>SUM(B66:B70)</f>
        <v>575000</v>
      </c>
      <c r="C71" s="270">
        <f>SUM(C66:C70)</f>
        <v>575000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295463</v>
      </c>
      <c r="C76" s="266">
        <f>'Sources and Uses Budget'!$C75</f>
        <v>295463</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295463</v>
      </c>
      <c r="C78" s="270">
        <f>SUM(C73:C77)</f>
        <v>295463</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567689</v>
      </c>
      <c r="C80" s="266">
        <f>'Sources and Uses Budget'!$C79</f>
        <v>567689</v>
      </c>
      <c r="D80" s="270">
        <f t="shared" si="1"/>
        <v>0</v>
      </c>
      <c r="E80" s="268"/>
      <c r="F80" s="267"/>
    </row>
    <row r="81" spans="1:6" s="352" customFormat="1">
      <c r="A81" s="510" t="s">
        <v>58</v>
      </c>
      <c r="B81" s="266">
        <f>'Sources and Uses Budget'!$C80</f>
        <v>195444</v>
      </c>
      <c r="C81" s="266">
        <f>'Sources and Uses Budget'!$C80</f>
        <v>195444</v>
      </c>
      <c r="D81" s="270">
        <f>C81-B81</f>
        <v>0</v>
      </c>
      <c r="E81" s="268"/>
      <c r="F81" s="267"/>
    </row>
    <row r="82" spans="1:6" s="352" customFormat="1">
      <c r="A82" s="271" t="s">
        <v>1209</v>
      </c>
      <c r="B82" s="270">
        <f>SUM(B80:B81)</f>
        <v>763133</v>
      </c>
      <c r="C82" s="270">
        <f>SUM(C80:C81)</f>
        <v>763133</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81265</v>
      </c>
      <c r="C84" s="266">
        <f>'Sources and Uses Budget'!$C83</f>
        <v>81265</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593627</v>
      </c>
      <c r="C87" s="266">
        <f>'Sources and Uses Budget'!$C86</f>
        <v>593627</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50000</v>
      </c>
      <c r="C89" s="266">
        <f>'Sources and Uses Budget'!$C88</f>
        <v>50000</v>
      </c>
      <c r="D89" s="270">
        <f t="shared" si="1"/>
        <v>0</v>
      </c>
      <c r="E89" s="268"/>
      <c r="F89" s="267"/>
    </row>
    <row r="90" spans="1:6" s="352" customFormat="1">
      <c r="A90" s="269" t="s">
        <v>772</v>
      </c>
      <c r="B90" s="266">
        <f>'Sources and Uses Budget'!$C89</f>
        <v>20000</v>
      </c>
      <c r="C90" s="266">
        <f>'Sources and Uses Budget'!$C89</f>
        <v>20000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27287</v>
      </c>
      <c r="C92" s="266">
        <f>'Sources and Uses Budget'!$C91</f>
        <v>27287</v>
      </c>
      <c r="D92" s="270">
        <f t="shared" si="1"/>
        <v>0</v>
      </c>
      <c r="E92" s="268"/>
      <c r="F92" s="267"/>
    </row>
    <row r="93" spans="1:6" s="352" customFormat="1">
      <c r="A93" s="510" t="s">
        <v>1211</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792179</v>
      </c>
      <c r="C97" s="270">
        <f>SUM(C84:C96)</f>
        <v>792179</v>
      </c>
      <c r="D97" s="270">
        <f t="shared" si="1"/>
        <v>0</v>
      </c>
      <c r="E97" s="268"/>
      <c r="F97" s="267"/>
    </row>
    <row r="98" spans="1:6" s="352" customFormat="1">
      <c r="A98" s="271" t="s">
        <v>775</v>
      </c>
      <c r="B98" s="270">
        <f>SUM(B64+B71+B78+B82+B97)</f>
        <v>19061228</v>
      </c>
      <c r="C98" s="270">
        <f>SUM(C64+C71+C78+C82+C97)</f>
        <v>19061228</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2546159</v>
      </c>
      <c r="C100" s="266">
        <f>'Sources and Uses Budget'!$C99</f>
        <v>2546159</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2546159</v>
      </c>
      <c r="C105" s="270">
        <f>SUM(C100:C104)</f>
        <v>2546159</v>
      </c>
      <c r="D105" s="270">
        <f t="shared" si="1"/>
        <v>0</v>
      </c>
      <c r="E105" s="268"/>
      <c r="F105" s="267"/>
    </row>
    <row r="106" spans="1:6" s="352" customFormat="1">
      <c r="A106" s="271" t="s">
        <v>780</v>
      </c>
      <c r="B106" s="273">
        <f>SUM(B98+B105)</f>
        <v>21607387</v>
      </c>
      <c r="C106" s="273">
        <f>SUM(C98+C105)</f>
        <v>21607387</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808" t="s">
        <v>1842</v>
      </c>
      <c r="B1" s="1809"/>
      <c r="C1" s="1809"/>
      <c r="D1" s="1809"/>
      <c r="E1" s="1809"/>
      <c r="F1" s="1809"/>
      <c r="G1" s="1809"/>
      <c r="H1" s="1809"/>
      <c r="I1" s="1809"/>
      <c r="J1" s="1809"/>
    </row>
    <row r="2" spans="1:10" ht="15">
      <c r="A2" s="1812" t="s">
        <v>1268</v>
      </c>
      <c r="B2" s="1813"/>
      <c r="C2" s="1813"/>
      <c r="D2" s="1813"/>
      <c r="E2" s="1813"/>
      <c r="F2" s="1813"/>
      <c r="G2" s="1813"/>
      <c r="H2" s="1813"/>
      <c r="I2" s="1813"/>
      <c r="J2" s="1813"/>
    </row>
    <row r="3" spans="1:10" ht="12.75"/>
    <row r="4" spans="1:10" ht="12.75" customHeight="1">
      <c r="A4" s="1810" t="s">
        <v>2005</v>
      </c>
      <c r="B4" s="1810"/>
      <c r="C4" s="1810"/>
      <c r="D4" s="1810"/>
      <c r="E4" s="1810"/>
      <c r="F4" s="1810"/>
      <c r="G4" s="1810"/>
      <c r="H4" s="1810"/>
      <c r="I4" s="1810"/>
      <c r="J4" s="1810"/>
    </row>
    <row r="5" spans="1:10" ht="12.75">
      <c r="A5" s="1810"/>
      <c r="B5" s="1810"/>
      <c r="C5" s="1810"/>
      <c r="D5" s="1810"/>
      <c r="E5" s="1810"/>
      <c r="F5" s="1810"/>
      <c r="G5" s="1810"/>
      <c r="H5" s="1810"/>
      <c r="I5" s="1810"/>
      <c r="J5" s="1810"/>
    </row>
    <row r="6" spans="1:10" ht="30" customHeight="1">
      <c r="A6" s="1810"/>
      <c r="B6" s="1810"/>
      <c r="C6" s="1810"/>
      <c r="D6" s="1810"/>
      <c r="E6" s="1810"/>
      <c r="F6" s="1810"/>
      <c r="G6" s="1810"/>
      <c r="H6" s="1810"/>
      <c r="I6" s="1810"/>
      <c r="J6" s="1810"/>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814" t="s">
        <v>1847</v>
      </c>
      <c r="B10" s="1814"/>
      <c r="C10" s="1814"/>
      <c r="D10" s="1814"/>
      <c r="E10" s="1814"/>
      <c r="F10" s="1814"/>
      <c r="G10" s="1814"/>
      <c r="H10" s="1814"/>
      <c r="I10" s="1814"/>
      <c r="J10" s="1814"/>
    </row>
    <row r="11" spans="1:10" ht="12.75">
      <c r="A11" s="1814"/>
      <c r="B11" s="1814"/>
      <c r="C11" s="1814"/>
      <c r="D11" s="1814"/>
      <c r="E11" s="1814"/>
      <c r="F11" s="1814"/>
      <c r="G11" s="1814"/>
      <c r="H11" s="1814"/>
      <c r="I11" s="1814"/>
      <c r="J11" s="1814"/>
    </row>
    <row r="12" spans="1:10" ht="12.75">
      <c r="A12" s="1814"/>
      <c r="B12" s="1814"/>
      <c r="C12" s="1814"/>
      <c r="D12" s="1814"/>
      <c r="E12" s="1814"/>
      <c r="F12" s="1814"/>
      <c r="G12" s="1814"/>
      <c r="H12" s="1814"/>
      <c r="I12" s="1814"/>
      <c r="J12" s="1814"/>
    </row>
    <row r="13" spans="1:10" ht="12.75">
      <c r="A13" s="1814"/>
      <c r="B13" s="1814"/>
      <c r="C13" s="1814"/>
      <c r="D13" s="1814"/>
      <c r="E13" s="1814"/>
      <c r="F13" s="1814"/>
      <c r="G13" s="1814"/>
      <c r="H13" s="1814"/>
      <c r="I13" s="1814"/>
      <c r="J13" s="1814"/>
    </row>
    <row r="14" spans="1:10" ht="12.75">
      <c r="A14" s="1814"/>
      <c r="B14" s="1814"/>
      <c r="C14" s="1814"/>
      <c r="D14" s="1814"/>
      <c r="E14" s="1814"/>
      <c r="F14" s="1814"/>
      <c r="G14" s="1814"/>
      <c r="H14" s="1814"/>
      <c r="I14" s="1814"/>
      <c r="J14" s="1814"/>
    </row>
    <row r="15" spans="1:10" ht="12.75">
      <c r="A15" s="1814"/>
      <c r="B15" s="1814"/>
      <c r="C15" s="1814"/>
      <c r="D15" s="1814"/>
      <c r="E15" s="1814"/>
      <c r="F15" s="1814"/>
      <c r="G15" s="1814"/>
      <c r="H15" s="1814"/>
      <c r="I15" s="1814"/>
      <c r="J15" s="1814"/>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813" t="s">
        <v>1189</v>
      </c>
      <c r="B19" s="1813"/>
      <c r="C19" s="1813"/>
      <c r="D19" s="1813"/>
      <c r="E19" s="1813"/>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10" t="s">
        <v>1190</v>
      </c>
      <c r="B76" s="1810"/>
      <c r="C76" s="1810"/>
      <c r="D76" s="1810"/>
      <c r="E76" s="1810"/>
      <c r="F76" s="1810"/>
      <c r="G76" s="1810"/>
      <c r="H76" s="1810"/>
      <c r="I76" s="1810"/>
      <c r="J76" s="1810"/>
    </row>
    <row r="77" spans="1:10" ht="12.75">
      <c r="A77" s="1810"/>
      <c r="B77" s="1810"/>
      <c r="C77" s="1810"/>
      <c r="D77" s="1810"/>
      <c r="E77" s="1810"/>
      <c r="F77" s="1810"/>
      <c r="G77" s="1810"/>
      <c r="H77" s="1810"/>
      <c r="I77" s="1810"/>
      <c r="J77" s="1810"/>
    </row>
    <row r="78" spans="1:10" ht="12.75">
      <c r="A78" s="1810"/>
      <c r="B78" s="1810"/>
      <c r="C78" s="1810"/>
      <c r="D78" s="1810"/>
      <c r="E78" s="1810"/>
      <c r="F78" s="1810"/>
      <c r="G78" s="1810"/>
      <c r="H78" s="1810"/>
      <c r="I78" s="1810"/>
      <c r="J78" s="1810"/>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811" t="s">
        <v>1843</v>
      </c>
      <c r="B89" s="1811"/>
      <c r="C89" s="1811"/>
      <c r="D89" s="1811"/>
      <c r="E89" s="1811"/>
      <c r="F89" s="1811"/>
      <c r="G89" s="1811"/>
      <c r="H89" s="1811"/>
      <c r="I89" s="1811"/>
    </row>
    <row r="90" spans="1:9" ht="12.75">
      <c r="A90" s="1803" t="s">
        <v>2003</v>
      </c>
      <c r="B90" s="1803"/>
      <c r="C90" s="1803"/>
      <c r="D90" s="1803"/>
      <c r="E90" s="1803"/>
    </row>
    <row r="91" spans="1:9" ht="12.75">
      <c r="A91" s="1803" t="s">
        <v>2004</v>
      </c>
      <c r="B91" s="1803"/>
      <c r="C91" s="1803"/>
      <c r="D91" s="1803"/>
      <c r="E91" s="1803"/>
    </row>
    <row r="92" spans="1:9" ht="12.75">
      <c r="A92" s="1803" t="s">
        <v>1844</v>
      </c>
      <c r="B92" s="1803"/>
      <c r="C92" s="1803"/>
      <c r="D92" s="1803"/>
      <c r="E92" s="180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Normal="100" workbookViewId="0">
      <selection activeCell="B1127" sqref="B112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64" t="s">
        <v>2591</v>
      </c>
      <c r="B2" s="1864"/>
      <c r="C2" s="1864"/>
      <c r="D2" s="1864"/>
      <c r="E2" s="1864"/>
      <c r="F2" s="1864"/>
      <c r="G2" s="1864"/>
      <c r="H2" s="1864"/>
      <c r="I2" s="1864"/>
    </row>
    <row r="3" spans="1:13">
      <c r="A3" s="1854" t="s">
        <v>2172</v>
      </c>
      <c r="B3" s="1854"/>
      <c r="C3" s="1854"/>
      <c r="D3" s="1854"/>
      <c r="E3" s="1854"/>
      <c r="F3" s="1854"/>
      <c r="G3" s="1854"/>
      <c r="H3" s="1854"/>
      <c r="I3" s="1854"/>
    </row>
    <row r="4" spans="1:13">
      <c r="A4" s="1854"/>
      <c r="B4" s="1854"/>
      <c r="C4" s="1813"/>
      <c r="D4" s="1813"/>
      <c r="E4" s="1813"/>
      <c r="F4" s="1813"/>
      <c r="G4" s="1813"/>
    </row>
    <row r="5" spans="1:13">
      <c r="A5" s="1854"/>
      <c r="B5" s="1854"/>
      <c r="C5" s="1813"/>
      <c r="D5" s="1813"/>
      <c r="E5" s="1813"/>
      <c r="F5" s="1813"/>
      <c r="G5" s="1813"/>
    </row>
    <row r="6" spans="1:13" ht="12.75" customHeight="1">
      <c r="A6" s="1857" t="s">
        <v>2171</v>
      </c>
      <c r="B6" s="1857"/>
      <c r="C6" s="1857"/>
      <c r="D6" s="1857"/>
      <c r="E6" s="1857"/>
      <c r="F6" s="1857"/>
      <c r="G6" s="1857"/>
      <c r="I6" s="490"/>
    </row>
    <row r="7" spans="1:13">
      <c r="A7" s="1857"/>
      <c r="B7" s="1857"/>
      <c r="C7" s="1857"/>
      <c r="D7" s="1857"/>
      <c r="E7" s="1857"/>
      <c r="F7" s="1857"/>
      <c r="G7" s="1857"/>
      <c r="I7" s="490"/>
    </row>
    <row r="8" spans="1:13">
      <c r="A8" s="481"/>
      <c r="B8" s="481"/>
      <c r="C8" s="482"/>
      <c r="D8" s="482"/>
      <c r="E8" s="482"/>
      <c r="F8" s="482"/>
    </row>
    <row r="9" spans="1:13">
      <c r="A9" s="1833" t="s">
        <v>1101</v>
      </c>
      <c r="B9" s="1833"/>
      <c r="C9" s="1833"/>
      <c r="D9" s="1833"/>
      <c r="E9" s="1833"/>
      <c r="F9" s="1833"/>
      <c r="G9" s="1833"/>
      <c r="H9" s="1023"/>
      <c r="I9" s="1024"/>
    </row>
    <row r="10" spans="1:13">
      <c r="A10" s="482"/>
      <c r="B10" s="482"/>
      <c r="E10" s="404"/>
    </row>
    <row r="11" spans="1:13" ht="13.7" customHeight="1">
      <c r="C11" s="482"/>
      <c r="D11" s="1856" t="s">
        <v>1100</v>
      </c>
      <c r="E11" s="1856"/>
      <c r="F11" s="1856"/>
    </row>
    <row r="12" spans="1:13">
      <c r="C12" s="482"/>
      <c r="D12" s="1856"/>
      <c r="E12" s="1856"/>
      <c r="F12" s="1856"/>
    </row>
    <row r="13" spans="1:13">
      <c r="A13" s="483"/>
      <c r="B13" s="483"/>
      <c r="C13" s="483"/>
      <c r="D13" s="1834" t="s">
        <v>1090</v>
      </c>
      <c r="E13" s="1834"/>
      <c r="F13" s="1834"/>
      <c r="M13" s="96"/>
    </row>
    <row r="14" spans="1:13">
      <c r="A14" s="483"/>
      <c r="B14" s="483"/>
      <c r="C14" s="483"/>
      <c r="D14" s="476"/>
      <c r="L14" s="312"/>
    </row>
    <row r="15" spans="1:13" ht="14.25">
      <c r="A15" s="484"/>
      <c r="B15" s="485" t="s">
        <v>2717</v>
      </c>
      <c r="C15" s="483"/>
      <c r="D15" s="1832" t="s">
        <v>1894</v>
      </c>
      <c r="E15" s="1832"/>
      <c r="F15" s="1832"/>
      <c r="I15" s="490"/>
    </row>
    <row r="16" spans="1:13">
      <c r="A16" s="483"/>
      <c r="B16" s="483"/>
      <c r="C16" s="483"/>
      <c r="D16" s="1832"/>
      <c r="E16" s="1832"/>
      <c r="F16" s="1832"/>
      <c r="I16" s="490"/>
    </row>
    <row r="17" spans="1:9">
      <c r="A17" s="483"/>
      <c r="B17" s="483"/>
      <c r="C17" s="483"/>
      <c r="D17" s="1832"/>
      <c r="E17" s="1832"/>
      <c r="F17" s="1832"/>
      <c r="I17" s="490"/>
    </row>
    <row r="18" spans="1:9">
      <c r="A18" s="483"/>
      <c r="B18" s="483"/>
      <c r="C18" s="483"/>
      <c r="D18" s="445"/>
      <c r="E18" s="312" t="s">
        <v>1892</v>
      </c>
      <c r="F18" s="445"/>
      <c r="I18" s="490"/>
    </row>
    <row r="19" spans="1:9">
      <c r="A19" s="483"/>
      <c r="B19" s="483"/>
      <c r="C19" s="483"/>
      <c r="I19" s="490"/>
    </row>
    <row r="20" spans="1:9" ht="14.25">
      <c r="A20" s="484"/>
      <c r="B20" s="485" t="s">
        <v>2717</v>
      </c>
      <c r="D20" s="1832" t="s">
        <v>1895</v>
      </c>
      <c r="E20" s="1832"/>
      <c r="F20" s="1832"/>
      <c r="I20" s="490"/>
    </row>
    <row r="21" spans="1:9" ht="14.25">
      <c r="A21" s="484"/>
      <c r="D21" s="1832"/>
      <c r="E21" s="1832"/>
      <c r="F21" s="1832"/>
      <c r="I21" s="490"/>
    </row>
    <row r="22" spans="1:9" ht="14.25">
      <c r="A22" s="484"/>
      <c r="D22" s="392"/>
      <c r="E22" s="96" t="s">
        <v>1891</v>
      </c>
      <c r="F22" s="392"/>
      <c r="I22" s="490"/>
    </row>
    <row r="23" spans="1:9" ht="14.25">
      <c r="A23" s="484"/>
      <c r="B23" s="484"/>
      <c r="D23" s="446"/>
      <c r="I23" s="490"/>
    </row>
    <row r="24" spans="1:9" ht="14.25">
      <c r="A24" s="484"/>
      <c r="B24" s="485" t="s">
        <v>2688</v>
      </c>
      <c r="D24" s="1832" t="s">
        <v>1091</v>
      </c>
      <c r="E24" s="1832"/>
      <c r="F24" s="1832"/>
      <c r="I24" s="490"/>
    </row>
    <row r="25" spans="1:9" ht="14.25">
      <c r="A25" s="484"/>
      <c r="B25" s="484"/>
      <c r="D25" s="1832"/>
      <c r="E25" s="1832"/>
      <c r="F25" s="1832"/>
      <c r="I25" s="490"/>
    </row>
    <row r="26" spans="1:9">
      <c r="I26" s="490"/>
    </row>
    <row r="27" spans="1:9" ht="14.25">
      <c r="A27" s="484"/>
      <c r="B27" s="485" t="s">
        <v>2717</v>
      </c>
      <c r="D27" s="1832" t="s">
        <v>2006</v>
      </c>
      <c r="E27" s="1832"/>
      <c r="F27" s="1832"/>
      <c r="I27" s="490"/>
    </row>
    <row r="28" spans="1:9">
      <c r="D28" s="1832"/>
      <c r="E28" s="1832"/>
      <c r="F28" s="1832"/>
      <c r="I28" s="490"/>
    </row>
    <row r="29" spans="1:9">
      <c r="D29" s="1832"/>
      <c r="E29" s="1832"/>
      <c r="F29" s="1832"/>
      <c r="I29" s="490"/>
    </row>
    <row r="30" spans="1:9">
      <c r="D30" s="1832"/>
      <c r="E30" s="1832"/>
      <c r="F30" s="1832"/>
      <c r="I30" s="490"/>
    </row>
    <row r="31" spans="1:9">
      <c r="D31" s="1832"/>
      <c r="E31" s="1832"/>
      <c r="F31" s="1832"/>
      <c r="I31" s="490"/>
    </row>
    <row r="32" spans="1:9">
      <c r="D32" s="447"/>
      <c r="I32" s="490"/>
    </row>
    <row r="33" spans="1:9">
      <c r="B33" s="485" t="s">
        <v>2688</v>
      </c>
      <c r="D33" s="1832" t="s">
        <v>2007</v>
      </c>
      <c r="E33" s="1832"/>
      <c r="F33" s="1832"/>
      <c r="I33" s="490"/>
    </row>
    <row r="34" spans="1:9">
      <c r="D34" s="1832"/>
      <c r="E34" s="1832"/>
      <c r="F34" s="1832"/>
      <c r="I34" s="490"/>
    </row>
    <row r="35" spans="1:9" ht="14.25">
      <c r="A35" s="484"/>
      <c r="B35" s="484"/>
      <c r="D35" s="447"/>
      <c r="I35" s="490"/>
    </row>
    <row r="36" spans="1:9" ht="14.45" customHeight="1">
      <c r="A36" s="484"/>
      <c r="B36" s="485" t="s">
        <v>2717</v>
      </c>
      <c r="D36" s="1832" t="s">
        <v>1214</v>
      </c>
      <c r="E36" s="1832"/>
      <c r="F36" s="1832"/>
      <c r="I36" s="490"/>
    </row>
    <row r="37" spans="1:9" ht="14.25">
      <c r="A37" s="484"/>
      <c r="B37" s="484"/>
      <c r="D37" s="1832"/>
      <c r="E37" s="1832"/>
      <c r="F37" s="1832"/>
      <c r="I37" s="490"/>
    </row>
    <row r="38" spans="1:9" ht="14.25">
      <c r="A38" s="484"/>
      <c r="B38" s="484"/>
      <c r="D38" s="1832"/>
      <c r="E38" s="1832"/>
      <c r="F38" s="1832"/>
      <c r="I38" s="490"/>
    </row>
    <row r="39" spans="1:9" ht="14.25">
      <c r="A39" s="484"/>
      <c r="B39" s="484"/>
      <c r="D39" s="1832"/>
      <c r="E39" s="1832"/>
      <c r="F39" s="1832"/>
      <c r="I39" s="490"/>
    </row>
    <row r="40" spans="1:9" ht="14.25">
      <c r="A40" s="484"/>
      <c r="B40" s="484"/>
      <c r="I40" s="490"/>
    </row>
    <row r="41" spans="1:9" ht="14.25">
      <c r="A41" s="484"/>
      <c r="B41" s="485" t="s">
        <v>2688</v>
      </c>
      <c r="D41" s="1832" t="s">
        <v>1092</v>
      </c>
      <c r="E41" s="1832"/>
      <c r="F41" s="1832"/>
      <c r="I41" s="490"/>
    </row>
    <row r="42" spans="1:9" ht="14.25">
      <c r="A42" s="484"/>
      <c r="B42" s="484"/>
      <c r="D42" s="1832"/>
      <c r="E42" s="1832"/>
      <c r="F42" s="1832"/>
      <c r="I42" s="490"/>
    </row>
    <row r="43" spans="1:9" ht="14.25">
      <c r="A43" s="484"/>
      <c r="B43" s="484"/>
      <c r="D43" s="1832"/>
      <c r="E43" s="1832"/>
      <c r="F43" s="1832"/>
      <c r="I43" s="490"/>
    </row>
    <row r="44" spans="1:9" ht="14.25">
      <c r="A44" s="484"/>
      <c r="B44" s="484"/>
      <c r="D44" s="1832"/>
      <c r="E44" s="1832"/>
      <c r="F44" s="1832"/>
      <c r="I44" s="490"/>
    </row>
    <row r="45" spans="1:9" ht="14.25">
      <c r="A45" s="484"/>
      <c r="B45" s="484"/>
      <c r="D45" s="1832"/>
      <c r="E45" s="1832"/>
      <c r="F45" s="1832"/>
      <c r="I45" s="490"/>
    </row>
    <row r="46" spans="1:9" ht="14.25">
      <c r="A46" s="484"/>
      <c r="B46" s="484"/>
      <c r="D46" s="445"/>
      <c r="E46" s="445"/>
      <c r="F46" s="445"/>
      <c r="I46" s="490"/>
    </row>
    <row r="47" spans="1:9" ht="14.25">
      <c r="A47" s="484"/>
      <c r="B47" s="485" t="s">
        <v>2717</v>
      </c>
      <c r="D47" s="1832" t="s">
        <v>1093</v>
      </c>
      <c r="E47" s="1832"/>
      <c r="F47" s="1832"/>
      <c r="I47" s="490"/>
    </row>
    <row r="48" spans="1:9" ht="14.25">
      <c r="A48" s="484"/>
      <c r="B48" s="484"/>
      <c r="D48" s="1832"/>
      <c r="E48" s="1832"/>
      <c r="F48" s="1832"/>
      <c r="I48" s="490"/>
    </row>
    <row r="49" spans="1:9" ht="14.25">
      <c r="A49" s="484"/>
      <c r="B49" s="484"/>
      <c r="D49" s="1832"/>
      <c r="E49" s="1832"/>
      <c r="F49" s="1832"/>
      <c r="I49" s="490"/>
    </row>
    <row r="50" spans="1:9" ht="23.25" customHeight="1">
      <c r="A50" s="484"/>
      <c r="B50" s="484"/>
      <c r="D50" s="1832"/>
      <c r="E50" s="1832"/>
      <c r="F50" s="1832"/>
      <c r="I50" s="490"/>
    </row>
    <row r="51" spans="1:9" ht="14.25">
      <c r="A51" s="484"/>
      <c r="B51" s="484"/>
      <c r="D51" s="446"/>
      <c r="I51" s="490"/>
    </row>
    <row r="52" spans="1:9" ht="14.45" customHeight="1">
      <c r="A52" s="484"/>
      <c r="B52" s="485" t="s">
        <v>2688</v>
      </c>
      <c r="D52" s="1832" t="s">
        <v>1094</v>
      </c>
      <c r="E52" s="1832"/>
      <c r="F52" s="1832"/>
      <c r="I52" s="490"/>
    </row>
    <row r="53" spans="1:9" ht="14.25">
      <c r="A53" s="484"/>
      <c r="B53" s="484"/>
      <c r="D53" s="1832"/>
      <c r="E53" s="1832"/>
      <c r="F53" s="1832"/>
      <c r="I53" s="490"/>
    </row>
    <row r="54" spans="1:9" ht="14.25">
      <c r="A54" s="484"/>
      <c r="B54" s="484"/>
      <c r="D54" s="1832"/>
      <c r="E54" s="1832"/>
      <c r="F54" s="1832"/>
      <c r="I54" s="490"/>
    </row>
    <row r="55" spans="1:9" ht="14.25">
      <c r="A55" s="484"/>
      <c r="B55" s="484"/>
      <c r="I55" s="490"/>
    </row>
    <row r="56" spans="1:9" ht="14.25">
      <c r="A56" s="484"/>
      <c r="B56" s="485" t="s">
        <v>2717</v>
      </c>
      <c r="D56" s="1859" t="s">
        <v>1095</v>
      </c>
      <c r="E56" s="1859"/>
      <c r="F56" s="1859"/>
      <c r="I56" s="490"/>
    </row>
    <row r="57" spans="1:9" ht="14.25">
      <c r="A57" s="484"/>
      <c r="B57" s="484"/>
      <c r="D57" s="1859"/>
      <c r="E57" s="1859"/>
      <c r="F57" s="1859"/>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2717</v>
      </c>
      <c r="D61" s="1832" t="s">
        <v>1096</v>
      </c>
      <c r="E61" s="1832"/>
      <c r="F61" s="1832"/>
      <c r="I61" s="490"/>
    </row>
    <row r="62" spans="1:9">
      <c r="D62" s="1832"/>
      <c r="E62" s="1832"/>
      <c r="F62" s="1832"/>
      <c r="I62" s="490"/>
    </row>
    <row r="63" spans="1:9">
      <c r="D63" s="1832"/>
      <c r="E63" s="1832"/>
      <c r="F63" s="1832"/>
      <c r="I63" s="490"/>
    </row>
    <row r="64" spans="1:9">
      <c r="I64" s="490"/>
    </row>
    <row r="65" spans="1:9" ht="14.25">
      <c r="A65" s="484"/>
      <c r="B65" s="485" t="s">
        <v>2688</v>
      </c>
      <c r="D65" s="1832" t="s">
        <v>1097</v>
      </c>
      <c r="E65" s="1832"/>
      <c r="F65" s="1832"/>
      <c r="I65" s="490"/>
    </row>
    <row r="66" spans="1:9">
      <c r="D66" s="1832"/>
      <c r="E66" s="1832"/>
      <c r="F66" s="1832"/>
      <c r="I66" s="490"/>
    </row>
    <row r="67" spans="1:9">
      <c r="I67" s="490"/>
    </row>
    <row r="68" spans="1:9" ht="14.25">
      <c r="A68" s="484"/>
      <c r="B68" s="485" t="s">
        <v>2688</v>
      </c>
      <c r="D68" s="1832" t="s">
        <v>1098</v>
      </c>
      <c r="E68" s="1832"/>
      <c r="F68" s="1832"/>
      <c r="I68" s="490"/>
    </row>
    <row r="69" spans="1:9">
      <c r="D69" s="1832"/>
      <c r="E69" s="1832"/>
      <c r="F69" s="1832"/>
      <c r="I69" s="490"/>
    </row>
    <row r="70" spans="1:9">
      <c r="D70" s="1832"/>
      <c r="E70" s="1832"/>
      <c r="F70" s="1832"/>
      <c r="I70" s="490"/>
    </row>
    <row r="71" spans="1:9">
      <c r="I71" s="490"/>
    </row>
    <row r="72" spans="1:9" ht="14.25">
      <c r="A72" s="484"/>
      <c r="B72" s="485" t="s">
        <v>2717</v>
      </c>
      <c r="D72" s="1832" t="s">
        <v>1099</v>
      </c>
      <c r="E72" s="1832"/>
      <c r="F72" s="1832"/>
      <c r="I72" s="490"/>
    </row>
    <row r="73" spans="1:9">
      <c r="D73" s="1832"/>
      <c r="E73" s="1832"/>
      <c r="F73" s="1832"/>
      <c r="I73" s="490"/>
    </row>
    <row r="74" spans="1:9" ht="14.25">
      <c r="A74" s="484"/>
      <c r="B74" s="484"/>
      <c r="D74" s="446"/>
      <c r="I74" s="490"/>
    </row>
    <row r="75" spans="1:9">
      <c r="A75" s="1833" t="s">
        <v>1044</v>
      </c>
      <c r="B75" s="1833"/>
      <c r="C75" s="1833"/>
      <c r="D75" s="1833"/>
      <c r="E75" s="1833"/>
      <c r="F75" s="1833"/>
      <c r="G75" s="1833"/>
      <c r="H75" s="1023"/>
      <c r="I75" s="1147"/>
    </row>
    <row r="76" spans="1:9">
      <c r="I76" s="490"/>
    </row>
    <row r="77" spans="1:9">
      <c r="C77" s="486"/>
      <c r="D77" s="1852" t="s">
        <v>1102</v>
      </c>
      <c r="E77" s="1852"/>
      <c r="F77" s="1852"/>
      <c r="I77" s="490"/>
    </row>
    <row r="78" spans="1:9">
      <c r="A78" s="446"/>
      <c r="B78" s="446"/>
      <c r="D78" s="1832" t="s">
        <v>1117</v>
      </c>
      <c r="E78" s="1832"/>
      <c r="F78" s="1832"/>
      <c r="I78" s="490"/>
    </row>
    <row r="79" spans="1:9">
      <c r="A79" s="446"/>
      <c r="B79" s="446"/>
      <c r="I79" s="490"/>
    </row>
    <row r="80" spans="1:9" ht="13.7" customHeight="1">
      <c r="A80" s="484"/>
      <c r="B80" s="485" t="s">
        <v>2717</v>
      </c>
      <c r="D80" s="1832" t="s">
        <v>1245</v>
      </c>
      <c r="E80" s="1832"/>
      <c r="F80" s="1832"/>
      <c r="I80" s="490"/>
    </row>
    <row r="81" spans="1:9" ht="14.25">
      <c r="A81" s="484"/>
      <c r="B81" s="484"/>
      <c r="D81" s="1832"/>
      <c r="E81" s="1832"/>
      <c r="F81" s="1832"/>
      <c r="I81" s="490"/>
    </row>
    <row r="82" spans="1:9" ht="14.25">
      <c r="A82" s="484"/>
      <c r="B82" s="484"/>
      <c r="D82" s="1832"/>
      <c r="E82" s="1832"/>
      <c r="F82" s="1832"/>
      <c r="I82" s="490"/>
    </row>
    <row r="83" spans="1:9" ht="14.25">
      <c r="A83" s="484"/>
      <c r="B83" s="484"/>
      <c r="D83" s="1832"/>
      <c r="E83" s="1832"/>
      <c r="F83" s="1832"/>
      <c r="I83" s="490"/>
    </row>
    <row r="84" spans="1:9" ht="14.25">
      <c r="A84" s="484"/>
      <c r="B84" s="484"/>
      <c r="D84" s="1832"/>
      <c r="E84" s="1832"/>
      <c r="F84" s="1832"/>
      <c r="I84" s="490"/>
    </row>
    <row r="85" spans="1:9" ht="14.25">
      <c r="A85" s="484"/>
      <c r="B85" s="484"/>
      <c r="D85" s="1832"/>
      <c r="E85" s="1832"/>
      <c r="F85" s="1832"/>
      <c r="I85" s="490"/>
    </row>
    <row r="86" spans="1:9" ht="14.25">
      <c r="A86" s="484"/>
      <c r="B86" s="484"/>
      <c r="D86" s="1832"/>
      <c r="E86" s="1832"/>
      <c r="F86" s="1832"/>
      <c r="I86" s="490"/>
    </row>
    <row r="87" spans="1:9" ht="14.25">
      <c r="A87" s="484"/>
      <c r="B87" s="484"/>
      <c r="D87" s="1832"/>
      <c r="E87" s="1832"/>
      <c r="F87" s="1832"/>
      <c r="I87" s="490"/>
    </row>
    <row r="88" spans="1:9" ht="14.25">
      <c r="A88" s="484"/>
      <c r="B88" s="484"/>
      <c r="D88" s="385"/>
      <c r="E88" s="385"/>
      <c r="F88" s="385"/>
      <c r="I88" s="490"/>
    </row>
    <row r="89" spans="1:9" ht="15" customHeight="1">
      <c r="A89" s="484"/>
      <c r="B89" s="485" t="s">
        <v>2717</v>
      </c>
      <c r="D89" s="1832" t="s">
        <v>1730</v>
      </c>
      <c r="E89" s="1832"/>
      <c r="F89" s="1832"/>
      <c r="I89" s="490"/>
    </row>
    <row r="90" spans="1:9" ht="14.25">
      <c r="A90" s="484"/>
      <c r="B90" s="484"/>
      <c r="D90" s="1832"/>
      <c r="E90" s="1832"/>
      <c r="F90" s="1832"/>
      <c r="I90" s="490"/>
    </row>
    <row r="91" spans="1:9" ht="14.25">
      <c r="A91" s="484"/>
      <c r="B91" s="484"/>
      <c r="D91" s="445"/>
      <c r="E91" s="445"/>
      <c r="F91" s="445"/>
      <c r="I91" s="490"/>
    </row>
    <row r="92" spans="1:9" ht="14.25">
      <c r="A92" s="484"/>
      <c r="B92" s="485" t="s">
        <v>2688</v>
      </c>
      <c r="D92" s="1832" t="s">
        <v>1733</v>
      </c>
      <c r="E92" s="1832"/>
      <c r="F92" s="1832"/>
      <c r="I92" s="490"/>
    </row>
    <row r="93" spans="1:9" ht="14.25">
      <c r="A93" s="484"/>
      <c r="B93" s="484"/>
      <c r="D93" s="1832"/>
      <c r="E93" s="1832"/>
      <c r="F93" s="1832"/>
      <c r="I93" s="490"/>
    </row>
    <row r="94" spans="1:9" ht="14.25">
      <c r="A94" s="484"/>
      <c r="B94" s="484"/>
      <c r="D94" s="1832"/>
      <c r="E94" s="1832"/>
      <c r="F94" s="1832"/>
      <c r="I94" s="490"/>
    </row>
    <row r="95" spans="1:9" ht="14.25">
      <c r="A95" s="484"/>
      <c r="B95" s="484"/>
      <c r="D95" s="445"/>
      <c r="E95" s="445"/>
      <c r="F95" s="445"/>
      <c r="I95" s="490"/>
    </row>
    <row r="96" spans="1:9" ht="14.25">
      <c r="A96" s="484"/>
      <c r="B96" s="485" t="s">
        <v>2717</v>
      </c>
      <c r="D96" s="1832" t="s">
        <v>1732</v>
      </c>
      <c r="E96" s="1832"/>
      <c r="F96" s="1832"/>
      <c r="I96" s="490"/>
    </row>
    <row r="97" spans="1:9" s="982" customFormat="1" ht="14.25">
      <c r="A97" s="980"/>
      <c r="B97" s="980"/>
      <c r="C97" s="981"/>
      <c r="D97" s="1832"/>
      <c r="E97" s="1832"/>
      <c r="F97" s="1832"/>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2688</v>
      </c>
      <c r="D100" s="1832" t="s">
        <v>1731</v>
      </c>
      <c r="E100" s="1832"/>
      <c r="F100" s="1832"/>
      <c r="I100" s="490"/>
    </row>
    <row r="101" spans="1:9" ht="14.25">
      <c r="A101" s="484"/>
      <c r="B101" s="484"/>
      <c r="D101" s="1832"/>
      <c r="E101" s="1832"/>
      <c r="F101" s="1832"/>
      <c r="I101" s="490"/>
    </row>
    <row r="102" spans="1:9" ht="14.25">
      <c r="A102" s="484"/>
      <c r="B102" s="484"/>
      <c r="D102" s="445"/>
      <c r="E102" s="445"/>
      <c r="F102" s="445"/>
      <c r="I102" s="490"/>
    </row>
    <row r="103" spans="1:9" ht="14.45" customHeight="1">
      <c r="A103" s="484"/>
      <c r="B103" s="485" t="s">
        <v>2688</v>
      </c>
      <c r="D103" s="1832" t="s">
        <v>1194</v>
      </c>
      <c r="E103" s="1832"/>
      <c r="F103" s="1832"/>
      <c r="I103" s="490"/>
    </row>
    <row r="104" spans="1:9" ht="14.25">
      <c r="A104" s="484"/>
      <c r="B104" s="484"/>
      <c r="D104" s="1832"/>
      <c r="E104" s="1832"/>
      <c r="F104" s="1832"/>
      <c r="I104" s="490"/>
    </row>
    <row r="105" spans="1:9" ht="14.25">
      <c r="A105" s="484"/>
      <c r="B105" s="484"/>
      <c r="D105" s="1832"/>
      <c r="E105" s="1832"/>
      <c r="F105" s="1832"/>
      <c r="I105" s="490"/>
    </row>
    <row r="106" spans="1:9" ht="14.25">
      <c r="A106" s="484"/>
      <c r="B106" s="484"/>
      <c r="D106" s="1832"/>
      <c r="E106" s="1832"/>
      <c r="F106" s="1832"/>
      <c r="I106" s="490"/>
    </row>
    <row r="107" spans="1:9" ht="14.25">
      <c r="A107" s="484"/>
      <c r="B107" s="484"/>
      <c r="D107" s="1832"/>
      <c r="E107" s="1832"/>
      <c r="F107" s="1832"/>
      <c r="I107" s="490"/>
    </row>
    <row r="108" spans="1:9" ht="14.25">
      <c r="A108" s="484"/>
      <c r="B108" s="484"/>
      <c r="D108" s="1832"/>
      <c r="E108" s="1832"/>
      <c r="F108" s="1832"/>
      <c r="I108" s="490"/>
    </row>
    <row r="109" spans="1:9" ht="14.25">
      <c r="A109" s="484"/>
      <c r="B109" s="484"/>
      <c r="D109" s="1832"/>
      <c r="E109" s="1832"/>
      <c r="F109" s="1832"/>
      <c r="I109" s="490"/>
    </row>
    <row r="110" spans="1:9" ht="14.25">
      <c r="A110" s="484"/>
      <c r="B110" s="484"/>
      <c r="D110" s="1832"/>
      <c r="E110" s="1832"/>
      <c r="F110" s="1832"/>
      <c r="I110" s="490"/>
    </row>
    <row r="111" spans="1:9" ht="14.25">
      <c r="A111" s="484"/>
      <c r="B111" s="484"/>
      <c r="D111" s="1832"/>
      <c r="E111" s="1832"/>
      <c r="F111" s="1832"/>
      <c r="I111" s="490"/>
    </row>
    <row r="112" spans="1:9" ht="14.25">
      <c r="A112" s="484"/>
      <c r="B112" s="484"/>
      <c r="D112" s="1832"/>
      <c r="E112" s="1832"/>
      <c r="F112" s="1832"/>
      <c r="I112" s="490"/>
    </row>
    <row r="113" spans="1:9" ht="14.25">
      <c r="A113" s="484"/>
      <c r="B113" s="484"/>
      <c r="D113" s="1832"/>
      <c r="E113" s="1832"/>
      <c r="F113" s="1832"/>
      <c r="I113" s="490"/>
    </row>
    <row r="114" spans="1:9" ht="14.25">
      <c r="A114" s="484"/>
      <c r="B114" s="484"/>
      <c r="D114" s="1832"/>
      <c r="E114" s="1832"/>
      <c r="F114" s="1832"/>
      <c r="I114" s="490"/>
    </row>
    <row r="115" spans="1:9" ht="14.25">
      <c r="A115" s="484"/>
      <c r="B115" s="484"/>
      <c r="D115" s="1832"/>
      <c r="E115" s="1832"/>
      <c r="F115" s="1832"/>
      <c r="I115" s="490"/>
    </row>
    <row r="116" spans="1:9" ht="14.25">
      <c r="A116" s="484"/>
      <c r="B116" s="484"/>
      <c r="D116" s="1832"/>
      <c r="E116" s="1832"/>
      <c r="F116" s="1832"/>
      <c r="I116" s="490"/>
    </row>
    <row r="117" spans="1:9" ht="14.25">
      <c r="A117" s="484"/>
      <c r="B117" s="484"/>
      <c r="D117" s="1832"/>
      <c r="E117" s="1832"/>
      <c r="F117" s="1832"/>
      <c r="I117" s="490"/>
    </row>
    <row r="118" spans="1:9" ht="14.25">
      <c r="A118" s="484"/>
      <c r="B118" s="484"/>
      <c r="D118" s="524"/>
      <c r="E118" s="524"/>
      <c r="F118" s="524"/>
      <c r="I118" s="490"/>
    </row>
    <row r="119" spans="1:9" ht="14.25" customHeight="1">
      <c r="A119" s="484"/>
      <c r="B119" s="485" t="s">
        <v>2688</v>
      </c>
      <c r="D119" s="1858" t="s">
        <v>1103</v>
      </c>
      <c r="E119" s="1858"/>
      <c r="F119" s="1858"/>
      <c r="I119" s="490"/>
    </row>
    <row r="120" spans="1:9" ht="14.25">
      <c r="A120" s="484"/>
      <c r="B120" s="484"/>
      <c r="D120" s="1858"/>
      <c r="E120" s="1858"/>
      <c r="F120" s="1858"/>
      <c r="I120" s="490"/>
    </row>
    <row r="121" spans="1:9" ht="14.25">
      <c r="A121" s="484"/>
      <c r="B121" s="484"/>
      <c r="D121" s="1858"/>
      <c r="E121" s="1858"/>
      <c r="F121" s="1858"/>
      <c r="I121" s="490"/>
    </row>
    <row r="122" spans="1:9" ht="14.25">
      <c r="A122" s="484"/>
      <c r="B122" s="484"/>
      <c r="D122" s="1858"/>
      <c r="E122" s="1858"/>
      <c r="F122" s="1858"/>
      <c r="I122" s="490"/>
    </row>
    <row r="123" spans="1:9" ht="14.25">
      <c r="A123" s="484"/>
      <c r="B123" s="484"/>
      <c r="D123" s="1858"/>
      <c r="E123" s="1858"/>
      <c r="F123" s="1858"/>
      <c r="I123" s="490"/>
    </row>
    <row r="124" spans="1:9" ht="14.25">
      <c r="A124" s="484"/>
      <c r="B124" s="484"/>
      <c r="D124" s="1858"/>
      <c r="E124" s="1858"/>
      <c r="F124" s="1858"/>
      <c r="I124" s="490"/>
    </row>
    <row r="125" spans="1:9" ht="14.25">
      <c r="A125" s="484"/>
      <c r="B125" s="484"/>
      <c r="D125" s="1858"/>
      <c r="E125" s="1858"/>
      <c r="F125" s="1858"/>
      <c r="I125" s="490"/>
    </row>
    <row r="126" spans="1:9" ht="14.25">
      <c r="A126" s="484"/>
      <c r="B126" s="484"/>
      <c r="D126" s="1858"/>
      <c r="E126" s="1858"/>
      <c r="F126" s="1858"/>
      <c r="I126" s="490"/>
    </row>
    <row r="127" spans="1:9">
      <c r="C127" s="402"/>
      <c r="D127" s="525"/>
      <c r="E127" s="525"/>
      <c r="F127" s="525"/>
      <c r="I127" s="490"/>
    </row>
    <row r="128" spans="1:9" ht="14.25">
      <c r="A128" s="484"/>
      <c r="B128" s="485" t="s">
        <v>2717</v>
      </c>
      <c r="C128" s="402"/>
      <c r="D128" s="1858" t="s">
        <v>2008</v>
      </c>
      <c r="E128" s="1858"/>
      <c r="F128" s="1858"/>
      <c r="I128" s="490"/>
    </row>
    <row r="129" spans="1:9" ht="14.25">
      <c r="A129" s="484"/>
      <c r="B129" s="484"/>
      <c r="C129" s="402"/>
      <c r="D129" s="1858"/>
      <c r="E129" s="1858"/>
      <c r="F129" s="1858"/>
      <c r="I129" s="490"/>
    </row>
    <row r="130" spans="1:9">
      <c r="I130" s="490"/>
    </row>
    <row r="131" spans="1:9" ht="14.25">
      <c r="A131" s="484"/>
      <c r="B131" s="485" t="s">
        <v>2717</v>
      </c>
      <c r="D131" s="1832" t="s">
        <v>1104</v>
      </c>
      <c r="E131" s="1832"/>
      <c r="F131" s="1832"/>
      <c r="I131" s="490"/>
    </row>
    <row r="132" spans="1:9">
      <c r="D132" s="1832"/>
      <c r="E132" s="1832"/>
      <c r="F132" s="1832"/>
      <c r="I132" s="490"/>
    </row>
    <row r="133" spans="1:9">
      <c r="D133" s="1832"/>
      <c r="E133" s="1832"/>
      <c r="F133" s="1832"/>
      <c r="I133" s="490"/>
    </row>
    <row r="134" spans="1:9">
      <c r="D134" s="1832"/>
      <c r="E134" s="1832"/>
      <c r="F134" s="1832"/>
      <c r="I134" s="490"/>
    </row>
    <row r="135" spans="1:9">
      <c r="D135" s="1832"/>
      <c r="E135" s="1832"/>
      <c r="F135" s="1832"/>
      <c r="I135" s="490"/>
    </row>
    <row r="136" spans="1:9">
      <c r="I136" s="490"/>
    </row>
    <row r="137" spans="1:9" ht="14.25">
      <c r="A137" s="484"/>
      <c r="B137" s="485" t="s">
        <v>2717</v>
      </c>
      <c r="D137" s="1832" t="s">
        <v>1105</v>
      </c>
      <c r="E137" s="1832"/>
      <c r="F137" s="1832"/>
      <c r="I137" s="490"/>
    </row>
    <row r="138" spans="1:9" s="417" customFormat="1" ht="13.7" customHeight="1">
      <c r="A138" s="488"/>
      <c r="B138" s="488"/>
      <c r="C138" s="488"/>
      <c r="D138" s="1832"/>
      <c r="E138" s="1832"/>
      <c r="F138" s="1832"/>
      <c r="I138" s="1149"/>
    </row>
    <row r="139" spans="1:9" ht="13.7" customHeight="1">
      <c r="D139" s="1832"/>
      <c r="E139" s="1832"/>
      <c r="F139" s="1832"/>
      <c r="I139" s="490"/>
    </row>
    <row r="140" spans="1:9" ht="13.7" customHeight="1">
      <c r="D140" s="1832"/>
      <c r="E140" s="1832"/>
      <c r="F140" s="1832"/>
      <c r="I140" s="490"/>
    </row>
    <row r="141" spans="1:9" ht="13.7" customHeight="1">
      <c r="D141" s="1832"/>
      <c r="E141" s="1832"/>
      <c r="F141" s="1832"/>
      <c r="I141" s="490"/>
    </row>
    <row r="142" spans="1:9" ht="13.7" customHeight="1">
      <c r="A142" s="489"/>
      <c r="B142" s="489"/>
      <c r="D142" s="1832"/>
      <c r="E142" s="1832"/>
      <c r="F142" s="1832"/>
      <c r="I142" s="490"/>
    </row>
    <row r="143" spans="1:9" ht="13.7" customHeight="1">
      <c r="D143" s="1832"/>
      <c r="E143" s="1832"/>
      <c r="F143" s="1832"/>
      <c r="I143" s="490"/>
    </row>
    <row r="144" spans="1:9" ht="13.7" customHeight="1">
      <c r="D144" s="1832"/>
      <c r="E144" s="1832"/>
      <c r="F144" s="1832"/>
      <c r="I144" s="490"/>
    </row>
    <row r="145" spans="2:9" ht="13.7" customHeight="1">
      <c r="D145" s="1832"/>
      <c r="E145" s="1832"/>
      <c r="F145" s="1832"/>
      <c r="I145" s="490"/>
    </row>
    <row r="146" spans="2:9" ht="13.7" customHeight="1">
      <c r="D146" s="1832"/>
      <c r="E146" s="1832"/>
      <c r="F146" s="1832"/>
      <c r="I146" s="490"/>
    </row>
    <row r="147" spans="2:9" ht="13.7" customHeight="1">
      <c r="D147" s="1832"/>
      <c r="E147" s="1832"/>
      <c r="F147" s="1832"/>
      <c r="I147" s="490"/>
    </row>
    <row r="148" spans="2:9" ht="13.7" customHeight="1">
      <c r="D148" s="1832"/>
      <c r="E148" s="1832"/>
      <c r="F148" s="1832"/>
      <c r="I148" s="490"/>
    </row>
    <row r="149" spans="2:9" ht="13.7" customHeight="1">
      <c r="D149" s="1832"/>
      <c r="E149" s="1832"/>
      <c r="F149" s="1832"/>
      <c r="I149" s="490"/>
    </row>
    <row r="150" spans="2:9" ht="13.7" customHeight="1">
      <c r="D150" s="476"/>
      <c r="E150" s="446"/>
      <c r="F150" s="446"/>
      <c r="I150" s="490"/>
    </row>
    <row r="151" spans="2:9" ht="13.7" customHeight="1">
      <c r="B151" s="485" t="s">
        <v>2688</v>
      </c>
      <c r="D151" s="1832" t="s">
        <v>1177</v>
      </c>
      <c r="E151" s="1832"/>
      <c r="F151" s="1832"/>
      <c r="I151" s="490"/>
    </row>
    <row r="152" spans="2:9" ht="13.7" customHeight="1">
      <c r="D152" s="1832"/>
      <c r="E152" s="1832"/>
      <c r="F152" s="1832"/>
      <c r="I152" s="490"/>
    </row>
    <row r="153" spans="2:9" ht="13.7" customHeight="1">
      <c r="D153" s="1832"/>
      <c r="E153" s="1832"/>
      <c r="F153" s="1832"/>
      <c r="I153" s="490"/>
    </row>
    <row r="154" spans="2:9" ht="13.7" customHeight="1">
      <c r="D154" s="1832"/>
      <c r="E154" s="1832"/>
      <c r="F154" s="1832"/>
      <c r="I154" s="490"/>
    </row>
    <row r="155" spans="2:9" ht="13.7" customHeight="1">
      <c r="D155" s="1832"/>
      <c r="E155" s="1832"/>
      <c r="F155" s="1832"/>
      <c r="I155" s="490"/>
    </row>
    <row r="156" spans="2:9" ht="13.7" customHeight="1">
      <c r="D156" s="1832"/>
      <c r="E156" s="1832"/>
      <c r="F156" s="1832"/>
      <c r="I156" s="490"/>
    </row>
    <row r="157" spans="2:9" ht="13.7" customHeight="1">
      <c r="D157" s="1832"/>
      <c r="E157" s="1832"/>
      <c r="F157" s="1832"/>
      <c r="I157" s="490"/>
    </row>
    <row r="158" spans="2:9" ht="13.7" customHeight="1">
      <c r="D158" s="1832"/>
      <c r="E158" s="1832"/>
      <c r="F158" s="1832"/>
      <c r="I158" s="490"/>
    </row>
    <row r="159" spans="2:9" ht="13.7" customHeight="1">
      <c r="D159" s="1832"/>
      <c r="E159" s="1832"/>
      <c r="F159" s="1832"/>
      <c r="I159" s="490"/>
    </row>
    <row r="160" spans="2:9" ht="13.7" customHeight="1">
      <c r="D160" s="1832"/>
      <c r="E160" s="1832"/>
      <c r="F160" s="1832"/>
      <c r="I160" s="490"/>
    </row>
    <row r="161" spans="1:9" ht="13.7" customHeight="1">
      <c r="D161" s="1832"/>
      <c r="E161" s="1832"/>
      <c r="F161" s="1832"/>
      <c r="I161" s="490"/>
    </row>
    <row r="162" spans="1:9" ht="13.7" customHeight="1">
      <c r="D162" s="1832"/>
      <c r="E162" s="1832"/>
      <c r="F162" s="1832"/>
      <c r="I162" s="490"/>
    </row>
    <row r="163" spans="1:9" ht="13.7" customHeight="1">
      <c r="D163" s="1832"/>
      <c r="E163" s="1832"/>
      <c r="F163" s="1832"/>
      <c r="I163" s="490"/>
    </row>
    <row r="164" spans="1:9" ht="13.7" customHeight="1">
      <c r="D164" s="1832"/>
      <c r="E164" s="1832"/>
      <c r="F164" s="1832"/>
      <c r="I164" s="490"/>
    </row>
    <row r="165" spans="1:9" ht="13.7" customHeight="1">
      <c r="D165" s="1832"/>
      <c r="E165" s="1832"/>
      <c r="F165" s="1832"/>
      <c r="I165" s="490"/>
    </row>
    <row r="166" spans="1:9" ht="13.7" customHeight="1">
      <c r="D166" s="1832"/>
      <c r="E166" s="1832"/>
      <c r="F166" s="1832"/>
      <c r="I166" s="490"/>
    </row>
    <row r="167" spans="1:9" ht="13.7" customHeight="1">
      <c r="D167" s="1832"/>
      <c r="E167" s="1832"/>
      <c r="F167" s="1832"/>
      <c r="I167" s="490"/>
    </row>
    <row r="168" spans="1:9" ht="13.7" customHeight="1">
      <c r="D168" s="1832"/>
      <c r="E168" s="1832"/>
      <c r="F168" s="1832"/>
      <c r="I168" s="490"/>
    </row>
    <row r="169" spans="1:9" ht="13.7" customHeight="1">
      <c r="D169" s="1855" t="s">
        <v>2030</v>
      </c>
      <c r="E169" s="1855"/>
      <c r="F169" s="1855"/>
      <c r="G169" s="507"/>
      <c r="I169" s="490"/>
    </row>
    <row r="170" spans="1:9" ht="13.7" customHeight="1">
      <c r="D170" s="1842"/>
      <c r="E170" s="1842"/>
      <c r="F170" s="1842"/>
      <c r="G170" s="1842"/>
      <c r="I170" s="490"/>
    </row>
    <row r="171" spans="1:9" ht="14.45" customHeight="1">
      <c r="A171" s="489"/>
      <c r="B171" s="485" t="s">
        <v>2688</v>
      </c>
      <c r="C171" s="476"/>
      <c r="D171" s="1806" t="s">
        <v>2166</v>
      </c>
      <c r="E171" s="1806"/>
      <c r="F171" s="1806"/>
      <c r="G171" s="476"/>
      <c r="I171" s="490"/>
    </row>
    <row r="172" spans="1:9" ht="14.45" customHeight="1">
      <c r="A172" s="489"/>
      <c r="B172" s="489"/>
      <c r="C172" s="476"/>
      <c r="D172" s="1806"/>
      <c r="E172" s="1806"/>
      <c r="F172" s="1806"/>
      <c r="G172" s="476"/>
      <c r="I172" s="490"/>
    </row>
    <row r="173" spans="1:9" ht="14.45" customHeight="1">
      <c r="A173" s="489"/>
      <c r="B173" s="489"/>
      <c r="C173" s="476"/>
      <c r="D173" s="1806"/>
      <c r="E173" s="1806"/>
      <c r="F173" s="1806"/>
      <c r="G173" s="476"/>
      <c r="I173" s="490"/>
    </row>
    <row r="174" spans="1:9" ht="14.45" customHeight="1">
      <c r="A174" s="489"/>
      <c r="B174" s="489"/>
      <c r="C174" s="476"/>
      <c r="D174" s="1806"/>
      <c r="E174" s="1806"/>
      <c r="F174" s="1806"/>
      <c r="G174" s="476"/>
      <c r="I174" s="490"/>
    </row>
    <row r="175" spans="1:9" ht="13.7" customHeight="1">
      <c r="A175" s="489"/>
      <c r="B175" s="489"/>
      <c r="C175" s="476"/>
      <c r="D175" s="1806"/>
      <c r="E175" s="1806"/>
      <c r="F175" s="1806"/>
      <c r="G175" s="476"/>
      <c r="I175" s="490"/>
    </row>
    <row r="176" spans="1:9" ht="13.7" customHeight="1">
      <c r="A176" s="489"/>
      <c r="B176" s="489"/>
      <c r="C176" s="476"/>
      <c r="D176" s="476"/>
      <c r="E176" s="476"/>
      <c r="F176" s="476"/>
      <c r="G176" s="476"/>
      <c r="I176" s="490"/>
    </row>
    <row r="177" spans="1:9" ht="13.7" customHeight="1">
      <c r="A177" s="489"/>
      <c r="B177" s="485" t="s">
        <v>2688</v>
      </c>
      <c r="C177" s="476"/>
      <c r="D177" s="1806" t="s">
        <v>1106</v>
      </c>
      <c r="E177" s="1806"/>
      <c r="F177" s="1806"/>
      <c r="G177" s="476"/>
      <c r="I177" s="490"/>
    </row>
    <row r="178" spans="1:9" ht="13.7" customHeight="1">
      <c r="A178" s="489"/>
      <c r="B178" s="489"/>
      <c r="C178" s="476"/>
      <c r="D178" s="1806"/>
      <c r="E178" s="1806"/>
      <c r="F178" s="1806"/>
      <c r="G178" s="476"/>
      <c r="I178" s="490"/>
    </row>
    <row r="179" spans="1:9" ht="13.7" customHeight="1">
      <c r="A179" s="489"/>
      <c r="B179" s="489"/>
      <c r="C179" s="476"/>
      <c r="D179" s="1806"/>
      <c r="E179" s="1806"/>
      <c r="F179" s="1806"/>
      <c r="G179" s="476"/>
      <c r="I179" s="490"/>
    </row>
    <row r="180" spans="1:9" ht="13.7" customHeight="1">
      <c r="A180" s="489"/>
      <c r="B180" s="489"/>
      <c r="C180" s="476"/>
      <c r="D180" s="1806"/>
      <c r="E180" s="1806"/>
      <c r="F180" s="1806"/>
      <c r="G180" s="476"/>
      <c r="I180" s="490"/>
    </row>
    <row r="181" spans="1:9" ht="13.7" customHeight="1">
      <c r="D181" s="446"/>
      <c r="E181" s="446"/>
      <c r="F181" s="446"/>
      <c r="I181" s="490"/>
    </row>
    <row r="182" spans="1:9" ht="13.7" hidden="1" customHeight="1">
      <c r="B182" s="485" t="s">
        <v>307</v>
      </c>
      <c r="D182" s="1848" t="s">
        <v>2009</v>
      </c>
      <c r="E182" s="1848"/>
      <c r="F182" s="1848"/>
      <c r="I182" s="490"/>
    </row>
    <row r="183" spans="1:9" ht="13.7" hidden="1" customHeight="1">
      <c r="D183" s="1848"/>
      <c r="E183" s="1848"/>
      <c r="F183" s="1848"/>
      <c r="I183" s="490"/>
    </row>
    <row r="184" spans="1:9" ht="13.7" hidden="1" customHeight="1">
      <c r="D184" s="1848"/>
      <c r="E184" s="1848"/>
      <c r="F184" s="1848"/>
      <c r="I184" s="490"/>
    </row>
    <row r="185" spans="1:9" ht="13.7" customHeight="1">
      <c r="A185" s="490"/>
      <c r="B185" s="490"/>
      <c r="E185" s="446"/>
      <c r="F185" s="446"/>
      <c r="I185" s="490"/>
    </row>
    <row r="186" spans="1:9">
      <c r="A186" s="1833" t="s">
        <v>2010</v>
      </c>
      <c r="B186" s="1833"/>
      <c r="C186" s="1833"/>
      <c r="D186" s="1833"/>
      <c r="E186" s="1833"/>
      <c r="F186" s="1833"/>
      <c r="G186" s="1833"/>
      <c r="H186" s="1023"/>
      <c r="I186" s="1147"/>
    </row>
    <row r="187" spans="1:9" ht="12" customHeight="1">
      <c r="D187" s="446"/>
      <c r="E187" s="446"/>
      <c r="F187" s="446"/>
      <c r="I187" s="490"/>
    </row>
    <row r="188" spans="1:9">
      <c r="B188" s="1838" t="s">
        <v>446</v>
      </c>
      <c r="C188" s="1838"/>
      <c r="D188" s="1838"/>
      <c r="E188" s="1838"/>
      <c r="F188" s="1838"/>
      <c r="I188" s="490"/>
    </row>
    <row r="189" spans="1:9">
      <c r="B189" s="392" t="s">
        <v>1848</v>
      </c>
      <c r="C189" s="392"/>
      <c r="D189" s="392"/>
      <c r="E189" s="392"/>
      <c r="F189" s="392"/>
      <c r="I189" s="490"/>
    </row>
    <row r="190" spans="1:9" ht="12" customHeight="1">
      <c r="A190" s="482"/>
      <c r="B190" s="482"/>
      <c r="C190" s="482"/>
      <c r="I190" s="490"/>
    </row>
    <row r="191" spans="1:9">
      <c r="A191" s="1833" t="s">
        <v>1045</v>
      </c>
      <c r="B191" s="1833"/>
      <c r="C191" s="1833"/>
      <c r="D191" s="1833"/>
      <c r="E191" s="1833"/>
      <c r="F191" s="1833"/>
      <c r="G191" s="1833"/>
      <c r="H191" s="1023"/>
      <c r="I191" s="1147"/>
    </row>
    <row r="192" spans="1:9" ht="12" customHeight="1">
      <c r="A192" s="404"/>
      <c r="B192" s="404"/>
      <c r="E192" s="404"/>
      <c r="I192" s="490"/>
    </row>
    <row r="193" spans="1:9" ht="13.7" customHeight="1">
      <c r="A193" s="404"/>
      <c r="B193" s="404"/>
      <c r="D193" s="1852" t="s">
        <v>1734</v>
      </c>
      <c r="E193" s="1852"/>
      <c r="F193" s="1852"/>
      <c r="I193" s="490"/>
    </row>
    <row r="194" spans="1:9">
      <c r="A194" s="404"/>
      <c r="B194" s="404"/>
      <c r="D194" s="1852"/>
      <c r="E194" s="1852"/>
      <c r="F194" s="1852"/>
      <c r="I194" s="490"/>
    </row>
    <row r="195" spans="1:9">
      <c r="A195" s="404"/>
      <c r="B195" s="404"/>
      <c r="D195" s="1838" t="s">
        <v>1195</v>
      </c>
      <c r="E195" s="1838"/>
      <c r="F195" s="1838"/>
      <c r="I195" s="490"/>
    </row>
    <row r="196" spans="1:9">
      <c r="A196" s="404"/>
      <c r="B196" s="404"/>
      <c r="D196" s="392"/>
      <c r="E196" s="392"/>
      <c r="F196" s="392"/>
      <c r="I196" s="490"/>
    </row>
    <row r="197" spans="1:9">
      <c r="A197" s="404"/>
      <c r="B197" s="485" t="s">
        <v>2688</v>
      </c>
      <c r="D197" s="1824" t="s">
        <v>1735</v>
      </c>
      <c r="E197" s="1824"/>
      <c r="F197" s="1824"/>
      <c r="I197" s="490"/>
    </row>
    <row r="198" spans="1:9">
      <c r="A198" s="404"/>
      <c r="B198" s="404"/>
      <c r="D198" s="1815" t="s">
        <v>1874</v>
      </c>
      <c r="E198" s="1815"/>
      <c r="F198" s="1815"/>
      <c r="I198" s="490"/>
    </row>
    <row r="199" spans="1:9">
      <c r="A199" s="404"/>
      <c r="B199" s="404"/>
      <c r="D199" s="96" t="s">
        <v>1736</v>
      </c>
      <c r="E199" s="1860" t="s">
        <v>1897</v>
      </c>
      <c r="F199" s="1860"/>
      <c r="I199" s="490"/>
    </row>
    <row r="200" spans="1:9">
      <c r="A200" s="404"/>
      <c r="B200" s="404"/>
      <c r="D200" s="3"/>
      <c r="E200" s="3"/>
      <c r="F200" s="3"/>
      <c r="I200" s="490"/>
    </row>
    <row r="201" spans="1:9">
      <c r="A201" s="404"/>
      <c r="B201" s="485" t="s">
        <v>2688</v>
      </c>
      <c r="D201" s="1815" t="s">
        <v>1737</v>
      </c>
      <c r="E201" s="1815"/>
      <c r="F201" s="1815"/>
      <c r="I201" s="490"/>
    </row>
    <row r="202" spans="1:9">
      <c r="A202" s="404"/>
      <c r="B202" s="404"/>
      <c r="D202" s="1824" t="s">
        <v>1874</v>
      </c>
      <c r="E202" s="1824"/>
      <c r="F202" s="1824"/>
      <c r="I202" s="490"/>
    </row>
    <row r="203" spans="1:9">
      <c r="A203" s="404"/>
      <c r="B203" s="404"/>
      <c r="D203" s="57" t="s">
        <v>1738</v>
      </c>
      <c r="E203" s="1860" t="s">
        <v>1898</v>
      </c>
      <c r="F203" s="1860"/>
      <c r="I203" s="490"/>
    </row>
    <row r="204" spans="1:9">
      <c r="A204" s="404"/>
      <c r="B204" s="404"/>
      <c r="D204" s="3"/>
      <c r="E204" s="3"/>
      <c r="F204" s="3"/>
      <c r="I204" s="490"/>
    </row>
    <row r="205" spans="1:9">
      <c r="A205" s="404"/>
      <c r="B205" s="485" t="s">
        <v>2688</v>
      </c>
      <c r="D205" s="1815" t="s">
        <v>1739</v>
      </c>
      <c r="E205" s="1815"/>
      <c r="F205" s="1815"/>
      <c r="I205" s="490"/>
    </row>
    <row r="206" spans="1:9">
      <c r="A206" s="404"/>
      <c r="B206" s="404"/>
      <c r="D206" s="1824" t="s">
        <v>1874</v>
      </c>
      <c r="E206" s="1824"/>
      <c r="F206" s="1824"/>
      <c r="I206" s="490"/>
    </row>
    <row r="207" spans="1:9">
      <c r="A207" s="404"/>
      <c r="B207" s="404"/>
      <c r="D207" s="57" t="s">
        <v>1736</v>
      </c>
      <c r="E207" s="1860" t="s">
        <v>1899</v>
      </c>
      <c r="F207" s="1860"/>
      <c r="I207" s="490"/>
    </row>
    <row r="208" spans="1:9">
      <c r="A208" s="404"/>
      <c r="B208" s="404"/>
      <c r="D208" s="392"/>
      <c r="E208" s="392"/>
      <c r="F208" s="392"/>
      <c r="I208" s="490"/>
    </row>
    <row r="209" spans="1:9" ht="14.25" customHeight="1">
      <c r="A209" s="484"/>
      <c r="B209" s="485" t="s">
        <v>2688</v>
      </c>
      <c r="D209" s="386" t="s">
        <v>1867</v>
      </c>
      <c r="E209" s="385"/>
      <c r="F209" s="385"/>
      <c r="I209" s="490"/>
    </row>
    <row r="210" spans="1:9" ht="14.25">
      <c r="A210" s="484"/>
      <c r="B210" s="484"/>
      <c r="D210" s="1824" t="s">
        <v>1874</v>
      </c>
      <c r="E210" s="1824"/>
      <c r="F210" s="1824"/>
      <c r="I210" s="490"/>
    </row>
    <row r="211" spans="1:9">
      <c r="D211" s="385"/>
      <c r="E211" s="1860" t="s">
        <v>1900</v>
      </c>
      <c r="F211" s="1860"/>
      <c r="I211" s="490"/>
    </row>
    <row r="212" spans="1:9">
      <c r="D212" s="447"/>
      <c r="I212" s="490"/>
    </row>
    <row r="213" spans="1:9">
      <c r="B213" s="485" t="s">
        <v>2688</v>
      </c>
      <c r="D213" s="1815" t="s">
        <v>1740</v>
      </c>
      <c r="E213" s="1815"/>
      <c r="F213" s="1815"/>
      <c r="I213" s="490"/>
    </row>
    <row r="214" spans="1:9">
      <c r="D214" s="1824" t="s">
        <v>1874</v>
      </c>
      <c r="E214" s="1824"/>
      <c r="F214" s="1824"/>
      <c r="I214" s="490"/>
    </row>
    <row r="215" spans="1:9">
      <c r="D215" s="57" t="s">
        <v>1736</v>
      </c>
      <c r="E215" s="1860" t="s">
        <v>1901</v>
      </c>
      <c r="F215" s="1860"/>
      <c r="I215" s="490"/>
    </row>
    <row r="216" spans="1:9">
      <c r="D216" s="451"/>
      <c r="E216" s="451"/>
      <c r="F216" s="451"/>
      <c r="I216" s="490"/>
    </row>
    <row r="217" spans="1:9" ht="14.25">
      <c r="A217" s="484"/>
      <c r="B217" s="485" t="s">
        <v>2688</v>
      </c>
      <c r="D217" s="1832" t="s">
        <v>1216</v>
      </c>
      <c r="E217" s="1832"/>
      <c r="F217" s="1832"/>
      <c r="I217" s="490"/>
    </row>
    <row r="218" spans="1:9" ht="14.45" customHeight="1">
      <c r="A218" s="484"/>
      <c r="B218" s="402"/>
      <c r="D218" s="1832"/>
      <c r="E218" s="1832"/>
      <c r="F218" s="1832"/>
      <c r="I218" s="490"/>
    </row>
    <row r="219" spans="1:9" ht="14.25">
      <c r="A219" s="484"/>
      <c r="D219" s="1832"/>
      <c r="E219" s="1832"/>
      <c r="F219" s="1832"/>
      <c r="I219" s="490"/>
    </row>
    <row r="220" spans="1:9" ht="14.25">
      <c r="A220" s="484"/>
      <c r="D220" s="1832"/>
      <c r="E220" s="1832"/>
      <c r="F220" s="1832"/>
      <c r="I220" s="490"/>
    </row>
    <row r="221" spans="1:9">
      <c r="D221" s="451"/>
      <c r="E221" s="451"/>
      <c r="F221" s="451"/>
      <c r="I221" s="490"/>
    </row>
    <row r="222" spans="1:9">
      <c r="A222" s="1833" t="s">
        <v>1046</v>
      </c>
      <c r="B222" s="1833"/>
      <c r="C222" s="1833"/>
      <c r="D222" s="1833"/>
      <c r="E222" s="1833"/>
      <c r="F222" s="1833"/>
      <c r="G222" s="1833"/>
      <c r="H222" s="1023"/>
      <c r="I222" s="1147"/>
    </row>
    <row r="223" spans="1:9" ht="12" customHeight="1">
      <c r="D223" s="446"/>
      <c r="E223" s="446"/>
      <c r="F223" s="446"/>
      <c r="I223" s="490"/>
    </row>
    <row r="224" spans="1:9">
      <c r="C224" s="486"/>
      <c r="D224" s="1835" t="s">
        <v>208</v>
      </c>
      <c r="E224" s="1835"/>
      <c r="F224" s="1835"/>
      <c r="I224" s="490"/>
    </row>
    <row r="225" spans="1:9">
      <c r="A225" s="482"/>
      <c r="B225" s="482"/>
      <c r="C225" s="482"/>
      <c r="D225" s="1834" t="s">
        <v>1120</v>
      </c>
      <c r="E225" s="1834"/>
      <c r="F225" s="1834"/>
      <c r="I225" s="490"/>
    </row>
    <row r="226" spans="1:9" ht="12" customHeight="1">
      <c r="A226" s="490"/>
      <c r="B226" s="490"/>
      <c r="C226" s="490"/>
      <c r="I226" s="490"/>
    </row>
    <row r="227" spans="1:9" ht="13.7" customHeight="1">
      <c r="A227" s="490"/>
      <c r="C227" s="490"/>
      <c r="D227" s="1835" t="s">
        <v>546</v>
      </c>
      <c r="E227" s="1835"/>
      <c r="F227" s="1835"/>
      <c r="I227" s="490"/>
    </row>
    <row r="228" spans="1:9" ht="14.25">
      <c r="A228" s="484"/>
      <c r="B228" s="485" t="s">
        <v>2717</v>
      </c>
      <c r="D228" s="1832" t="s">
        <v>1741</v>
      </c>
      <c r="E228" s="1832"/>
      <c r="F228" s="1832"/>
      <c r="I228" s="490"/>
    </row>
    <row r="229" spans="1:9" ht="14.25" customHeight="1">
      <c r="A229" s="484"/>
      <c r="B229" s="484"/>
      <c r="D229" s="1832"/>
      <c r="E229" s="1832"/>
      <c r="F229" s="1832"/>
      <c r="I229" s="490"/>
    </row>
    <row r="230" spans="1:9" ht="14.25" customHeight="1">
      <c r="A230" s="484"/>
      <c r="B230" s="484"/>
      <c r="D230" s="1832"/>
      <c r="E230" s="1832"/>
      <c r="F230" s="1832"/>
      <c r="I230" s="490"/>
    </row>
    <row r="231" spans="1:9" ht="14.25">
      <c r="A231" s="484"/>
      <c r="B231" s="484"/>
      <c r="D231" s="1832"/>
      <c r="E231" s="1832"/>
      <c r="F231" s="1832"/>
      <c r="I231" s="490"/>
    </row>
    <row r="232" spans="1:9" ht="14.25">
      <c r="A232" s="484"/>
      <c r="B232" s="484"/>
      <c r="D232" s="445"/>
      <c r="E232" s="445"/>
      <c r="F232" s="445"/>
      <c r="I232" s="490"/>
    </row>
    <row r="233" spans="1:9" ht="14.25">
      <c r="A233" s="484"/>
      <c r="B233" s="485" t="s">
        <v>2717</v>
      </c>
      <c r="D233" s="1832" t="s">
        <v>1742</v>
      </c>
      <c r="E233" s="1832"/>
      <c r="F233" s="1832"/>
      <c r="I233" s="490"/>
    </row>
    <row r="234" spans="1:9" ht="14.25">
      <c r="A234" s="484"/>
      <c r="B234" s="484"/>
      <c r="D234" s="1832"/>
      <c r="E234" s="1832"/>
      <c r="F234" s="1832"/>
      <c r="I234" s="490"/>
    </row>
    <row r="235" spans="1:9" ht="14.25">
      <c r="A235" s="484"/>
      <c r="B235" s="484"/>
      <c r="D235" s="1832"/>
      <c r="E235" s="1832"/>
      <c r="F235" s="1832"/>
      <c r="I235" s="490"/>
    </row>
    <row r="236" spans="1:9" ht="14.25">
      <c r="A236" s="484"/>
      <c r="B236" s="484"/>
      <c r="D236" s="1832"/>
      <c r="E236" s="1832"/>
      <c r="F236" s="1832"/>
      <c r="I236" s="490"/>
    </row>
    <row r="237" spans="1:9" ht="14.25" customHeight="1">
      <c r="A237" s="484"/>
      <c r="B237" s="484"/>
      <c r="D237" s="1832"/>
      <c r="E237" s="1832"/>
      <c r="F237" s="1832"/>
      <c r="I237" s="490"/>
    </row>
    <row r="238" spans="1:9" ht="14.25" customHeight="1">
      <c r="A238" s="484"/>
      <c r="B238" s="484"/>
      <c r="D238" s="445"/>
      <c r="E238" s="445"/>
      <c r="F238" s="445"/>
      <c r="I238" s="490"/>
    </row>
    <row r="239" spans="1:9" ht="14.25">
      <c r="A239" s="484"/>
      <c r="B239" s="484"/>
      <c r="D239" s="1832" t="s">
        <v>1118</v>
      </c>
      <c r="E239" s="1832"/>
      <c r="F239" s="1832"/>
      <c r="I239" s="490"/>
    </row>
    <row r="240" spans="1:9" ht="14.25">
      <c r="A240" s="484"/>
      <c r="B240" s="484"/>
      <c r="D240" s="1832"/>
      <c r="E240" s="1832"/>
      <c r="F240" s="1832"/>
      <c r="I240" s="490"/>
    </row>
    <row r="241" spans="1:9" ht="14.25">
      <c r="A241" s="484"/>
      <c r="B241" s="484"/>
      <c r="D241" s="1832"/>
      <c r="E241" s="1832"/>
      <c r="F241" s="1832"/>
      <c r="I241" s="490"/>
    </row>
    <row r="242" spans="1:9" ht="14.25">
      <c r="A242" s="484"/>
      <c r="B242" s="484"/>
      <c r="D242" s="1832"/>
      <c r="E242" s="1832"/>
      <c r="F242" s="1832"/>
      <c r="I242" s="490"/>
    </row>
    <row r="243" spans="1:9" ht="14.25">
      <c r="A243" s="484"/>
      <c r="B243" s="484"/>
      <c r="D243" s="1832"/>
      <c r="E243" s="1832"/>
      <c r="F243" s="1832"/>
      <c r="I243" s="490"/>
    </row>
    <row r="244" spans="1:9" ht="14.25">
      <c r="A244" s="484"/>
      <c r="B244" s="484"/>
      <c r="D244" s="446"/>
      <c r="E244" s="446"/>
      <c r="F244" s="446"/>
      <c r="I244" s="490"/>
    </row>
    <row r="245" spans="1:9" ht="14.25">
      <c r="A245" s="484"/>
      <c r="B245" s="485" t="s">
        <v>2688</v>
      </c>
      <c r="D245" s="1832" t="s">
        <v>2011</v>
      </c>
      <c r="E245" s="1832"/>
      <c r="F245" s="1832"/>
      <c r="I245" s="490"/>
    </row>
    <row r="246" spans="1:9" ht="14.25">
      <c r="A246" s="484"/>
      <c r="B246" s="484"/>
      <c r="D246" s="1832"/>
      <c r="E246" s="1832"/>
      <c r="F246" s="1832"/>
      <c r="I246" s="490"/>
    </row>
    <row r="247" spans="1:9" ht="14.25">
      <c r="A247" s="484"/>
      <c r="B247" s="484"/>
      <c r="D247" s="1832"/>
      <c r="E247" s="1832"/>
      <c r="F247" s="1832"/>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2688</v>
      </c>
      <c r="D250" s="1832" t="s">
        <v>2012</v>
      </c>
      <c r="E250" s="1832"/>
      <c r="F250" s="1832"/>
      <c r="I250" s="490"/>
    </row>
    <row r="251" spans="1:9" ht="14.25">
      <c r="A251" s="484"/>
      <c r="B251" s="484"/>
      <c r="D251" s="1832"/>
      <c r="E251" s="1832"/>
      <c r="F251" s="1832"/>
      <c r="I251" s="490"/>
    </row>
    <row r="252" spans="1:9" ht="14.25">
      <c r="A252" s="484"/>
      <c r="B252" s="484"/>
      <c r="D252" s="1832"/>
      <c r="E252" s="1832"/>
      <c r="F252" s="1832"/>
      <c r="I252" s="490"/>
    </row>
    <row r="253" spans="1:9" ht="14.25">
      <c r="A253" s="484"/>
      <c r="B253" s="484"/>
      <c r="D253" s="1832"/>
      <c r="E253" s="1832"/>
      <c r="F253" s="1832"/>
      <c r="I253" s="490"/>
    </row>
    <row r="254" spans="1:9" ht="14.25">
      <c r="A254" s="484"/>
      <c r="B254" s="484"/>
      <c r="D254" s="1832"/>
      <c r="E254" s="1832"/>
      <c r="F254" s="1832"/>
      <c r="I254" s="490"/>
    </row>
    <row r="255" spans="1:9" ht="14.25">
      <c r="A255" s="484"/>
      <c r="B255" s="484"/>
      <c r="D255" s="445"/>
      <c r="E255" s="445"/>
      <c r="F255" s="445"/>
      <c r="I255" s="490"/>
    </row>
    <row r="256" spans="1:9" ht="14.25">
      <c r="A256" s="484"/>
      <c r="B256" s="485" t="s">
        <v>2717</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2717</v>
      </c>
      <c r="D259" s="1832" t="s">
        <v>1119</v>
      </c>
      <c r="E259" s="1832"/>
      <c r="F259" s="1832"/>
      <c r="I259" s="490"/>
    </row>
    <row r="260" spans="1:9" ht="14.25">
      <c r="A260" s="484"/>
      <c r="B260" s="484"/>
      <c r="D260" s="1832"/>
      <c r="E260" s="1832"/>
      <c r="F260" s="1832"/>
      <c r="I260" s="490"/>
    </row>
    <row r="261" spans="1:9">
      <c r="D261" s="491"/>
      <c r="I261" s="490"/>
    </row>
    <row r="262" spans="1:9">
      <c r="A262" s="1833" t="s">
        <v>1047</v>
      </c>
      <c r="B262" s="1833"/>
      <c r="C262" s="1833"/>
      <c r="D262" s="1833"/>
      <c r="E262" s="1833"/>
      <c r="F262" s="1833"/>
      <c r="G262" s="1833"/>
      <c r="H262" s="1023"/>
      <c r="I262" s="1147"/>
    </row>
    <row r="263" spans="1:9">
      <c r="D263" s="491"/>
      <c r="I263" s="490"/>
    </row>
    <row r="264" spans="1:9">
      <c r="C264" s="486"/>
      <c r="D264" s="1835" t="s">
        <v>1121</v>
      </c>
      <c r="E264" s="1835"/>
      <c r="F264" s="1835"/>
      <c r="I264" s="490"/>
    </row>
    <row r="265" spans="1:9">
      <c r="A265" s="482"/>
      <c r="B265" s="482"/>
      <c r="C265" s="482"/>
      <c r="D265" s="446"/>
      <c r="E265" s="446"/>
      <c r="F265" s="446"/>
      <c r="I265" s="490"/>
    </row>
    <row r="266" spans="1:9">
      <c r="A266" s="483"/>
      <c r="B266" s="483"/>
      <c r="C266" s="483"/>
      <c r="D266" s="1835" t="s">
        <v>269</v>
      </c>
      <c r="E266" s="1835"/>
      <c r="F266" s="1835"/>
      <c r="I266" s="490"/>
    </row>
    <row r="267" spans="1:9" ht="14.45" customHeight="1">
      <c r="A267" s="484"/>
      <c r="B267" s="485" t="s">
        <v>2717</v>
      </c>
      <c r="D267" s="1832" t="s">
        <v>1196</v>
      </c>
      <c r="E267" s="1832"/>
      <c r="F267" s="1832"/>
      <c r="I267" s="490"/>
    </row>
    <row r="268" spans="1:9">
      <c r="D268" s="1832"/>
      <c r="E268" s="1832"/>
      <c r="F268" s="1832"/>
      <c r="I268" s="490"/>
    </row>
    <row r="269" spans="1:9">
      <c r="E269" s="1031" t="s">
        <v>1870</v>
      </c>
      <c r="I269" s="490"/>
    </row>
    <row r="270" spans="1:9">
      <c r="D270" s="446"/>
      <c r="E270" s="446"/>
      <c r="F270" s="446"/>
      <c r="I270" s="490"/>
    </row>
    <row r="271" spans="1:9" ht="14.45" customHeight="1">
      <c r="A271" s="484"/>
      <c r="B271" s="485" t="s">
        <v>2688</v>
      </c>
      <c r="D271" s="1832" t="s">
        <v>2014</v>
      </c>
      <c r="E271" s="1832"/>
      <c r="F271" s="1832"/>
      <c r="I271" s="490"/>
    </row>
    <row r="272" spans="1:9">
      <c r="D272" s="1832"/>
      <c r="E272" s="1832"/>
      <c r="F272" s="1832"/>
      <c r="I272" s="490"/>
    </row>
    <row r="273" spans="1:9">
      <c r="D273" s="1832"/>
      <c r="E273" s="1832"/>
      <c r="F273" s="1832"/>
      <c r="I273" s="490"/>
    </row>
    <row r="274" spans="1:9">
      <c r="D274" s="1832"/>
      <c r="E274" s="1832"/>
      <c r="F274" s="1832"/>
      <c r="I274" s="490"/>
    </row>
    <row r="275" spans="1:9">
      <c r="D275" s="1832"/>
      <c r="E275" s="1832"/>
      <c r="F275" s="1832"/>
      <c r="I275" s="490"/>
    </row>
    <row r="276" spans="1:9">
      <c r="D276" s="1832"/>
      <c r="E276" s="1832"/>
      <c r="F276" s="1832"/>
      <c r="I276" s="490"/>
    </row>
    <row r="277" spans="1:9">
      <c r="D277" s="446"/>
      <c r="E277" s="446"/>
      <c r="F277" s="446"/>
      <c r="I277" s="490"/>
    </row>
    <row r="278" spans="1:9" ht="14.25">
      <c r="A278" s="484"/>
      <c r="B278" s="485" t="s">
        <v>2688</v>
      </c>
      <c r="D278" s="1832" t="s">
        <v>1122</v>
      </c>
      <c r="E278" s="1832"/>
      <c r="F278" s="1832"/>
      <c r="I278" s="490"/>
    </row>
    <row r="279" spans="1:9">
      <c r="D279" s="1832"/>
      <c r="E279" s="1832"/>
      <c r="F279" s="1832"/>
      <c r="I279" s="490"/>
    </row>
    <row r="280" spans="1:9">
      <c r="D280" s="1832"/>
      <c r="E280" s="1832"/>
      <c r="F280" s="1832"/>
      <c r="I280" s="490"/>
    </row>
    <row r="281" spans="1:9">
      <c r="D281" s="492"/>
      <c r="E281" s="446"/>
      <c r="F281" s="446"/>
      <c r="I281" s="490"/>
    </row>
    <row r="282" spans="1:9">
      <c r="A282" s="1833" t="s">
        <v>1048</v>
      </c>
      <c r="B282" s="1833"/>
      <c r="C282" s="1833"/>
      <c r="D282" s="1833"/>
      <c r="E282" s="1833"/>
      <c r="F282" s="1833"/>
      <c r="G282" s="1833"/>
      <c r="H282" s="1023"/>
      <c r="I282" s="1147"/>
    </row>
    <row r="283" spans="1:9">
      <c r="D283" s="492"/>
      <c r="E283" s="446"/>
      <c r="F283" s="446"/>
      <c r="I283" s="490"/>
    </row>
    <row r="284" spans="1:9">
      <c r="C284" s="482"/>
      <c r="D284" s="1852" t="s">
        <v>1123</v>
      </c>
      <c r="E284" s="1852"/>
      <c r="F284" s="1852"/>
      <c r="I284" s="490"/>
    </row>
    <row r="285" spans="1:9">
      <c r="C285" s="482"/>
      <c r="D285" s="1852"/>
      <c r="E285" s="1852"/>
      <c r="F285" s="1852"/>
      <c r="I285" s="490"/>
    </row>
    <row r="286" spans="1:9">
      <c r="A286" s="483"/>
      <c r="B286" s="483"/>
      <c r="C286" s="483"/>
      <c r="D286" s="404"/>
      <c r="I286" s="490"/>
    </row>
    <row r="287" spans="1:9">
      <c r="C287" s="483"/>
      <c r="D287" s="1835" t="s">
        <v>209</v>
      </c>
      <c r="E287" s="1835"/>
      <c r="F287" s="1835"/>
      <c r="I287" s="490"/>
    </row>
    <row r="288" spans="1:9" ht="15.75" customHeight="1">
      <c r="A288" s="484"/>
      <c r="B288" s="484"/>
      <c r="D288" s="1861" t="s">
        <v>1124</v>
      </c>
      <c r="E288" s="1861"/>
      <c r="F288" s="1861"/>
      <c r="I288" s="490"/>
    </row>
    <row r="289" spans="1:9">
      <c r="E289" s="446"/>
      <c r="F289" s="446"/>
      <c r="I289" s="490"/>
    </row>
    <row r="290" spans="1:9" ht="14.25">
      <c r="A290" s="484"/>
      <c r="B290" s="485" t="s">
        <v>2688</v>
      </c>
      <c r="D290" s="1832" t="s">
        <v>1125</v>
      </c>
      <c r="E290" s="1832"/>
      <c r="F290" s="1832"/>
      <c r="I290" s="490"/>
    </row>
    <row r="291" spans="1:9" ht="14.25">
      <c r="A291" s="484"/>
      <c r="B291" s="484"/>
      <c r="D291" s="1832"/>
      <c r="E291" s="1832"/>
      <c r="F291" s="1832"/>
      <c r="I291" s="490"/>
    </row>
    <row r="292" spans="1:9">
      <c r="D292" s="446"/>
      <c r="E292" s="446"/>
      <c r="F292" s="446"/>
      <c r="I292" s="490"/>
    </row>
    <row r="293" spans="1:9" ht="14.25">
      <c r="A293" s="484"/>
      <c r="B293" s="485" t="s">
        <v>2688</v>
      </c>
      <c r="D293" s="1832" t="s">
        <v>1126</v>
      </c>
      <c r="E293" s="1832"/>
      <c r="F293" s="1832"/>
      <c r="I293" s="490"/>
    </row>
    <row r="294" spans="1:9" ht="14.25">
      <c r="A294" s="484"/>
      <c r="B294" s="484"/>
      <c r="D294" s="1832"/>
      <c r="E294" s="1832"/>
      <c r="F294" s="1832"/>
      <c r="I294" s="490"/>
    </row>
    <row r="295" spans="1:9" ht="14.25">
      <c r="A295" s="484"/>
      <c r="B295" s="484"/>
      <c r="D295" s="1832"/>
      <c r="E295" s="1832"/>
      <c r="F295" s="1832"/>
      <c r="I295" s="490"/>
    </row>
    <row r="296" spans="1:9">
      <c r="D296" s="446"/>
      <c r="E296" s="446"/>
      <c r="F296" s="446"/>
      <c r="I296" s="490"/>
    </row>
    <row r="297" spans="1:9" ht="14.25">
      <c r="A297" s="484"/>
      <c r="B297" s="485" t="s">
        <v>2688</v>
      </c>
      <c r="D297" s="1832" t="s">
        <v>1127</v>
      </c>
      <c r="E297" s="1832"/>
      <c r="F297" s="1832"/>
      <c r="I297" s="490"/>
    </row>
    <row r="298" spans="1:9" ht="14.25">
      <c r="A298" s="484"/>
      <c r="B298" s="484"/>
      <c r="D298" s="1832"/>
      <c r="E298" s="1832"/>
      <c r="F298" s="1832"/>
      <c r="I298" s="490"/>
    </row>
    <row r="299" spans="1:9">
      <c r="A299" s="490"/>
      <c r="B299" s="490"/>
      <c r="E299" s="446"/>
      <c r="F299" s="446"/>
      <c r="I299" s="490"/>
    </row>
    <row r="300" spans="1:9">
      <c r="A300" s="1833" t="s">
        <v>1049</v>
      </c>
      <c r="B300" s="1833"/>
      <c r="C300" s="1833"/>
      <c r="D300" s="1833"/>
      <c r="E300" s="1833"/>
      <c r="F300" s="1833"/>
      <c r="G300" s="1833"/>
      <c r="H300" s="1023"/>
      <c r="I300" s="1147"/>
    </row>
    <row r="301" spans="1:9">
      <c r="A301" s="490"/>
      <c r="B301" s="490"/>
      <c r="D301" s="446"/>
      <c r="E301" s="446"/>
      <c r="F301" s="446"/>
      <c r="I301" s="490"/>
    </row>
    <row r="302" spans="1:9">
      <c r="C302" s="490"/>
      <c r="D302" s="1835" t="s">
        <v>682</v>
      </c>
      <c r="E302" s="1835"/>
      <c r="F302" s="1835"/>
      <c r="I302" s="490"/>
    </row>
    <row r="303" spans="1:9">
      <c r="C303" s="490"/>
      <c r="D303" s="1834" t="s">
        <v>1128</v>
      </c>
      <c r="E303" s="1834"/>
      <c r="F303" s="1834"/>
      <c r="I303" s="490"/>
    </row>
    <row r="304" spans="1:9">
      <c r="C304" s="490"/>
      <c r="D304" s="493"/>
      <c r="I304" s="490"/>
    </row>
    <row r="305" spans="1:9">
      <c r="B305" s="485" t="s">
        <v>2688</v>
      </c>
      <c r="D305" s="1834" t="s">
        <v>1129</v>
      </c>
      <c r="E305" s="1834"/>
      <c r="F305" s="1834"/>
      <c r="I305" s="490"/>
    </row>
    <row r="306" spans="1:9" ht="14.25">
      <c r="A306" s="484"/>
      <c r="B306" s="484"/>
      <c r="D306" s="494"/>
      <c r="E306" s="495"/>
      <c r="F306" s="495"/>
      <c r="I306" s="490"/>
    </row>
    <row r="307" spans="1:9" ht="13.7" customHeight="1">
      <c r="B307" s="485" t="s">
        <v>2688</v>
      </c>
      <c r="D307" s="1845" t="s">
        <v>1219</v>
      </c>
      <c r="E307" s="1845"/>
      <c r="F307" s="1845"/>
      <c r="I307" s="490"/>
    </row>
    <row r="308" spans="1:9" ht="14.25">
      <c r="A308" s="484"/>
      <c r="B308" s="484"/>
      <c r="D308" s="1845"/>
      <c r="E308" s="1845"/>
      <c r="F308" s="1845"/>
      <c r="I308" s="490"/>
    </row>
    <row r="309" spans="1:9" ht="14.25">
      <c r="A309" s="484"/>
      <c r="B309" s="484"/>
      <c r="D309" s="1845"/>
      <c r="E309" s="1845"/>
      <c r="F309" s="1845"/>
      <c r="I309" s="490"/>
    </row>
    <row r="310" spans="1:9" ht="14.25">
      <c r="A310" s="484"/>
      <c r="B310" s="484"/>
      <c r="D310" s="1845"/>
      <c r="E310" s="1845"/>
      <c r="F310" s="1845"/>
      <c r="I310" s="490"/>
    </row>
    <row r="311" spans="1:9" ht="14.25">
      <c r="A311" s="484"/>
      <c r="B311" s="484"/>
      <c r="D311" s="1845"/>
      <c r="E311" s="1845"/>
      <c r="F311" s="1845"/>
      <c r="I311" s="490"/>
    </row>
    <row r="312" spans="1:9" ht="14.25">
      <c r="A312" s="484"/>
      <c r="B312" s="484"/>
      <c r="D312" s="494"/>
      <c r="E312" s="495"/>
      <c r="F312" s="495"/>
      <c r="I312" s="490"/>
    </row>
    <row r="313" spans="1:9" ht="13.7" customHeight="1">
      <c r="B313" s="485" t="s">
        <v>2688</v>
      </c>
      <c r="D313" s="1845" t="s">
        <v>1130</v>
      </c>
      <c r="E313" s="1845"/>
      <c r="F313" s="1845"/>
      <c r="I313" s="490"/>
    </row>
    <row r="314" spans="1:9">
      <c r="D314" s="1845"/>
      <c r="E314" s="1845"/>
      <c r="F314" s="1845"/>
      <c r="I314" s="490"/>
    </row>
    <row r="315" spans="1:9" ht="14.25">
      <c r="A315" s="484"/>
      <c r="B315" s="484"/>
      <c r="D315" s="494"/>
      <c r="E315" s="495"/>
      <c r="F315" s="495"/>
      <c r="I315" s="490"/>
    </row>
    <row r="316" spans="1:9">
      <c r="B316" s="485" t="s">
        <v>2688</v>
      </c>
      <c r="D316" s="1834" t="s">
        <v>1131</v>
      </c>
      <c r="E316" s="1834"/>
      <c r="F316" s="1834"/>
      <c r="I316" s="490"/>
    </row>
    <row r="317" spans="1:9">
      <c r="E317" s="446"/>
      <c r="F317" s="446"/>
      <c r="I317" s="490"/>
    </row>
    <row r="318" spans="1:9" ht="14.25">
      <c r="A318" s="484"/>
      <c r="B318" s="485" t="s">
        <v>2688</v>
      </c>
      <c r="D318" s="1832" t="s">
        <v>2197</v>
      </c>
      <c r="E318" s="1832"/>
      <c r="F318" s="1832"/>
      <c r="I318" s="490"/>
    </row>
    <row r="319" spans="1:9" ht="14.25">
      <c r="A319" s="484"/>
      <c r="B319" s="484"/>
      <c r="D319" s="1832"/>
      <c r="E319" s="1832"/>
      <c r="F319" s="1832"/>
      <c r="I319" s="490"/>
    </row>
    <row r="320" spans="1:9" ht="14.25">
      <c r="A320" s="484"/>
      <c r="B320" s="484"/>
      <c r="D320" s="1832"/>
      <c r="E320" s="1832"/>
      <c r="F320" s="1832"/>
      <c r="I320" s="490"/>
    </row>
    <row r="321" spans="1:9" ht="14.25">
      <c r="A321" s="484"/>
      <c r="B321" s="484"/>
      <c r="D321" s="1832"/>
      <c r="E321" s="1832"/>
      <c r="F321" s="1832"/>
      <c r="I321" s="490"/>
    </row>
    <row r="322" spans="1:9" ht="14.25">
      <c r="A322" s="484"/>
      <c r="B322" s="484"/>
      <c r="D322" s="1832"/>
      <c r="E322" s="1832"/>
      <c r="F322" s="1832"/>
      <c r="I322" s="490"/>
    </row>
    <row r="323" spans="1:9" ht="14.25">
      <c r="A323" s="484"/>
      <c r="B323" s="484"/>
      <c r="D323" s="1832"/>
      <c r="E323" s="1832"/>
      <c r="F323" s="1832"/>
      <c r="I323" s="490"/>
    </row>
    <row r="324" spans="1:9" ht="14.25">
      <c r="A324" s="484"/>
      <c r="B324" s="484"/>
      <c r="D324" s="1832"/>
      <c r="E324" s="1832"/>
      <c r="F324" s="1832"/>
      <c r="I324" s="490"/>
    </row>
    <row r="325" spans="1:9" ht="14.25">
      <c r="A325" s="484"/>
      <c r="B325" s="484"/>
      <c r="D325" s="1832"/>
      <c r="E325" s="1832"/>
      <c r="F325" s="1832"/>
      <c r="I325" s="490"/>
    </row>
    <row r="326" spans="1:9" ht="14.25">
      <c r="A326" s="484"/>
      <c r="B326" s="484"/>
      <c r="D326" s="1832"/>
      <c r="E326" s="1832"/>
      <c r="F326" s="1832"/>
      <c r="I326" s="490"/>
    </row>
    <row r="327" spans="1:9" ht="14.25">
      <c r="A327" s="484"/>
      <c r="B327" s="484"/>
      <c r="D327" s="1832"/>
      <c r="E327" s="1832"/>
      <c r="F327" s="1832"/>
      <c r="I327" s="490"/>
    </row>
    <row r="328" spans="1:9" ht="14.25">
      <c r="A328" s="484"/>
      <c r="B328" s="484"/>
      <c r="D328" s="1832"/>
      <c r="E328" s="1832"/>
      <c r="F328" s="1832"/>
      <c r="I328" s="490"/>
    </row>
    <row r="329" spans="1:9" ht="14.25">
      <c r="A329" s="484"/>
      <c r="B329" s="484"/>
      <c r="D329" s="1832"/>
      <c r="E329" s="1832"/>
      <c r="F329" s="1832"/>
      <c r="I329" s="490"/>
    </row>
    <row r="330" spans="1:9" ht="14.25">
      <c r="A330" s="484"/>
      <c r="B330" s="484"/>
      <c r="D330" s="1832"/>
      <c r="E330" s="1832"/>
      <c r="F330" s="1832"/>
      <c r="I330" s="490"/>
    </row>
    <row r="331" spans="1:9" ht="14.25">
      <c r="A331" s="484"/>
      <c r="B331" s="484"/>
      <c r="D331" s="1832"/>
      <c r="E331" s="1832"/>
      <c r="F331" s="1832"/>
      <c r="I331" s="490"/>
    </row>
    <row r="332" spans="1:9" ht="14.25">
      <c r="A332" s="484"/>
      <c r="B332" s="484"/>
      <c r="D332" s="1832"/>
      <c r="E332" s="1832"/>
      <c r="F332" s="1832"/>
      <c r="I332" s="490"/>
    </row>
    <row r="333" spans="1:9">
      <c r="D333" s="446"/>
      <c r="E333" s="446"/>
      <c r="F333" s="446"/>
      <c r="I333" s="490"/>
    </row>
    <row r="334" spans="1:9" ht="14.25">
      <c r="A334" s="484"/>
      <c r="B334" s="485" t="s">
        <v>2688</v>
      </c>
      <c r="D334" s="1832" t="s">
        <v>1132</v>
      </c>
      <c r="E334" s="1832"/>
      <c r="F334" s="1832"/>
      <c r="I334" s="490"/>
    </row>
    <row r="335" spans="1:9">
      <c r="D335" s="1832"/>
      <c r="E335" s="1832"/>
      <c r="F335" s="1832"/>
      <c r="I335" s="490"/>
    </row>
    <row r="336" spans="1:9">
      <c r="D336" s="1832"/>
      <c r="E336" s="1832"/>
      <c r="F336" s="1832"/>
      <c r="I336" s="490"/>
    </row>
    <row r="337" spans="1:9">
      <c r="D337" s="1832"/>
      <c r="E337" s="1832"/>
      <c r="F337" s="1832"/>
      <c r="I337" s="490"/>
    </row>
    <row r="338" spans="1:9">
      <c r="D338" s="1832"/>
      <c r="E338" s="1832"/>
      <c r="F338" s="1832"/>
      <c r="I338" s="490"/>
    </row>
    <row r="339" spans="1:9">
      <c r="D339" s="1832"/>
      <c r="E339" s="1832"/>
      <c r="F339" s="1832"/>
      <c r="I339" s="490"/>
    </row>
    <row r="340" spans="1:9">
      <c r="D340" s="1832"/>
      <c r="E340" s="1832"/>
      <c r="F340" s="1832"/>
      <c r="I340" s="490"/>
    </row>
    <row r="341" spans="1:9">
      <c r="D341" s="1832"/>
      <c r="E341" s="1832"/>
      <c r="F341" s="1832"/>
      <c r="I341" s="490"/>
    </row>
    <row r="342" spans="1:9">
      <c r="D342" s="1832"/>
      <c r="E342" s="1832"/>
      <c r="F342" s="1832"/>
      <c r="I342" s="490"/>
    </row>
    <row r="343" spans="1:9">
      <c r="D343" s="446"/>
      <c r="E343" s="446"/>
      <c r="F343" s="446"/>
      <c r="I343" s="490"/>
    </row>
    <row r="344" spans="1:9" ht="14.25" customHeight="1">
      <c r="A344" s="484"/>
      <c r="B344" s="485" t="s">
        <v>2688</v>
      </c>
      <c r="D344" s="1832" t="s">
        <v>1875</v>
      </c>
      <c r="E344" s="1832"/>
      <c r="F344" s="1832"/>
      <c r="I344" s="490"/>
    </row>
    <row r="345" spans="1:9">
      <c r="D345" s="1832"/>
      <c r="E345" s="1832"/>
      <c r="F345" s="1832"/>
      <c r="I345" s="490"/>
    </row>
    <row r="346" spans="1:9">
      <c r="D346" s="1832"/>
      <c r="E346" s="1832"/>
      <c r="F346" s="1832"/>
      <c r="I346" s="490"/>
    </row>
    <row r="347" spans="1:9">
      <c r="D347" s="1832"/>
      <c r="E347" s="1832"/>
      <c r="F347" s="1832"/>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843" t="s">
        <v>979</v>
      </c>
      <c r="E351" s="1843"/>
      <c r="F351" s="1843"/>
      <c r="G351" s="1022"/>
      <c r="H351" s="1022"/>
      <c r="I351" s="1150"/>
    </row>
    <row r="352" spans="1:9" ht="13.5" thickTop="1">
      <c r="D352" s="1853" t="s">
        <v>2198</v>
      </c>
      <c r="E352" s="1853"/>
      <c r="F352" s="1853"/>
      <c r="I352" s="490"/>
    </row>
    <row r="353" spans="1:9">
      <c r="D353" s="446"/>
      <c r="E353" s="446"/>
      <c r="F353" s="446"/>
      <c r="I353" s="490"/>
    </row>
    <row r="354" spans="1:9">
      <c r="A354" s="476"/>
      <c r="B354" s="476"/>
      <c r="C354" s="476"/>
      <c r="D354" s="447"/>
      <c r="E354" s="447"/>
      <c r="F354" s="446"/>
      <c r="I354" s="490"/>
    </row>
    <row r="355" spans="1:9" ht="14.25">
      <c r="A355" s="484"/>
      <c r="B355" s="485" t="s">
        <v>2688</v>
      </c>
      <c r="C355" s="487"/>
      <c r="D355" s="1834" t="s">
        <v>1873</v>
      </c>
      <c r="E355" s="1834"/>
      <c r="F355" s="1834"/>
      <c r="I355" s="490"/>
    </row>
    <row r="356" spans="1:9" ht="12.75" customHeight="1">
      <c r="D356" s="1032"/>
      <c r="E356" s="96" t="s">
        <v>1872</v>
      </c>
      <c r="F356" s="1032"/>
      <c r="I356" s="490"/>
    </row>
    <row r="357" spans="1:9">
      <c r="D357" s="1832" t="s">
        <v>1239</v>
      </c>
      <c r="E357" s="1832"/>
      <c r="F357" s="1832"/>
      <c r="I357" s="490"/>
    </row>
    <row r="358" spans="1:9">
      <c r="D358" s="1832"/>
      <c r="E358" s="1832"/>
      <c r="F358" s="1832"/>
      <c r="I358" s="490"/>
    </row>
    <row r="359" spans="1:9">
      <c r="D359" s="1832"/>
      <c r="E359" s="1832"/>
      <c r="F359" s="1832"/>
      <c r="I359" s="490"/>
    </row>
    <row r="360" spans="1:9" ht="14.25">
      <c r="A360" s="484"/>
      <c r="B360" s="485" t="s">
        <v>2688</v>
      </c>
      <c r="C360" s="476"/>
      <c r="D360" s="1842" t="s">
        <v>2015</v>
      </c>
      <c r="E360" s="1842"/>
      <c r="F360" s="1842"/>
      <c r="I360" s="480"/>
    </row>
    <row r="361" spans="1:9">
      <c r="A361" s="476"/>
      <c r="B361" s="476"/>
      <c r="C361" s="476"/>
      <c r="D361" s="447"/>
      <c r="E361" s="447"/>
      <c r="F361" s="446"/>
      <c r="I361" s="490"/>
    </row>
    <row r="362" spans="1:9">
      <c r="A362" s="476"/>
      <c r="B362" s="485" t="s">
        <v>2688</v>
      </c>
      <c r="C362" s="476"/>
      <c r="D362" s="1806" t="s">
        <v>2016</v>
      </c>
      <c r="E362" s="1806"/>
      <c r="F362" s="1806"/>
      <c r="I362" s="490"/>
    </row>
    <row r="363" spans="1:9">
      <c r="A363" s="476"/>
      <c r="B363" s="476"/>
      <c r="C363" s="476"/>
      <c r="D363" s="1806"/>
      <c r="E363" s="1806"/>
      <c r="F363" s="1806"/>
      <c r="I363" s="490"/>
    </row>
    <row r="364" spans="1:9">
      <c r="A364" s="476"/>
      <c r="B364" s="476"/>
      <c r="C364" s="476"/>
      <c r="D364" s="1806"/>
      <c r="E364" s="1806"/>
      <c r="F364" s="1806"/>
      <c r="I364" s="490"/>
    </row>
    <row r="365" spans="1:9">
      <c r="A365" s="476"/>
      <c r="B365" s="476"/>
      <c r="C365" s="476"/>
      <c r="D365" s="1806"/>
      <c r="E365" s="1806"/>
      <c r="F365" s="1806"/>
      <c r="I365" s="490"/>
    </row>
    <row r="366" spans="1:9">
      <c r="A366" s="476"/>
      <c r="B366" s="476"/>
      <c r="C366" s="476"/>
      <c r="D366" s="1806"/>
      <c r="E366" s="1806"/>
      <c r="F366" s="1806"/>
      <c r="I366" s="490"/>
    </row>
    <row r="367" spans="1:9">
      <c r="A367" s="476"/>
      <c r="B367" s="476"/>
      <c r="C367" s="476"/>
      <c r="D367" s="1806"/>
      <c r="E367" s="1806"/>
      <c r="F367" s="1806"/>
      <c r="I367" s="490"/>
    </row>
    <row r="368" spans="1:9">
      <c r="A368" s="476"/>
      <c r="B368" s="476"/>
      <c r="C368" s="476"/>
      <c r="D368" s="1806"/>
      <c r="E368" s="1806"/>
      <c r="F368" s="1806"/>
      <c r="I368" s="490"/>
    </row>
    <row r="369" spans="1:9">
      <c r="A369" s="476"/>
      <c r="B369" s="476"/>
      <c r="C369" s="476"/>
      <c r="D369" s="1806"/>
      <c r="E369" s="1806"/>
      <c r="F369" s="1806"/>
      <c r="I369" s="490"/>
    </row>
    <row r="370" spans="1:9">
      <c r="A370" s="476"/>
      <c r="B370" s="476"/>
      <c r="C370" s="476"/>
      <c r="D370" s="1806"/>
      <c r="E370" s="1806"/>
      <c r="F370" s="1806"/>
      <c r="I370" s="490"/>
    </row>
    <row r="371" spans="1:9">
      <c r="A371" s="476"/>
      <c r="B371" s="476"/>
      <c r="C371" s="476"/>
      <c r="D371" s="1806"/>
      <c r="E371" s="1806"/>
      <c r="F371" s="1806"/>
      <c r="I371" s="490"/>
    </row>
    <row r="372" spans="1:9">
      <c r="A372" s="476"/>
      <c r="B372" s="476"/>
      <c r="C372" s="476"/>
      <c r="D372" s="1806"/>
      <c r="E372" s="1806"/>
      <c r="F372" s="1806"/>
      <c r="I372" s="490"/>
    </row>
    <row r="373" spans="1:9">
      <c r="A373" s="476"/>
      <c r="B373" s="476"/>
      <c r="C373" s="476"/>
      <c r="D373" s="1806"/>
      <c r="E373" s="1806"/>
      <c r="F373" s="1806"/>
      <c r="I373" s="490"/>
    </row>
    <row r="374" spans="1:9">
      <c r="A374" s="476"/>
      <c r="B374" s="476"/>
      <c r="C374" s="476"/>
      <c r="D374" s="451"/>
      <c r="E374" s="451"/>
      <c r="F374" s="451"/>
      <c r="I374" s="490"/>
    </row>
    <row r="375" spans="1:9" ht="12.4" customHeight="1">
      <c r="A375" s="476"/>
      <c r="B375" s="485" t="s">
        <v>2688</v>
      </c>
      <c r="C375" s="476"/>
      <c r="D375" s="1814" t="s">
        <v>1221</v>
      </c>
      <c r="E375" s="1814"/>
      <c r="F375" s="1814"/>
      <c r="I375" s="490"/>
    </row>
    <row r="376" spans="1:9">
      <c r="A376" s="476"/>
      <c r="B376" s="476"/>
      <c r="C376" s="476"/>
      <c r="D376" s="1814"/>
      <c r="E376" s="1814"/>
      <c r="F376" s="1814"/>
      <c r="I376" s="490"/>
    </row>
    <row r="377" spans="1:9">
      <c r="A377" s="476"/>
      <c r="B377" s="476"/>
      <c r="C377" s="476"/>
      <c r="D377" s="1814"/>
      <c r="E377" s="1814"/>
      <c r="F377" s="1814"/>
      <c r="I377" s="490"/>
    </row>
    <row r="378" spans="1:9">
      <c r="A378" s="476"/>
      <c r="B378" s="476"/>
      <c r="C378" s="476"/>
      <c r="D378" s="1814"/>
      <c r="E378" s="1814"/>
      <c r="F378" s="1814"/>
      <c r="I378" s="490"/>
    </row>
    <row r="379" spans="1:9">
      <c r="A379" s="476"/>
      <c r="B379" s="476"/>
      <c r="C379" s="476"/>
      <c r="D379" s="524"/>
      <c r="E379" s="524"/>
      <c r="F379" s="524"/>
      <c r="I379" s="490"/>
    </row>
    <row r="380" spans="1:9">
      <c r="A380" s="476"/>
      <c r="B380" s="485" t="s">
        <v>2688</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2688</v>
      </c>
      <c r="C387" s="476"/>
      <c r="D387" s="1806" t="s">
        <v>1133</v>
      </c>
      <c r="E387" s="1806"/>
      <c r="F387" s="1806"/>
      <c r="I387" s="490"/>
    </row>
    <row r="388" spans="1:9">
      <c r="A388" s="476"/>
      <c r="B388" s="476"/>
      <c r="C388" s="476"/>
      <c r="D388" s="1806"/>
      <c r="E388" s="1806"/>
      <c r="F388" s="1806"/>
      <c r="I388" s="490"/>
    </row>
    <row r="389" spans="1:9">
      <c r="A389" s="476"/>
      <c r="B389" s="476"/>
      <c r="C389" s="476"/>
      <c r="D389" s="1806"/>
      <c r="E389" s="1806"/>
      <c r="F389" s="1806"/>
      <c r="I389" s="490"/>
    </row>
    <row r="390" spans="1:9">
      <c r="A390" s="476"/>
      <c r="B390" s="476"/>
      <c r="C390" s="476"/>
      <c r="D390" s="1806"/>
      <c r="E390" s="1806"/>
      <c r="F390" s="1806"/>
      <c r="I390" s="490"/>
    </row>
    <row r="391" spans="1:9">
      <c r="A391" s="476"/>
      <c r="B391" s="476"/>
      <c r="C391" s="476"/>
      <c r="D391" s="447"/>
      <c r="E391" s="447"/>
      <c r="F391" s="446"/>
      <c r="I391" s="490"/>
    </row>
    <row r="392" spans="1:9">
      <c r="A392" s="476"/>
      <c r="B392" s="476"/>
      <c r="C392" s="476"/>
      <c r="D392" s="1806" t="s">
        <v>1134</v>
      </c>
      <c r="E392" s="1806"/>
      <c r="F392" s="1806"/>
      <c r="I392" s="490"/>
    </row>
    <row r="393" spans="1:9">
      <c r="A393" s="476"/>
      <c r="B393" s="476"/>
      <c r="C393" s="476"/>
      <c r="D393" s="1806"/>
      <c r="E393" s="1806"/>
      <c r="F393" s="1806"/>
      <c r="I393" s="490"/>
    </row>
    <row r="394" spans="1:9">
      <c r="A394" s="476"/>
      <c r="B394" s="476"/>
      <c r="C394" s="476"/>
      <c r="D394" s="1806"/>
      <c r="E394" s="1806"/>
      <c r="F394" s="1806"/>
      <c r="I394" s="490"/>
    </row>
    <row r="395" spans="1:9">
      <c r="A395" s="476"/>
      <c r="B395" s="476"/>
      <c r="C395" s="476"/>
      <c r="D395" s="1806"/>
      <c r="E395" s="1806"/>
      <c r="F395" s="1806"/>
      <c r="I395" s="490"/>
    </row>
    <row r="396" spans="1:9" ht="18" customHeight="1">
      <c r="A396" s="476"/>
      <c r="B396" s="476"/>
      <c r="C396" s="476"/>
      <c r="D396" s="1806"/>
      <c r="E396" s="1806"/>
      <c r="F396" s="1806"/>
      <c r="I396" s="490"/>
    </row>
    <row r="397" spans="1:9">
      <c r="A397" s="476"/>
      <c r="B397" s="476"/>
      <c r="C397" s="476"/>
      <c r="D397" s="1806"/>
      <c r="E397" s="1806"/>
      <c r="F397" s="1806"/>
      <c r="I397" s="490"/>
    </row>
    <row r="398" spans="1:9">
      <c r="A398" s="476"/>
      <c r="B398" s="476"/>
      <c r="C398" s="476"/>
      <c r="D398" s="1806"/>
      <c r="E398" s="1806"/>
      <c r="F398" s="1806"/>
      <c r="I398" s="490"/>
    </row>
    <row r="399" spans="1:9">
      <c r="A399" s="476"/>
      <c r="B399" s="476"/>
      <c r="C399" s="476"/>
      <c r="D399" s="1806"/>
      <c r="E399" s="1806"/>
      <c r="F399" s="1806"/>
      <c r="I399" s="490"/>
    </row>
    <row r="400" spans="1:9" ht="8.25" customHeight="1">
      <c r="A400" s="476"/>
      <c r="B400" s="476"/>
      <c r="C400" s="476"/>
      <c r="D400" s="1806"/>
      <c r="E400" s="1806"/>
      <c r="F400" s="1806"/>
      <c r="I400" s="490"/>
    </row>
    <row r="401" spans="1:9" ht="13.7" customHeight="1">
      <c r="A401" s="476"/>
      <c r="B401" s="476"/>
      <c r="C401" s="476"/>
      <c r="D401" s="1806" t="s">
        <v>1135</v>
      </c>
      <c r="E401" s="1806"/>
      <c r="F401" s="1806"/>
      <c r="I401" s="490"/>
    </row>
    <row r="402" spans="1:9">
      <c r="A402" s="476"/>
      <c r="B402" s="476"/>
      <c r="C402" s="476"/>
      <c r="D402" s="1806"/>
      <c r="E402" s="1806"/>
      <c r="F402" s="1806"/>
      <c r="I402" s="490"/>
    </row>
    <row r="403" spans="1:9">
      <c r="A403" s="476"/>
      <c r="B403" s="476"/>
      <c r="C403" s="476"/>
      <c r="D403" s="1806"/>
      <c r="E403" s="1806"/>
      <c r="F403" s="1806"/>
      <c r="I403" s="490"/>
    </row>
    <row r="404" spans="1:9">
      <c r="A404" s="476"/>
      <c r="B404" s="476"/>
      <c r="C404" s="476"/>
      <c r="D404" s="1806"/>
      <c r="E404" s="1806"/>
      <c r="F404" s="1806"/>
      <c r="I404" s="490"/>
    </row>
    <row r="405" spans="1:9">
      <c r="A405" s="476"/>
      <c r="B405" s="476"/>
      <c r="C405" s="476"/>
      <c r="D405" s="1806"/>
      <c r="E405" s="1806"/>
      <c r="F405" s="1806"/>
      <c r="I405" s="490"/>
    </row>
    <row r="406" spans="1:9">
      <c r="A406" s="476"/>
      <c r="B406" s="476"/>
      <c r="C406" s="476"/>
      <c r="D406" s="1806"/>
      <c r="E406" s="1806"/>
      <c r="F406" s="1806"/>
      <c r="I406" s="490"/>
    </row>
    <row r="407" spans="1:9">
      <c r="A407" s="476"/>
      <c r="B407" s="476"/>
      <c r="C407" s="476"/>
      <c r="D407" s="1806"/>
      <c r="E407" s="1806"/>
      <c r="F407" s="1806"/>
      <c r="I407" s="490"/>
    </row>
    <row r="408" spans="1:9">
      <c r="A408" s="476"/>
      <c r="B408" s="476"/>
      <c r="C408" s="476"/>
      <c r="D408" s="1806"/>
      <c r="E408" s="1806"/>
      <c r="F408" s="1806"/>
      <c r="I408" s="490"/>
    </row>
    <row r="409" spans="1:9">
      <c r="A409" s="476"/>
      <c r="B409" s="476"/>
      <c r="C409" s="476"/>
      <c r="D409" s="1806"/>
      <c r="E409" s="1806"/>
      <c r="F409" s="1806"/>
      <c r="I409" s="490"/>
    </row>
    <row r="410" spans="1:9">
      <c r="A410" s="476"/>
      <c r="B410" s="476"/>
      <c r="C410" s="476"/>
      <c r="D410" s="1806"/>
      <c r="E410" s="1806"/>
      <c r="F410" s="1806"/>
      <c r="I410" s="490"/>
    </row>
    <row r="411" spans="1:9">
      <c r="A411" s="476"/>
      <c r="B411" s="476"/>
      <c r="C411" s="476"/>
      <c r="D411" s="1806"/>
      <c r="E411" s="1806"/>
      <c r="F411" s="1806"/>
      <c r="I411" s="490"/>
    </row>
    <row r="412" spans="1:9">
      <c r="A412" s="476"/>
      <c r="B412" s="476"/>
      <c r="C412" s="476"/>
      <c r="D412" s="1806"/>
      <c r="E412" s="1806"/>
      <c r="F412" s="1806"/>
      <c r="I412" s="490"/>
    </row>
    <row r="413" spans="1:9">
      <c r="A413" s="476"/>
      <c r="B413" s="476"/>
      <c r="C413" s="496"/>
      <c r="D413" s="1806"/>
      <c r="E413" s="1806"/>
      <c r="F413" s="1806"/>
      <c r="I413" s="490"/>
    </row>
    <row r="414" spans="1:9">
      <c r="A414" s="476"/>
      <c r="B414" s="476"/>
      <c r="C414" s="496"/>
      <c r="D414" s="1806"/>
      <c r="E414" s="1806"/>
      <c r="F414" s="1806"/>
      <c r="I414" s="490"/>
    </row>
    <row r="415" spans="1:9">
      <c r="A415" s="476"/>
      <c r="B415" s="476"/>
      <c r="C415" s="476"/>
      <c r="D415" s="1806"/>
      <c r="E415" s="1806"/>
      <c r="F415" s="1806"/>
      <c r="I415" s="490"/>
    </row>
    <row r="416" spans="1:9">
      <c r="A416" s="476"/>
      <c r="B416" s="476"/>
      <c r="C416" s="496"/>
      <c r="D416" s="1806"/>
      <c r="E416" s="1806"/>
      <c r="F416" s="1806"/>
      <c r="I416" s="490"/>
    </row>
    <row r="417" spans="1:9">
      <c r="A417" s="476"/>
      <c r="B417" s="476"/>
      <c r="C417" s="496"/>
      <c r="D417" s="1806"/>
      <c r="E417" s="1806"/>
      <c r="F417" s="1806"/>
      <c r="I417" s="490"/>
    </row>
    <row r="418" spans="1:9">
      <c r="A418" s="476"/>
      <c r="B418" s="476"/>
      <c r="C418" s="496"/>
      <c r="D418" s="1806"/>
      <c r="E418" s="1806"/>
      <c r="F418" s="1806"/>
      <c r="I418" s="490"/>
    </row>
    <row r="419" spans="1:9">
      <c r="A419" s="476"/>
      <c r="B419" s="476"/>
      <c r="C419" s="476"/>
      <c r="D419" s="447"/>
      <c r="E419" s="447"/>
      <c r="F419" s="446"/>
      <c r="I419" s="490"/>
    </row>
    <row r="420" spans="1:9">
      <c r="A420" s="476"/>
      <c r="B420" s="485" t="s">
        <v>2688</v>
      </c>
      <c r="C420" s="476"/>
      <c r="D420" s="1806" t="s">
        <v>1136</v>
      </c>
      <c r="E420" s="1806"/>
      <c r="F420" s="1806"/>
      <c r="I420" s="490"/>
    </row>
    <row r="421" spans="1:9">
      <c r="A421" s="476"/>
      <c r="B421" s="476"/>
      <c r="C421" s="476"/>
      <c r="D421" s="1806"/>
      <c r="E421" s="1806"/>
      <c r="F421" s="1806"/>
      <c r="I421" s="490"/>
    </row>
    <row r="422" spans="1:9">
      <c r="A422" s="476"/>
      <c r="B422" s="476"/>
      <c r="C422" s="476"/>
      <c r="D422" s="451"/>
      <c r="E422" s="451"/>
      <c r="F422" s="451"/>
      <c r="I422" s="490"/>
    </row>
    <row r="423" spans="1:9" ht="14.45" customHeight="1">
      <c r="A423" s="484"/>
      <c r="B423" s="485" t="s">
        <v>2688</v>
      </c>
      <c r="D423" s="1806" t="s">
        <v>1855</v>
      </c>
      <c r="E423" s="1806"/>
      <c r="F423" s="1806"/>
      <c r="I423" s="490"/>
    </row>
    <row r="424" spans="1:9" ht="14.45" customHeight="1">
      <c r="A424" s="484"/>
      <c r="D424" s="1806"/>
      <c r="E424" s="1806"/>
      <c r="F424" s="1806"/>
      <c r="I424" s="490"/>
    </row>
    <row r="425" spans="1:9" ht="14.45" customHeight="1">
      <c r="A425" s="484"/>
      <c r="D425" s="1806"/>
      <c r="E425" s="1806"/>
      <c r="F425" s="1806"/>
      <c r="I425" s="490"/>
    </row>
    <row r="426" spans="1:9" ht="14.45" customHeight="1">
      <c r="A426" s="484"/>
      <c r="D426" s="1806"/>
      <c r="E426" s="1806"/>
      <c r="F426" s="1806"/>
      <c r="I426" s="490"/>
    </row>
    <row r="427" spans="1:9" ht="14.45" customHeight="1">
      <c r="A427" s="484"/>
      <c r="D427" s="1806"/>
      <c r="E427" s="1806"/>
      <c r="F427" s="1806"/>
      <c r="I427" s="490"/>
    </row>
    <row r="428" spans="1:9" ht="14.45" customHeight="1">
      <c r="A428" s="484"/>
      <c r="D428" s="385"/>
      <c r="E428" s="385"/>
      <c r="F428" s="385"/>
      <c r="I428" s="490"/>
    </row>
    <row r="429" spans="1:9" ht="13.7" customHeight="1">
      <c r="A429" s="484"/>
      <c r="B429" s="485" t="s">
        <v>2688</v>
      </c>
      <c r="C429" s="476"/>
      <c r="D429" s="1806" t="s">
        <v>1240</v>
      </c>
      <c r="E429" s="1806"/>
      <c r="F429" s="1806"/>
      <c r="I429" s="490"/>
    </row>
    <row r="430" spans="1:9" ht="14.25">
      <c r="A430" s="497"/>
      <c r="B430" s="497"/>
      <c r="C430" s="476"/>
      <c r="D430" s="1806"/>
      <c r="E430" s="1806"/>
      <c r="F430" s="1806"/>
      <c r="I430" s="490"/>
    </row>
    <row r="431" spans="1:9" ht="14.25">
      <c r="A431" s="497"/>
      <c r="B431" s="497"/>
      <c r="C431" s="476"/>
      <c r="D431" s="1806"/>
      <c r="E431" s="1806"/>
      <c r="F431" s="1806"/>
      <c r="I431" s="490"/>
    </row>
    <row r="432" spans="1:9" ht="14.25">
      <c r="A432" s="497"/>
      <c r="B432" s="497"/>
      <c r="C432" s="476"/>
      <c r="D432" s="1806"/>
      <c r="E432" s="1806"/>
      <c r="F432" s="1806"/>
      <c r="I432" s="490"/>
    </row>
    <row r="433" spans="1:9" ht="15.75" customHeight="1">
      <c r="A433" s="497"/>
      <c r="B433" s="497"/>
      <c r="C433" s="476"/>
      <c r="D433" s="1863" t="s">
        <v>2598</v>
      </c>
      <c r="E433" s="1806"/>
      <c r="F433" s="1806"/>
      <c r="I433" s="490"/>
    </row>
    <row r="434" spans="1:9">
      <c r="D434" s="446"/>
      <c r="E434" s="446"/>
      <c r="F434" s="446"/>
      <c r="I434" s="490"/>
    </row>
    <row r="435" spans="1:9" ht="14.25">
      <c r="A435" s="484"/>
      <c r="B435" s="485" t="s">
        <v>2688</v>
      </c>
      <c r="C435" s="487"/>
      <c r="D435" s="1832" t="s">
        <v>2017</v>
      </c>
      <c r="E435" s="1832"/>
      <c r="F435" s="1832"/>
      <c r="I435" s="490"/>
    </row>
    <row r="436" spans="1:9" ht="14.25">
      <c r="A436" s="484"/>
      <c r="B436" s="484"/>
      <c r="D436" s="1832"/>
      <c r="E436" s="1832"/>
      <c r="F436" s="1832"/>
      <c r="I436" s="490"/>
    </row>
    <row r="437" spans="1:9">
      <c r="D437" s="1832"/>
      <c r="E437" s="1832"/>
      <c r="F437" s="1832"/>
      <c r="I437" s="490"/>
    </row>
    <row r="438" spans="1:9">
      <c r="D438" s="1832"/>
      <c r="E438" s="1832"/>
      <c r="F438" s="1832"/>
      <c r="I438" s="490"/>
    </row>
    <row r="439" spans="1:9">
      <c r="D439" s="1832"/>
      <c r="E439" s="1832"/>
      <c r="F439" s="1832"/>
      <c r="I439" s="490"/>
    </row>
    <row r="440" spans="1:9">
      <c r="D440" s="1832"/>
      <c r="E440" s="1832"/>
      <c r="F440" s="1832"/>
      <c r="I440" s="490"/>
    </row>
    <row r="441" spans="1:9">
      <c r="D441" s="1832"/>
      <c r="E441" s="1832"/>
      <c r="F441" s="1832"/>
      <c r="I441" s="490"/>
    </row>
    <row r="442" spans="1:9">
      <c r="D442" s="1832"/>
      <c r="E442" s="1832"/>
      <c r="F442" s="1832"/>
      <c r="I442" s="490"/>
    </row>
    <row r="443" spans="1:9">
      <c r="D443" s="1832"/>
      <c r="E443" s="1832"/>
      <c r="F443" s="1832"/>
      <c r="I443" s="490"/>
    </row>
    <row r="444" spans="1:9">
      <c r="D444" s="1832"/>
      <c r="E444" s="1832"/>
      <c r="F444" s="1832"/>
      <c r="I444" s="490"/>
    </row>
    <row r="445" spans="1:9">
      <c r="D445" s="1832"/>
      <c r="E445" s="1832"/>
      <c r="F445" s="1832"/>
      <c r="I445" s="490"/>
    </row>
    <row r="446" spans="1:9">
      <c r="D446" s="1832"/>
      <c r="E446" s="1832"/>
      <c r="F446" s="1832"/>
      <c r="I446" s="490"/>
    </row>
    <row r="447" spans="1:9">
      <c r="D447" s="1832"/>
      <c r="E447" s="1832"/>
      <c r="F447" s="1832"/>
      <c r="I447" s="490"/>
    </row>
    <row r="448" spans="1:9">
      <c r="A448" s="402"/>
      <c r="B448" s="402"/>
      <c r="C448" s="402"/>
      <c r="D448" s="1832"/>
      <c r="E448" s="1832"/>
      <c r="F448" s="1832"/>
      <c r="I448" s="490"/>
    </row>
    <row r="449" spans="1:9">
      <c r="A449" s="402"/>
      <c r="B449" s="402"/>
      <c r="C449" s="402"/>
      <c r="D449" s="1832"/>
      <c r="E449" s="1832"/>
      <c r="F449" s="1832"/>
      <c r="I449" s="490"/>
    </row>
    <row r="450" spans="1:9">
      <c r="A450" s="402"/>
      <c r="B450" s="402"/>
      <c r="C450" s="402"/>
      <c r="D450" s="1832"/>
      <c r="E450" s="1832"/>
      <c r="F450" s="1832"/>
      <c r="I450" s="490"/>
    </row>
    <row r="451" spans="1:9">
      <c r="A451" s="402"/>
      <c r="B451" s="402"/>
      <c r="C451" s="402"/>
      <c r="D451" s="1832"/>
      <c r="E451" s="1832"/>
      <c r="F451" s="1832"/>
      <c r="I451" s="490"/>
    </row>
    <row r="452" spans="1:9">
      <c r="A452" s="402"/>
      <c r="B452" s="402"/>
      <c r="C452" s="402"/>
      <c r="D452" s="1832"/>
      <c r="E452" s="1832"/>
      <c r="F452" s="1832"/>
      <c r="I452" s="490"/>
    </row>
    <row r="453" spans="1:9">
      <c r="A453" s="402"/>
      <c r="B453" s="402"/>
      <c r="C453" s="402"/>
      <c r="D453" s="1832"/>
      <c r="E453" s="1832"/>
      <c r="F453" s="1832"/>
      <c r="I453" s="490"/>
    </row>
    <row r="454" spans="1:9">
      <c r="A454" s="402"/>
      <c r="B454" s="402"/>
      <c r="C454" s="402"/>
      <c r="D454" s="1832"/>
      <c r="E454" s="1832"/>
      <c r="F454" s="1832"/>
      <c r="I454" s="490"/>
    </row>
    <row r="455" spans="1:9">
      <c r="A455" s="402"/>
      <c r="B455" s="402"/>
      <c r="C455" s="402"/>
      <c r="D455" s="1832"/>
      <c r="E455" s="1832"/>
      <c r="F455" s="1832"/>
      <c r="I455" s="490"/>
    </row>
    <row r="456" spans="1:9">
      <c r="A456" s="402"/>
      <c r="B456" s="402"/>
      <c r="C456" s="402"/>
      <c r="D456" s="1832"/>
      <c r="E456" s="1832"/>
      <c r="F456" s="1832"/>
      <c r="I456" s="490"/>
    </row>
    <row r="457" spans="1:9">
      <c r="A457" s="402"/>
      <c r="B457" s="402"/>
      <c r="C457" s="402"/>
      <c r="D457" s="1832"/>
      <c r="E457" s="1832"/>
      <c r="F457" s="1832"/>
      <c r="I457" s="490"/>
    </row>
    <row r="458" spans="1:9">
      <c r="A458" s="402"/>
      <c r="B458" s="402"/>
      <c r="C458" s="402"/>
      <c r="D458" s="1832"/>
      <c r="E458" s="1832"/>
      <c r="F458" s="1832"/>
      <c r="I458" s="490"/>
    </row>
    <row r="459" spans="1:9">
      <c r="A459" s="402"/>
      <c r="B459" s="402"/>
      <c r="C459" s="402"/>
      <c r="D459" s="1832"/>
      <c r="E459" s="1832"/>
      <c r="F459" s="1832"/>
      <c r="I459" s="490"/>
    </row>
    <row r="460" spans="1:9">
      <c r="A460" s="402"/>
      <c r="B460" s="402"/>
      <c r="C460" s="402"/>
      <c r="D460" s="1832"/>
      <c r="E460" s="1832"/>
      <c r="F460" s="1832"/>
      <c r="I460" s="490"/>
    </row>
    <row r="461" spans="1:9">
      <c r="A461" s="402"/>
      <c r="B461" s="402"/>
      <c r="C461" s="402"/>
      <c r="D461" s="1832"/>
      <c r="E461" s="1832"/>
      <c r="F461" s="1832"/>
      <c r="I461" s="490"/>
    </row>
    <row r="462" spans="1:9">
      <c r="A462" s="402"/>
      <c r="B462" s="402"/>
      <c r="C462" s="402"/>
      <c r="D462" s="1832"/>
      <c r="E462" s="1832"/>
      <c r="F462" s="1832"/>
      <c r="I462" s="490"/>
    </row>
    <row r="463" spans="1:9">
      <c r="A463" s="402"/>
      <c r="B463" s="402"/>
      <c r="C463" s="402"/>
      <c r="D463" s="1832"/>
      <c r="E463" s="1832"/>
      <c r="F463" s="1832"/>
      <c r="I463" s="490"/>
    </row>
    <row r="464" spans="1:9">
      <c r="D464" s="1832"/>
      <c r="E464" s="1832"/>
      <c r="F464" s="1832"/>
      <c r="I464" s="490"/>
    </row>
    <row r="465" spans="1:9" ht="40.700000000000003" customHeight="1">
      <c r="D465" s="1832"/>
      <c r="E465" s="1832"/>
      <c r="F465" s="1832"/>
      <c r="I465" s="490"/>
    </row>
    <row r="466" spans="1:9">
      <c r="D466" s="446"/>
      <c r="E466" s="446"/>
      <c r="F466" s="446"/>
      <c r="I466" s="490"/>
    </row>
    <row r="467" spans="1:9" ht="14.25">
      <c r="A467" s="484"/>
      <c r="B467" s="485" t="s">
        <v>2688</v>
      </c>
      <c r="C467" s="487"/>
      <c r="D467" s="1832" t="s">
        <v>1137</v>
      </c>
      <c r="E467" s="1832"/>
      <c r="F467" s="1832"/>
      <c r="I467" s="490"/>
    </row>
    <row r="468" spans="1:9">
      <c r="D468" s="1832"/>
      <c r="E468" s="1832"/>
      <c r="F468" s="1832"/>
      <c r="I468" s="490"/>
    </row>
    <row r="469" spans="1:9">
      <c r="D469" s="1832"/>
      <c r="E469" s="1832"/>
      <c r="F469" s="1832"/>
      <c r="I469" s="490"/>
    </row>
    <row r="470" spans="1:9">
      <c r="D470" s="445"/>
      <c r="E470" s="445"/>
      <c r="F470" s="445"/>
      <c r="I470" s="490"/>
    </row>
    <row r="471" spans="1:9" ht="14.25">
      <c r="B471" s="485" t="s">
        <v>2688</v>
      </c>
      <c r="C471" s="484"/>
      <c r="D471" s="1832" t="s">
        <v>1197</v>
      </c>
      <c r="E471" s="1832"/>
      <c r="F471" s="1832"/>
      <c r="I471" s="490"/>
    </row>
    <row r="472" spans="1:9">
      <c r="D472" s="1832"/>
      <c r="E472" s="1832"/>
      <c r="F472" s="1832"/>
      <c r="I472" s="490"/>
    </row>
    <row r="473" spans="1:9">
      <c r="D473" s="446"/>
      <c r="E473" s="446"/>
      <c r="F473" s="446"/>
      <c r="I473" s="490"/>
    </row>
    <row r="474" spans="1:9" ht="14.25">
      <c r="B474" s="485" t="s">
        <v>2688</v>
      </c>
      <c r="C474" s="484"/>
      <c r="D474" s="1832" t="s">
        <v>1138</v>
      </c>
      <c r="E474" s="1832"/>
      <c r="F474" s="1832"/>
      <c r="I474" s="490"/>
    </row>
    <row r="475" spans="1:9">
      <c r="D475" s="1832"/>
      <c r="E475" s="1832"/>
      <c r="F475" s="1832"/>
      <c r="I475" s="490"/>
    </row>
    <row r="476" spans="1:9">
      <c r="D476" s="1832"/>
      <c r="E476" s="1832"/>
      <c r="F476" s="1832"/>
      <c r="I476" s="490"/>
    </row>
    <row r="477" spans="1:9">
      <c r="D477" s="1832"/>
      <c r="E477" s="1832"/>
      <c r="F477" s="1832"/>
      <c r="I477" s="490"/>
    </row>
    <row r="478" spans="1:9">
      <c r="B478" s="485" t="s">
        <v>2688</v>
      </c>
      <c r="D478" s="1832"/>
      <c r="E478" s="1832"/>
      <c r="F478" s="1832"/>
      <c r="I478" s="490"/>
    </row>
    <row r="479" spans="1:9">
      <c r="A479" s="402"/>
      <c r="B479" s="402"/>
      <c r="C479" s="402"/>
      <c r="D479" s="1832"/>
      <c r="E479" s="1832"/>
      <c r="F479" s="1832"/>
      <c r="I479" s="490"/>
    </row>
    <row r="480" spans="1:9">
      <c r="A480" s="402"/>
      <c r="C480" s="402"/>
      <c r="D480" s="1832"/>
      <c r="E480" s="1832"/>
      <c r="F480" s="1832"/>
      <c r="I480" s="490"/>
    </row>
    <row r="481" spans="1:9">
      <c r="A481" s="402"/>
      <c r="B481" s="485" t="s">
        <v>2688</v>
      </c>
      <c r="C481" s="402"/>
      <c r="D481" s="1832"/>
      <c r="E481" s="1832"/>
      <c r="F481" s="1832"/>
      <c r="I481" s="490"/>
    </row>
    <row r="482" spans="1:9">
      <c r="A482" s="402"/>
      <c r="B482" s="402"/>
      <c r="C482" s="402"/>
      <c r="D482" s="1832"/>
      <c r="E482" s="1832"/>
      <c r="F482" s="1832"/>
      <c r="I482" s="490"/>
    </row>
    <row r="483" spans="1:9">
      <c r="A483" s="402"/>
      <c r="C483" s="402"/>
      <c r="D483" s="1832"/>
      <c r="E483" s="1832"/>
      <c r="F483" s="1832"/>
      <c r="I483" s="490"/>
    </row>
    <row r="484" spans="1:9">
      <c r="A484" s="402"/>
      <c r="C484" s="402"/>
      <c r="D484" s="1832"/>
      <c r="E484" s="1832"/>
      <c r="F484" s="1832"/>
      <c r="I484" s="490"/>
    </row>
    <row r="485" spans="1:9">
      <c r="A485" s="402"/>
      <c r="C485" s="402"/>
      <c r="D485" s="1832"/>
      <c r="E485" s="1832"/>
      <c r="F485" s="1832"/>
      <c r="I485" s="490"/>
    </row>
    <row r="486" spans="1:9">
      <c r="A486" s="402"/>
      <c r="B486" s="485" t="s">
        <v>2688</v>
      </c>
      <c r="C486" s="402"/>
      <c r="D486" s="1832"/>
      <c r="E486" s="1832"/>
      <c r="F486" s="1832"/>
      <c r="I486" s="490"/>
    </row>
    <row r="487" spans="1:9">
      <c r="A487" s="402"/>
      <c r="C487" s="402"/>
      <c r="D487" s="1832"/>
      <c r="E487" s="1832"/>
      <c r="F487" s="1832"/>
      <c r="I487" s="490"/>
    </row>
    <row r="488" spans="1:9">
      <c r="A488" s="402"/>
      <c r="B488" s="485" t="s">
        <v>2688</v>
      </c>
      <c r="C488" s="402"/>
      <c r="D488" s="1832" t="s">
        <v>1139</v>
      </c>
      <c r="E488" s="1832"/>
      <c r="F488" s="1832"/>
      <c r="I488" s="490"/>
    </row>
    <row r="489" spans="1:9">
      <c r="A489" s="402"/>
      <c r="B489" s="402"/>
      <c r="C489" s="402"/>
      <c r="D489" s="1832"/>
      <c r="E489" s="1832"/>
      <c r="F489" s="1832"/>
      <c r="I489" s="490"/>
    </row>
    <row r="490" spans="1:9">
      <c r="A490" s="402"/>
      <c r="B490" s="402"/>
      <c r="C490" s="402"/>
      <c r="D490" s="1832"/>
      <c r="E490" s="1832"/>
      <c r="F490" s="1832"/>
      <c r="I490" s="490"/>
    </row>
    <row r="491" spans="1:9">
      <c r="A491" s="402"/>
      <c r="B491" s="402"/>
      <c r="C491" s="402"/>
      <c r="D491" s="1832"/>
      <c r="E491" s="1832"/>
      <c r="F491" s="1832"/>
      <c r="I491" s="490"/>
    </row>
    <row r="492" spans="1:9">
      <c r="D492" s="1832"/>
      <c r="E492" s="1832"/>
      <c r="F492" s="1832"/>
      <c r="I492" s="490"/>
    </row>
    <row r="493" spans="1:9">
      <c r="D493" s="446"/>
      <c r="E493" s="446"/>
      <c r="F493" s="446"/>
      <c r="I493" s="490"/>
    </row>
    <row r="494" spans="1:9">
      <c r="B494" s="485" t="s">
        <v>2688</v>
      </c>
      <c r="D494" s="1834" t="s">
        <v>1140</v>
      </c>
      <c r="E494" s="1834"/>
      <c r="F494" s="1834"/>
      <c r="I494" s="490"/>
    </row>
    <row r="495" spans="1:9">
      <c r="A495" s="446"/>
      <c r="B495" s="446"/>
      <c r="I495" s="490"/>
    </row>
    <row r="496" spans="1:9">
      <c r="A496" s="1833" t="s">
        <v>1050</v>
      </c>
      <c r="B496" s="1833"/>
      <c r="C496" s="1833"/>
      <c r="D496" s="1833"/>
      <c r="E496" s="1833"/>
      <c r="F496" s="1833"/>
      <c r="G496" s="1833"/>
      <c r="H496" s="1023"/>
      <c r="I496" s="1147"/>
    </row>
    <row r="497" spans="1:9">
      <c r="A497" s="446"/>
      <c r="B497" s="446"/>
      <c r="I497" s="490"/>
    </row>
    <row r="498" spans="1:9">
      <c r="D498" s="1862" t="s">
        <v>883</v>
      </c>
      <c r="E498" s="1862"/>
      <c r="F498" s="1862"/>
      <c r="I498" s="490"/>
    </row>
    <row r="499" spans="1:9" ht="14.25">
      <c r="A499" s="484"/>
      <c r="B499" s="484"/>
      <c r="D499" s="1842" t="s">
        <v>1141</v>
      </c>
      <c r="E499" s="1842"/>
      <c r="F499" s="1842"/>
      <c r="I499" s="490"/>
    </row>
    <row r="500" spans="1:9" ht="14.25">
      <c r="A500" s="484"/>
      <c r="B500" s="484"/>
      <c r="D500" s="447"/>
      <c r="I500" s="490"/>
    </row>
    <row r="501" spans="1:9" ht="14.25">
      <c r="A501" s="484"/>
      <c r="B501" s="485" t="s">
        <v>2688</v>
      </c>
      <c r="D501" s="1806" t="s">
        <v>1142</v>
      </c>
      <c r="E501" s="1806"/>
      <c r="F501" s="1806"/>
      <c r="I501" s="490"/>
    </row>
    <row r="502" spans="1:9" ht="14.25">
      <c r="A502" s="484"/>
      <c r="B502" s="484"/>
      <c r="D502" s="1806"/>
      <c r="E502" s="1806"/>
      <c r="F502" s="1806"/>
      <c r="I502" s="490"/>
    </row>
    <row r="503" spans="1:9" ht="14.25">
      <c r="A503" s="484"/>
      <c r="B503" s="484"/>
      <c r="D503" s="446"/>
      <c r="I503" s="490"/>
    </row>
    <row r="504" spans="1:9" ht="12.75" customHeight="1">
      <c r="B504" s="485" t="s">
        <v>2688</v>
      </c>
      <c r="D504" s="1848" t="s">
        <v>1273</v>
      </c>
      <c r="E504" s="1848"/>
      <c r="F504" s="1848"/>
      <c r="I504" s="490"/>
    </row>
    <row r="505" spans="1:9" ht="14.25">
      <c r="A505" s="484"/>
      <c r="D505" s="1848"/>
      <c r="E505" s="1848"/>
      <c r="F505" s="1848"/>
      <c r="I505" s="490"/>
    </row>
    <row r="506" spans="1:9" ht="14.25">
      <c r="A506" s="484"/>
      <c r="B506" s="484"/>
      <c r="D506" s="1848"/>
      <c r="E506" s="1848"/>
      <c r="F506" s="1848"/>
      <c r="I506" s="490"/>
    </row>
    <row r="507" spans="1:9" ht="14.25">
      <c r="A507" s="484"/>
      <c r="B507" s="484"/>
      <c r="D507" s="1848"/>
      <c r="E507" s="1848"/>
      <c r="F507" s="1848"/>
      <c r="I507" s="490"/>
    </row>
    <row r="508" spans="1:9" ht="14.25">
      <c r="A508" s="484"/>
      <c r="D508" s="520"/>
      <c r="E508" s="520"/>
      <c r="F508" s="520"/>
      <c r="I508" s="490"/>
    </row>
    <row r="509" spans="1:9" ht="14.25">
      <c r="A509" s="484"/>
      <c r="B509" s="485" t="s">
        <v>2688</v>
      </c>
      <c r="D509" s="1834" t="s">
        <v>1143</v>
      </c>
      <c r="E509" s="1834"/>
      <c r="F509" s="1834"/>
      <c r="I509" s="490"/>
    </row>
    <row r="510" spans="1:9" ht="14.25">
      <c r="A510" s="484"/>
      <c r="B510" s="484"/>
      <c r="D510" s="446"/>
      <c r="I510" s="490"/>
    </row>
    <row r="511" spans="1:9" ht="14.25">
      <c r="A511" s="484"/>
      <c r="B511" s="485" t="s">
        <v>2688</v>
      </c>
      <c r="D511" s="1832" t="s">
        <v>1144</v>
      </c>
      <c r="E511" s="1832"/>
      <c r="F511" s="1832"/>
      <c r="I511" s="490"/>
    </row>
    <row r="512" spans="1:9" ht="14.25">
      <c r="A512" s="484"/>
      <c r="D512" s="1832"/>
      <c r="E512" s="1832"/>
      <c r="F512" s="1832"/>
      <c r="I512" s="490"/>
    </row>
    <row r="513" spans="1:9">
      <c r="A513" s="490"/>
      <c r="B513" s="490"/>
      <c r="D513" s="447"/>
      <c r="I513" s="490"/>
    </row>
    <row r="514" spans="1:9">
      <c r="A514" s="490"/>
      <c r="B514" s="485" t="s">
        <v>2688</v>
      </c>
      <c r="D514" s="1834" t="s">
        <v>1145</v>
      </c>
      <c r="E514" s="1834"/>
      <c r="F514" s="1834"/>
      <c r="I514" s="490"/>
    </row>
    <row r="515" spans="1:9">
      <c r="D515" s="446"/>
      <c r="E515" s="446"/>
      <c r="F515" s="446"/>
      <c r="I515" s="490"/>
    </row>
    <row r="516" spans="1:9">
      <c r="B516" s="485" t="s">
        <v>2688</v>
      </c>
      <c r="D516" s="1832" t="s">
        <v>2220</v>
      </c>
      <c r="E516" s="1832"/>
      <c r="F516" s="1832"/>
      <c r="I516" s="490"/>
    </row>
    <row r="517" spans="1:9">
      <c r="D517" s="1832"/>
      <c r="E517" s="1832"/>
      <c r="F517" s="1832"/>
      <c r="I517" s="490"/>
    </row>
    <row r="518" spans="1:9">
      <c r="D518" s="1832"/>
      <c r="E518" s="1832"/>
      <c r="F518" s="1832"/>
      <c r="I518" s="490"/>
    </row>
    <row r="519" spans="1:9">
      <c r="D519" s="446"/>
      <c r="E519" s="446"/>
      <c r="F519" s="446"/>
      <c r="I519" s="490"/>
    </row>
    <row r="520" spans="1:9" ht="14.25">
      <c r="A520" s="484"/>
      <c r="B520" s="484"/>
      <c r="D520" s="446"/>
      <c r="I520" s="490"/>
    </row>
    <row r="521" spans="1:9">
      <c r="A521" s="1833" t="s">
        <v>1051</v>
      </c>
      <c r="B521" s="1833"/>
      <c r="C521" s="1833"/>
      <c r="D521" s="1833"/>
      <c r="E521" s="1833"/>
      <c r="F521" s="1833"/>
      <c r="G521" s="1833"/>
      <c r="H521" s="1023"/>
      <c r="I521" s="1147"/>
    </row>
    <row r="522" spans="1:9" ht="12" customHeight="1">
      <c r="A522" s="484"/>
      <c r="B522" s="484"/>
      <c r="D522" s="446"/>
      <c r="I522" s="490"/>
    </row>
    <row r="523" spans="1:9">
      <c r="C523" s="482"/>
      <c r="D523" s="1835" t="s">
        <v>793</v>
      </c>
      <c r="E523" s="1835"/>
      <c r="F523" s="1835"/>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2717</v>
      </c>
      <c r="C527" s="483"/>
      <c r="D527" s="1806" t="s">
        <v>2018</v>
      </c>
      <c r="E527" s="1806"/>
      <c r="F527" s="1806"/>
      <c r="I527" s="490"/>
    </row>
    <row r="528" spans="1:9">
      <c r="A528" s="483"/>
      <c r="B528" s="483"/>
      <c r="C528" s="483"/>
      <c r="D528" s="1806"/>
      <c r="E528" s="1806"/>
      <c r="F528" s="1806"/>
      <c r="I528" s="490"/>
    </row>
    <row r="529" spans="1:9">
      <c r="A529" s="483"/>
      <c r="B529" s="483"/>
      <c r="C529" s="483"/>
      <c r="D529" s="451"/>
      <c r="E529" s="451"/>
      <c r="F529" s="451"/>
      <c r="I529" s="480"/>
    </row>
    <row r="530" spans="1:9" ht="12.75" customHeight="1">
      <c r="A530" s="483"/>
      <c r="B530" s="485" t="s">
        <v>2717</v>
      </c>
      <c r="D530" s="386" t="s">
        <v>1876</v>
      </c>
      <c r="E530" s="385"/>
      <c r="F530" s="385"/>
      <c r="I530" s="490"/>
    </row>
    <row r="531" spans="1:9">
      <c r="A531" s="483"/>
      <c r="B531" s="483"/>
      <c r="C531" s="483"/>
      <c r="D531" s="385"/>
      <c r="E531" s="96" t="s">
        <v>1877</v>
      </c>
      <c r="I531" s="490"/>
    </row>
    <row r="532" spans="1:9">
      <c r="A532" s="483"/>
      <c r="B532" s="483"/>
      <c r="D532" s="1814" t="s">
        <v>2019</v>
      </c>
      <c r="E532" s="1814"/>
      <c r="F532" s="1814"/>
      <c r="I532" s="490"/>
    </row>
    <row r="533" spans="1:9">
      <c r="A533" s="483"/>
      <c r="B533" s="483"/>
      <c r="D533" s="1814"/>
      <c r="E533" s="1814"/>
      <c r="F533" s="1814"/>
      <c r="I533" s="490"/>
    </row>
    <row r="534" spans="1:9">
      <c r="A534" s="483"/>
      <c r="B534" s="483"/>
      <c r="C534" s="483"/>
      <c r="D534" s="1814"/>
      <c r="E534" s="1814"/>
      <c r="F534" s="1814"/>
      <c r="I534" s="490"/>
    </row>
    <row r="535" spans="1:9">
      <c r="A535" s="483"/>
      <c r="B535" s="483"/>
      <c r="C535" s="483"/>
      <c r="D535" s="498"/>
      <c r="F535" s="446"/>
      <c r="I535" s="490"/>
    </row>
    <row r="536" spans="1:9" ht="13.15" customHeight="1">
      <c r="A536" s="483"/>
      <c r="B536" s="485" t="s">
        <v>2717</v>
      </c>
      <c r="C536" s="483"/>
      <c r="D536" s="1832" t="s">
        <v>2622</v>
      </c>
      <c r="E536" s="1832"/>
      <c r="F536" s="1832"/>
      <c r="I536" s="490"/>
    </row>
    <row r="537" spans="1:9" ht="13.15" customHeight="1">
      <c r="A537" s="483"/>
      <c r="B537" s="483"/>
      <c r="C537" s="483"/>
      <c r="D537" s="1832"/>
      <c r="E537" s="1832"/>
      <c r="F537" s="1832"/>
      <c r="I537" s="490"/>
    </row>
    <row r="538" spans="1:9">
      <c r="A538" s="483"/>
      <c r="B538" s="483"/>
      <c r="C538" s="483"/>
      <c r="D538" s="1832"/>
      <c r="E538" s="1832"/>
      <c r="F538" s="1832"/>
      <c r="I538" s="490"/>
    </row>
    <row r="539" spans="1:9" ht="12" customHeight="1">
      <c r="A539" s="446"/>
      <c r="B539" s="446"/>
      <c r="C539" s="487"/>
      <c r="D539" s="446"/>
      <c r="F539" s="448"/>
      <c r="I539" s="490"/>
    </row>
    <row r="540" spans="1:9">
      <c r="A540" s="1833" t="s">
        <v>1052</v>
      </c>
      <c r="B540" s="1833"/>
      <c r="C540" s="1833"/>
      <c r="D540" s="1833"/>
      <c r="E540" s="1833"/>
      <c r="F540" s="1833"/>
      <c r="G540" s="1833"/>
      <c r="H540" s="1023"/>
      <c r="I540" s="1147"/>
    </row>
    <row r="541" spans="1:9">
      <c r="A541" s="446"/>
      <c r="B541" s="446"/>
      <c r="C541" s="487"/>
      <c r="F541" s="448"/>
      <c r="I541" s="490"/>
    </row>
    <row r="542" spans="1:9">
      <c r="B542" s="1838" t="s">
        <v>446</v>
      </c>
      <c r="C542" s="1838"/>
      <c r="D542" s="1838"/>
      <c r="E542" s="1838"/>
      <c r="F542" s="1838"/>
      <c r="I542" s="490"/>
    </row>
    <row r="543" spans="1:9">
      <c r="A543" s="446"/>
      <c r="B543" s="446"/>
      <c r="C543" s="487"/>
      <c r="D543" s="446"/>
      <c r="F543" s="446"/>
      <c r="I543" s="490"/>
    </row>
    <row r="544" spans="1:9">
      <c r="A544" s="1836" t="s">
        <v>1053</v>
      </c>
      <c r="B544" s="1836"/>
      <c r="C544" s="1836"/>
      <c r="D544" s="1836"/>
      <c r="E544" s="1836"/>
      <c r="F544" s="1836"/>
      <c r="G544" s="1836"/>
      <c r="H544" s="1023"/>
      <c r="I544" s="1147"/>
    </row>
    <row r="545" spans="1:9">
      <c r="A545" s="446"/>
      <c r="B545" s="446"/>
      <c r="C545" s="487"/>
      <c r="D545" s="446"/>
      <c r="F545" s="446"/>
      <c r="I545" s="490"/>
    </row>
    <row r="546" spans="1:9">
      <c r="C546" s="487"/>
      <c r="D546" s="1835" t="s">
        <v>683</v>
      </c>
      <c r="E546" s="1835"/>
      <c r="F546" s="1835"/>
      <c r="I546" s="490"/>
    </row>
    <row r="547" spans="1:9">
      <c r="C547" s="487"/>
      <c r="D547" s="1834" t="s">
        <v>1081</v>
      </c>
      <c r="E547" s="1834"/>
      <c r="F547" s="1834"/>
      <c r="I547" s="490"/>
    </row>
    <row r="548" spans="1:9">
      <c r="C548" s="487"/>
      <c r="D548" s="446"/>
      <c r="E548" s="446"/>
      <c r="F548" s="446"/>
      <c r="I548" s="490"/>
    </row>
    <row r="549" spans="1:9" ht="13.7" customHeight="1">
      <c r="A549" s="484"/>
      <c r="B549" s="485" t="s">
        <v>2717</v>
      </c>
      <c r="C549" s="487"/>
      <c r="D549" s="1834" t="s">
        <v>884</v>
      </c>
      <c r="E549" s="1834"/>
      <c r="F549" s="1834"/>
      <c r="I549" s="490"/>
    </row>
    <row r="550" spans="1:9" ht="13.7" customHeight="1">
      <c r="A550" s="487"/>
      <c r="B550" s="487"/>
      <c r="C550" s="487"/>
      <c r="D550" s="446"/>
      <c r="I550" s="490"/>
    </row>
    <row r="551" spans="1:9" ht="14.25">
      <c r="A551" s="484"/>
      <c r="B551" s="485" t="s">
        <v>2717</v>
      </c>
      <c r="C551" s="487"/>
      <c r="D551" s="1832" t="s">
        <v>1082</v>
      </c>
      <c r="E551" s="1832"/>
      <c r="F551" s="1832"/>
      <c r="I551" s="490"/>
    </row>
    <row r="552" spans="1:9">
      <c r="A552" s="487"/>
      <c r="B552" s="487"/>
      <c r="C552" s="487"/>
      <c r="D552" s="1832"/>
      <c r="E552" s="1832"/>
      <c r="F552" s="1832"/>
      <c r="I552" s="490"/>
    </row>
    <row r="553" spans="1:9">
      <c r="A553" s="487"/>
      <c r="B553" s="487"/>
      <c r="C553" s="487"/>
      <c r="D553" s="446"/>
      <c r="E553" s="446"/>
      <c r="F553" s="446"/>
      <c r="I553" s="490"/>
    </row>
    <row r="554" spans="1:9" ht="14.25">
      <c r="A554" s="484"/>
      <c r="B554" s="485" t="s">
        <v>2717</v>
      </c>
      <c r="C554" s="487"/>
      <c r="D554" s="1832" t="s">
        <v>1083</v>
      </c>
      <c r="E554" s="1832"/>
      <c r="F554" s="1832"/>
      <c r="I554" s="490"/>
    </row>
    <row r="555" spans="1:9">
      <c r="A555" s="487"/>
      <c r="B555" s="487"/>
      <c r="C555" s="487"/>
      <c r="D555" s="1832"/>
      <c r="E555" s="1832"/>
      <c r="F555" s="1832"/>
      <c r="I555" s="490"/>
    </row>
    <row r="556" spans="1:9">
      <c r="A556" s="487"/>
      <c r="B556" s="487"/>
      <c r="C556" s="487"/>
      <c r="D556" s="446"/>
      <c r="E556" s="446"/>
      <c r="F556" s="446"/>
      <c r="I556" s="490"/>
    </row>
    <row r="557" spans="1:9" ht="14.25">
      <c r="A557" s="484"/>
      <c r="B557" s="485" t="s">
        <v>2717</v>
      </c>
      <c r="C557" s="487"/>
      <c r="D557" s="1832" t="s">
        <v>1084</v>
      </c>
      <c r="E557" s="1832"/>
      <c r="F557" s="1832"/>
      <c r="I557" s="490"/>
    </row>
    <row r="558" spans="1:9">
      <c r="A558" s="487"/>
      <c r="B558" s="487"/>
      <c r="C558" s="487"/>
      <c r="D558" s="1832"/>
      <c r="E558" s="1832"/>
      <c r="F558" s="1832"/>
      <c r="I558" s="490"/>
    </row>
    <row r="559" spans="1:9">
      <c r="A559" s="487"/>
      <c r="B559" s="487"/>
      <c r="C559" s="487"/>
      <c r="D559" s="446"/>
      <c r="E559" s="446"/>
      <c r="F559" s="446"/>
      <c r="I559" s="490"/>
    </row>
    <row r="560" spans="1:9" ht="14.25">
      <c r="A560" s="484"/>
      <c r="B560" s="485" t="s">
        <v>2717</v>
      </c>
      <c r="C560" s="487"/>
      <c r="D560" s="1832" t="s">
        <v>1085</v>
      </c>
      <c r="E560" s="1832"/>
      <c r="F560" s="1832"/>
      <c r="I560" s="490"/>
    </row>
    <row r="561" spans="1:9">
      <c r="A561" s="487"/>
      <c r="B561" s="487"/>
      <c r="C561" s="487"/>
      <c r="D561" s="1832"/>
      <c r="E561" s="1832"/>
      <c r="F561" s="1832"/>
      <c r="I561" s="490"/>
    </row>
    <row r="562" spans="1:9">
      <c r="A562" s="487"/>
      <c r="B562" s="487"/>
      <c r="C562" s="487"/>
      <c r="D562" s="1832"/>
      <c r="E562" s="1832"/>
      <c r="F562" s="1832"/>
      <c r="I562" s="490"/>
    </row>
    <row r="563" spans="1:9">
      <c r="A563" s="487"/>
      <c r="B563" s="487"/>
      <c r="C563" s="487"/>
      <c r="D563" s="446"/>
      <c r="E563" s="446"/>
      <c r="F563" s="446"/>
      <c r="I563" s="490"/>
    </row>
    <row r="564" spans="1:9" ht="14.25">
      <c r="A564" s="484"/>
      <c r="B564" s="485" t="s">
        <v>2688</v>
      </c>
      <c r="C564" s="487"/>
      <c r="D564" s="1832" t="s">
        <v>2199</v>
      </c>
      <c r="E564" s="1832"/>
      <c r="F564" s="1832"/>
      <c r="I564" s="490"/>
    </row>
    <row r="565" spans="1:9">
      <c r="A565" s="487"/>
      <c r="B565" s="487"/>
      <c r="C565" s="487"/>
      <c r="D565" s="1832"/>
      <c r="E565" s="1832"/>
      <c r="F565" s="1832"/>
      <c r="I565" s="490"/>
    </row>
    <row r="566" spans="1:9">
      <c r="A566" s="487"/>
      <c r="B566" s="487"/>
      <c r="C566" s="487"/>
      <c r="D566" s="446"/>
      <c r="E566" s="446"/>
      <c r="F566" s="446"/>
      <c r="I566" s="490"/>
    </row>
    <row r="567" spans="1:9" ht="14.25">
      <c r="A567" s="484"/>
      <c r="B567" s="485" t="s">
        <v>2717</v>
      </c>
      <c r="C567" s="487"/>
      <c r="D567" s="1832" t="s">
        <v>1086</v>
      </c>
      <c r="E567" s="1832"/>
      <c r="F567" s="1832"/>
      <c r="I567" s="490"/>
    </row>
    <row r="568" spans="1:9">
      <c r="A568" s="487"/>
      <c r="B568" s="487"/>
      <c r="C568" s="487"/>
      <c r="D568" s="1832"/>
      <c r="E568" s="1832"/>
      <c r="F568" s="1832"/>
      <c r="I568" s="490"/>
    </row>
    <row r="569" spans="1:9">
      <c r="A569" s="487"/>
      <c r="B569" s="487"/>
      <c r="C569" s="487"/>
      <c r="D569" s="446"/>
      <c r="E569" s="446"/>
      <c r="F569" s="446"/>
      <c r="I569" s="490"/>
    </row>
    <row r="570" spans="1:9" ht="14.25">
      <c r="A570" s="484"/>
      <c r="B570" s="485" t="s">
        <v>2717</v>
      </c>
      <c r="C570" s="487"/>
      <c r="D570" s="1834" t="s">
        <v>1087</v>
      </c>
      <c r="E570" s="1834"/>
      <c r="F570" s="1834"/>
      <c r="I570" s="490"/>
    </row>
    <row r="571" spans="1:9">
      <c r="A571" s="490"/>
      <c r="B571" s="490"/>
      <c r="C571" s="487"/>
      <c r="D571" s="1834" t="s">
        <v>1879</v>
      </c>
      <c r="E571" s="1834"/>
      <c r="F571" s="1834"/>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2717</v>
      </c>
      <c r="C574" s="487"/>
      <c r="D574" s="1834" t="s">
        <v>1088</v>
      </c>
      <c r="E574" s="1834"/>
      <c r="F574" s="1834"/>
      <c r="I574" s="490"/>
    </row>
    <row r="575" spans="1:9">
      <c r="C575" s="487"/>
      <c r="D575" s="1832" t="s">
        <v>1089</v>
      </c>
      <c r="E575" s="1832"/>
      <c r="F575" s="1832"/>
      <c r="I575" s="490"/>
    </row>
    <row r="576" spans="1:9">
      <c r="A576" s="487"/>
      <c r="B576" s="487"/>
      <c r="C576" s="487"/>
      <c r="D576" s="1832"/>
      <c r="E576" s="1832"/>
      <c r="F576" s="1832"/>
      <c r="I576" s="490"/>
    </row>
    <row r="577" spans="1:9">
      <c r="A577" s="487"/>
      <c r="B577" s="487"/>
      <c r="C577" s="487"/>
      <c r="D577" s="1832"/>
      <c r="E577" s="1832"/>
      <c r="F577" s="1832"/>
      <c r="I577" s="490"/>
    </row>
    <row r="578" spans="1:9">
      <c r="A578" s="487"/>
      <c r="B578" s="487"/>
      <c r="C578" s="487"/>
      <c r="D578" s="446"/>
      <c r="E578" s="446"/>
      <c r="F578" s="446"/>
      <c r="I578" s="490"/>
    </row>
    <row r="579" spans="1:9" ht="14.25">
      <c r="A579" s="484"/>
      <c r="B579" s="485" t="s">
        <v>2717</v>
      </c>
      <c r="C579" s="487"/>
      <c r="D579" s="1832" t="s">
        <v>2020</v>
      </c>
      <c r="E579" s="1832"/>
      <c r="F579" s="1832"/>
      <c r="I579" s="490"/>
    </row>
    <row r="580" spans="1:9" ht="14.25">
      <c r="A580" s="484"/>
      <c r="B580" s="484"/>
      <c r="C580" s="487"/>
      <c r="D580" s="1832"/>
      <c r="E580" s="1832"/>
      <c r="F580" s="1832"/>
      <c r="I580" s="490"/>
    </row>
    <row r="581" spans="1:9" ht="14.25">
      <c r="A581" s="484"/>
      <c r="B581" s="484"/>
      <c r="C581" s="487"/>
      <c r="D581" s="1832"/>
      <c r="E581" s="1832"/>
      <c r="F581" s="1832"/>
      <c r="I581" s="490"/>
    </row>
    <row r="582" spans="1:9" ht="14.25">
      <c r="A582" s="484"/>
      <c r="B582" s="484"/>
      <c r="C582" s="487"/>
      <c r="D582" s="1832"/>
      <c r="E582" s="1832"/>
      <c r="F582" s="1832"/>
      <c r="I582" s="490"/>
    </row>
    <row r="583" spans="1:9" ht="14.25">
      <c r="A583" s="484"/>
      <c r="B583" s="484"/>
      <c r="C583" s="487"/>
      <c r="D583" s="446"/>
      <c r="E583" s="446"/>
      <c r="F583" s="446"/>
      <c r="I583" s="490"/>
    </row>
    <row r="584" spans="1:9">
      <c r="A584" s="1833" t="s">
        <v>1054</v>
      </c>
      <c r="B584" s="1833"/>
      <c r="C584" s="1833"/>
      <c r="D584" s="1833"/>
      <c r="E584" s="1833"/>
      <c r="F584" s="1833"/>
      <c r="G584" s="1833"/>
      <c r="H584" s="1023"/>
      <c r="I584" s="1147"/>
    </row>
    <row r="585" spans="1:9">
      <c r="A585" s="487"/>
      <c r="B585" s="487"/>
      <c r="C585" s="487"/>
      <c r="E585" s="446"/>
      <c r="F585" s="446"/>
      <c r="I585" s="490"/>
    </row>
    <row r="586" spans="1:9" ht="12.75" customHeight="1">
      <c r="C586" s="482"/>
      <c r="D586" s="1852" t="s">
        <v>210</v>
      </c>
      <c r="E586" s="1852"/>
      <c r="F586" s="1852"/>
      <c r="I586" s="490"/>
    </row>
    <row r="587" spans="1:9">
      <c r="A587" s="483"/>
      <c r="B587" s="483"/>
      <c r="C587" s="483"/>
      <c r="D587" s="1848" t="s">
        <v>1067</v>
      </c>
      <c r="E587" s="1848"/>
      <c r="F587" s="1848"/>
      <c r="I587" s="490"/>
    </row>
    <row r="588" spans="1:9">
      <c r="A588" s="402"/>
      <c r="B588" s="402"/>
      <c r="C588" s="483"/>
      <c r="D588" s="499"/>
      <c r="I588" s="490"/>
    </row>
    <row r="589" spans="1:9">
      <c r="A589" s="483"/>
      <c r="B589" s="485" t="s">
        <v>2717</v>
      </c>
      <c r="D589" s="1848" t="s">
        <v>888</v>
      </c>
      <c r="E589" s="1848"/>
      <c r="F589" s="1848"/>
      <c r="I589" s="490"/>
    </row>
    <row r="590" spans="1:9">
      <c r="A590" s="490"/>
      <c r="B590" s="490"/>
      <c r="D590" s="476"/>
      <c r="I590" s="490"/>
    </row>
    <row r="591" spans="1:9">
      <c r="A591" s="490"/>
      <c r="B591" s="485" t="s">
        <v>2717</v>
      </c>
      <c r="D591" s="1848" t="s">
        <v>2021</v>
      </c>
      <c r="E591" s="1848"/>
      <c r="F591" s="1848"/>
      <c r="I591" s="490"/>
    </row>
    <row r="592" spans="1:9">
      <c r="A592" s="490"/>
      <c r="B592" s="490"/>
      <c r="D592" s="1848"/>
      <c r="E592" s="1848"/>
      <c r="F592" s="1848"/>
      <c r="I592" s="490"/>
    </row>
    <row r="593" spans="1:9">
      <c r="A593" s="490"/>
      <c r="B593" s="490"/>
      <c r="D593" s="1848"/>
      <c r="E593" s="1848"/>
      <c r="F593" s="1848"/>
      <c r="I593" s="490"/>
    </row>
    <row r="594" spans="1:9">
      <c r="A594" s="490"/>
      <c r="B594" s="490"/>
      <c r="D594" s="1848"/>
      <c r="E594" s="1848"/>
      <c r="F594" s="1848"/>
      <c r="I594" s="490"/>
    </row>
    <row r="595" spans="1:9">
      <c r="A595" s="490"/>
      <c r="B595" s="485" t="s">
        <v>2688</v>
      </c>
      <c r="D595" s="1848" t="s">
        <v>1068</v>
      </c>
      <c r="E595" s="1848"/>
      <c r="F595" s="1848"/>
      <c r="I595" s="490"/>
    </row>
    <row r="596" spans="1:9">
      <c r="A596" s="490"/>
      <c r="B596" s="490"/>
      <c r="D596" s="1848"/>
      <c r="E596" s="1848"/>
      <c r="F596" s="1848"/>
      <c r="I596" s="490"/>
    </row>
    <row r="597" spans="1:9">
      <c r="A597" s="490"/>
      <c r="B597" s="490"/>
      <c r="D597" s="1848"/>
      <c r="E597" s="1848"/>
      <c r="F597" s="1848"/>
      <c r="I597" s="490"/>
    </row>
    <row r="598" spans="1:9">
      <c r="A598" s="490"/>
      <c r="B598" s="490"/>
      <c r="D598" s="1848"/>
      <c r="E598" s="1848"/>
      <c r="F598" s="1848"/>
      <c r="I598" s="490"/>
    </row>
    <row r="599" spans="1:9">
      <c r="A599" s="490"/>
      <c r="B599" s="490"/>
      <c r="D599" s="440"/>
      <c r="E599" s="440"/>
      <c r="F599" s="440"/>
      <c r="I599" s="490"/>
    </row>
    <row r="600" spans="1:9">
      <c r="A600" s="490"/>
      <c r="B600" s="485" t="s">
        <v>2717</v>
      </c>
      <c r="D600" s="1848" t="s">
        <v>2022</v>
      </c>
      <c r="E600" s="1848"/>
      <c r="F600" s="1848"/>
      <c r="I600" s="490"/>
    </row>
    <row r="601" spans="1:9">
      <c r="A601" s="490"/>
      <c r="B601" s="490"/>
      <c r="D601" s="1848"/>
      <c r="E601" s="1848"/>
      <c r="F601" s="1848"/>
      <c r="I601" s="490"/>
    </row>
    <row r="602" spans="1:9">
      <c r="A602" s="490"/>
      <c r="B602" s="490"/>
      <c r="D602" s="499"/>
      <c r="I602" s="490"/>
    </row>
    <row r="603" spans="1:9">
      <c r="A603" s="490"/>
      <c r="B603" s="485" t="s">
        <v>2688</v>
      </c>
      <c r="D603" s="1848" t="s">
        <v>1069</v>
      </c>
      <c r="E603" s="1848"/>
      <c r="F603" s="1848"/>
      <c r="I603" s="490"/>
    </row>
    <row r="604" spans="1:9">
      <c r="A604" s="490"/>
      <c r="B604" s="490"/>
      <c r="D604" s="1848"/>
      <c r="E604" s="1848"/>
      <c r="F604" s="1848"/>
      <c r="I604" s="490"/>
    </row>
    <row r="605" spans="1:9" ht="14.25">
      <c r="A605" s="484"/>
      <c r="B605" s="484"/>
      <c r="D605" s="499"/>
      <c r="I605" s="490"/>
    </row>
    <row r="606" spans="1:9">
      <c r="A606" s="1833" t="s">
        <v>1055</v>
      </c>
      <c r="B606" s="1833"/>
      <c r="C606" s="1833"/>
      <c r="D606" s="1833"/>
      <c r="E606" s="1833"/>
      <c r="F606" s="1833"/>
      <c r="G606" s="1833"/>
      <c r="H606" s="1023"/>
      <c r="I606" s="1147"/>
    </row>
    <row r="607" spans="1:9">
      <c r="I607" s="490"/>
    </row>
    <row r="608" spans="1:9">
      <c r="D608" s="1835" t="s">
        <v>1107</v>
      </c>
      <c r="E608" s="1835"/>
      <c r="F608" s="1835"/>
      <c r="I608" s="490"/>
    </row>
    <row r="609" spans="1:9">
      <c r="D609" s="1816" t="s">
        <v>1108</v>
      </c>
      <c r="E609" s="1816"/>
      <c r="F609" s="1816"/>
      <c r="I609" s="490"/>
    </row>
    <row r="610" spans="1:9">
      <c r="D610" s="444"/>
      <c r="I610" s="490"/>
    </row>
    <row r="611" spans="1:9" ht="14.25" customHeight="1">
      <c r="A611" s="484"/>
      <c r="B611" s="485" t="s">
        <v>2717</v>
      </c>
      <c r="D611" s="1849" t="s">
        <v>1880</v>
      </c>
      <c r="E611" s="1849"/>
      <c r="F611" s="1849"/>
      <c r="I611" s="490"/>
    </row>
    <row r="612" spans="1:9">
      <c r="D612" s="1849"/>
      <c r="E612" s="1849"/>
      <c r="F612" s="1849"/>
      <c r="I612" s="490"/>
    </row>
    <row r="613" spans="1:9">
      <c r="D613" s="385"/>
      <c r="E613" s="1031" t="s">
        <v>1881</v>
      </c>
      <c r="F613" s="385"/>
      <c r="I613" s="490"/>
    </row>
    <row r="614" spans="1:9">
      <c r="I614" s="490"/>
    </row>
    <row r="615" spans="1:9">
      <c r="A615" s="1833" t="s">
        <v>1056</v>
      </c>
      <c r="B615" s="1833"/>
      <c r="C615" s="1833"/>
      <c r="D615" s="1833"/>
      <c r="E615" s="1833"/>
      <c r="F615" s="1833"/>
      <c r="G615" s="1833"/>
      <c r="H615" s="1023"/>
      <c r="I615" s="1147"/>
    </row>
    <row r="616" spans="1:9">
      <c r="A616" s="446"/>
      <c r="B616" s="446"/>
      <c r="I616" s="490"/>
    </row>
    <row r="617" spans="1:9">
      <c r="A617" s="482"/>
      <c r="B617" s="482"/>
      <c r="C617" s="482"/>
      <c r="D617" s="1844" t="s">
        <v>1109</v>
      </c>
      <c r="E617" s="1844"/>
      <c r="F617" s="1844"/>
      <c r="I617" s="490"/>
    </row>
    <row r="618" spans="1:9">
      <c r="A618" s="482"/>
      <c r="B618" s="482"/>
      <c r="C618" s="482"/>
      <c r="D618" s="1844"/>
      <c r="E618" s="1844"/>
      <c r="F618" s="1844"/>
      <c r="I618" s="490"/>
    </row>
    <row r="619" spans="1:9">
      <c r="C619" s="483"/>
      <c r="D619" s="1816" t="s">
        <v>1110</v>
      </c>
      <c r="E619" s="1816"/>
      <c r="F619" s="1816"/>
      <c r="I619" s="490"/>
    </row>
    <row r="620" spans="1:9">
      <c r="C620" s="483"/>
      <c r="D620" s="444"/>
      <c r="E620" s="444"/>
      <c r="F620" s="444"/>
      <c r="I620" s="490"/>
    </row>
    <row r="621" spans="1:9">
      <c r="B621" s="485" t="s">
        <v>2717</v>
      </c>
      <c r="C621" s="483"/>
      <c r="D621" s="1815" t="s">
        <v>2589</v>
      </c>
      <c r="E621" s="1815"/>
      <c r="F621" s="1815"/>
      <c r="I621" s="490"/>
    </row>
    <row r="622" spans="1:9">
      <c r="C622" s="483"/>
      <c r="D622" s="444"/>
      <c r="E622" s="444"/>
      <c r="F622" s="444"/>
      <c r="I622" s="490"/>
    </row>
    <row r="623" spans="1:9" ht="12.75" customHeight="1">
      <c r="A623" s="490"/>
      <c r="B623" s="485" t="s">
        <v>2717</v>
      </c>
      <c r="D623" s="1831" t="s">
        <v>1111</v>
      </c>
      <c r="E623" s="1831"/>
      <c r="F623" s="1831"/>
      <c r="I623" s="490"/>
    </row>
    <row r="624" spans="1:9">
      <c r="D624" s="1831"/>
      <c r="E624" s="1831"/>
      <c r="F624" s="1831"/>
      <c r="I624" s="490"/>
    </row>
    <row r="625" spans="1:9">
      <c r="I625" s="490"/>
    </row>
    <row r="626" spans="1:9">
      <c r="B626" s="485" t="s">
        <v>2717</v>
      </c>
      <c r="D626" s="1831" t="s">
        <v>1112</v>
      </c>
      <c r="E626" s="1831"/>
      <c r="F626" s="1831"/>
      <c r="I626" s="490"/>
    </row>
    <row r="627" spans="1:9">
      <c r="C627" s="500"/>
      <c r="D627" s="1831"/>
      <c r="E627" s="1831"/>
      <c r="F627" s="1831"/>
      <c r="I627" s="490"/>
    </row>
    <row r="628" spans="1:9">
      <c r="C628" s="500"/>
      <c r="I628" s="490"/>
    </row>
    <row r="629" spans="1:9">
      <c r="B629" s="485" t="s">
        <v>2688</v>
      </c>
      <c r="C629" s="500"/>
      <c r="D629" s="1831" t="s">
        <v>1113</v>
      </c>
      <c r="E629" s="1831"/>
      <c r="F629" s="1831"/>
      <c r="I629" s="490"/>
    </row>
    <row r="630" spans="1:9">
      <c r="C630" s="500"/>
      <c r="D630" s="1831"/>
      <c r="E630" s="1831"/>
      <c r="F630" s="1831"/>
      <c r="I630" s="500"/>
    </row>
    <row r="631" spans="1:9">
      <c r="C631" s="500"/>
      <c r="I631" s="490"/>
    </row>
    <row r="632" spans="1:9">
      <c r="B632" s="485" t="s">
        <v>2769</v>
      </c>
      <c r="C632" s="500"/>
      <c r="D632" s="1815" t="s">
        <v>2538</v>
      </c>
      <c r="E632" s="1815"/>
      <c r="F632" s="1815"/>
      <c r="I632" s="490"/>
    </row>
    <row r="633" spans="1:9">
      <c r="C633" s="500"/>
      <c r="I633" s="490"/>
    </row>
    <row r="634" spans="1:9">
      <c r="A634" s="1833" t="s">
        <v>1057</v>
      </c>
      <c r="B634" s="1833"/>
      <c r="C634" s="1833"/>
      <c r="D634" s="1833"/>
      <c r="E634" s="1833"/>
      <c r="F634" s="1833"/>
      <c r="G634" s="1833"/>
      <c r="H634" s="1023"/>
      <c r="I634" s="1147"/>
    </row>
    <row r="635" spans="1:9">
      <c r="A635" s="482"/>
      <c r="B635" s="482"/>
      <c r="C635" s="482"/>
      <c r="I635" s="490"/>
    </row>
    <row r="636" spans="1:9">
      <c r="C636" s="490"/>
      <c r="D636" s="1835" t="s">
        <v>1114</v>
      </c>
      <c r="E636" s="1835"/>
      <c r="F636" s="1835"/>
      <c r="I636" s="490"/>
    </row>
    <row r="637" spans="1:9">
      <c r="A637" s="490"/>
      <c r="B637" s="490"/>
      <c r="D637" s="404"/>
      <c r="I637" s="490"/>
    </row>
    <row r="638" spans="1:9" ht="14.25" customHeight="1">
      <c r="A638" s="484"/>
      <c r="B638" s="485" t="s">
        <v>2717</v>
      </c>
      <c r="D638" s="1849" t="s">
        <v>2023</v>
      </c>
      <c r="E638" s="1849"/>
      <c r="F638" s="1849"/>
      <c r="I638" s="490"/>
    </row>
    <row r="639" spans="1:9">
      <c r="D639" s="1849"/>
      <c r="E639" s="1849"/>
      <c r="F639" s="1849"/>
      <c r="I639" s="490"/>
    </row>
    <row r="640" spans="1:9">
      <c r="D640" s="385"/>
      <c r="E640" s="1031" t="s">
        <v>1883</v>
      </c>
      <c r="F640" s="385"/>
      <c r="I640" s="490"/>
    </row>
    <row r="641" spans="1:9">
      <c r="D641" s="1832" t="s">
        <v>1882</v>
      </c>
      <c r="E641" s="1832"/>
      <c r="F641" s="1832"/>
      <c r="I641" s="490"/>
    </row>
    <row r="642" spans="1:9">
      <c r="D642" s="1832"/>
      <c r="E642" s="1832"/>
      <c r="F642" s="1832"/>
      <c r="I642" s="490"/>
    </row>
    <row r="643" spans="1:9">
      <c r="D643" s="1832"/>
      <c r="E643" s="1832"/>
      <c r="F643" s="1832"/>
      <c r="I643" s="490"/>
    </row>
    <row r="644" spans="1:9">
      <c r="D644" s="445"/>
      <c r="E644" s="445"/>
      <c r="F644" s="445"/>
      <c r="I644" s="490"/>
    </row>
    <row r="645" spans="1:9" ht="14.25">
      <c r="A645" s="484"/>
      <c r="B645" s="485" t="s">
        <v>2688</v>
      </c>
      <c r="D645" s="1832" t="s">
        <v>1115</v>
      </c>
      <c r="E645" s="1832"/>
      <c r="F645" s="1832"/>
      <c r="I645" s="490"/>
    </row>
    <row r="646" spans="1:9">
      <c r="A646" s="487"/>
      <c r="B646" s="487"/>
      <c r="C646" s="487"/>
      <c r="D646" s="1832"/>
      <c r="E646" s="1832"/>
      <c r="F646" s="1832"/>
      <c r="I646" s="490"/>
    </row>
    <row r="647" spans="1:9">
      <c r="A647" s="487"/>
      <c r="B647" s="487"/>
      <c r="C647" s="487"/>
      <c r="D647" s="446"/>
      <c r="E647" s="446"/>
      <c r="F647" s="446"/>
      <c r="I647" s="490"/>
    </row>
    <row r="648" spans="1:9" ht="14.25">
      <c r="A648" s="484"/>
      <c r="B648" s="485" t="s">
        <v>2688</v>
      </c>
      <c r="C648" s="487"/>
      <c r="D648" s="1832" t="s">
        <v>1225</v>
      </c>
      <c r="E648" s="1832"/>
      <c r="F648" s="1832"/>
      <c r="I648" s="490"/>
    </row>
    <row r="649" spans="1:9" ht="14.25">
      <c r="A649" s="484"/>
      <c r="B649" s="484"/>
      <c r="C649" s="487"/>
      <c r="D649" s="1832"/>
      <c r="E649" s="1832"/>
      <c r="F649" s="1832"/>
      <c r="I649" s="490"/>
    </row>
    <row r="650" spans="1:9" ht="14.25">
      <c r="A650" s="484"/>
      <c r="B650" s="484"/>
      <c r="C650" s="487"/>
      <c r="D650" s="1832"/>
      <c r="E650" s="1832"/>
      <c r="F650" s="1832"/>
      <c r="I650" s="490"/>
    </row>
    <row r="651" spans="1:9">
      <c r="A651" s="487"/>
      <c r="B651" s="485" t="s">
        <v>2688</v>
      </c>
      <c r="C651" s="487"/>
      <c r="D651" s="1834" t="s">
        <v>1116</v>
      </c>
      <c r="E651" s="1834"/>
      <c r="F651" s="1834"/>
      <c r="I651" s="490"/>
    </row>
    <row r="652" spans="1:9">
      <c r="A652" s="487"/>
      <c r="B652" s="487"/>
      <c r="C652" s="487"/>
      <c r="D652" s="446"/>
      <c r="E652" s="446"/>
      <c r="F652" s="446"/>
      <c r="I652" s="490"/>
    </row>
    <row r="653" spans="1:9">
      <c r="A653" s="1833" t="s">
        <v>1058</v>
      </c>
      <c r="B653" s="1833"/>
      <c r="C653" s="1833"/>
      <c r="D653" s="1833"/>
      <c r="E653" s="1833"/>
      <c r="F653" s="1833"/>
      <c r="G653" s="1833"/>
      <c r="H653" s="1023"/>
      <c r="I653" s="1147"/>
    </row>
    <row r="654" spans="1:9">
      <c r="A654" s="446"/>
      <c r="B654" s="446"/>
      <c r="C654" s="487"/>
      <c r="D654" s="446"/>
      <c r="E654" s="446"/>
      <c r="F654" s="446"/>
      <c r="I654" s="490"/>
    </row>
    <row r="655" spans="1:9">
      <c r="C655" s="482"/>
      <c r="D655" s="1835" t="s">
        <v>1146</v>
      </c>
      <c r="E655" s="1835"/>
      <c r="F655" s="1835"/>
      <c r="I655" s="490"/>
    </row>
    <row r="656" spans="1:9">
      <c r="A656" s="483"/>
      <c r="B656" s="483"/>
      <c r="C656" s="483"/>
      <c r="D656" s="1834" t="s">
        <v>1147</v>
      </c>
      <c r="E656" s="1834"/>
      <c r="F656" s="1834"/>
      <c r="I656" s="490"/>
    </row>
    <row r="657" spans="1:9">
      <c r="A657" s="483"/>
      <c r="B657" s="483"/>
      <c r="C657" s="483"/>
      <c r="D657" s="446"/>
      <c r="E657" s="446"/>
      <c r="F657" s="446"/>
      <c r="I657" s="490"/>
    </row>
    <row r="658" spans="1:9" ht="12.75" customHeight="1">
      <c r="B658" s="485" t="s">
        <v>2688</v>
      </c>
      <c r="C658" s="487"/>
      <c r="D658" s="1832" t="s">
        <v>1281</v>
      </c>
      <c r="E658" s="1832"/>
      <c r="F658" s="1832"/>
      <c r="I658" s="490"/>
    </row>
    <row r="659" spans="1:9">
      <c r="D659" s="1832"/>
      <c r="E659" s="1832"/>
      <c r="F659" s="1832"/>
      <c r="I659" s="490"/>
    </row>
    <row r="660" spans="1:9">
      <c r="D660" s="1832"/>
      <c r="E660" s="1832"/>
      <c r="F660" s="1832"/>
      <c r="I660" s="490"/>
    </row>
    <row r="661" spans="1:9">
      <c r="D661" s="1832"/>
      <c r="E661" s="1832"/>
      <c r="F661" s="1832"/>
      <c r="I661" s="490"/>
    </row>
    <row r="662" spans="1:9" ht="14.45" customHeight="1">
      <c r="A662" s="484"/>
      <c r="B662" s="484"/>
      <c r="C662" s="487"/>
      <c r="D662" s="385"/>
      <c r="E662" s="385"/>
      <c r="F662" s="385"/>
      <c r="I662" s="490"/>
    </row>
    <row r="663" spans="1:9" ht="12.75" customHeight="1">
      <c r="A663" s="483"/>
      <c r="B663" s="485" t="s">
        <v>2688</v>
      </c>
      <c r="C663" s="487"/>
      <c r="D663" s="1832" t="s">
        <v>1283</v>
      </c>
      <c r="E663" s="1832"/>
      <c r="F663" s="1832"/>
      <c r="I663" s="490"/>
    </row>
    <row r="664" spans="1:9" ht="14.25">
      <c r="A664" s="483"/>
      <c r="B664" s="484"/>
      <c r="C664" s="487"/>
      <c r="D664" s="1832"/>
      <c r="E664" s="1832"/>
      <c r="F664" s="1832"/>
      <c r="I664" s="490"/>
    </row>
    <row r="665" spans="1:9" ht="14.25">
      <c r="A665" s="483"/>
      <c r="B665" s="484"/>
      <c r="C665" s="487"/>
      <c r="D665" s="1832"/>
      <c r="E665" s="1832"/>
      <c r="F665" s="1832"/>
      <c r="I665" s="490"/>
    </row>
    <row r="666" spans="1:9" ht="14.25">
      <c r="A666" s="483"/>
      <c r="B666" s="484"/>
      <c r="C666" s="487"/>
      <c r="D666" s="1832"/>
      <c r="E666" s="1832"/>
      <c r="F666" s="1832"/>
      <c r="I666" s="490"/>
    </row>
    <row r="667" spans="1:9" ht="14.25">
      <c r="A667" s="483"/>
      <c r="B667" s="484"/>
      <c r="C667" s="487"/>
      <c r="D667" s="1832"/>
      <c r="E667" s="1832"/>
      <c r="F667" s="1832"/>
      <c r="I667" s="490"/>
    </row>
    <row r="668" spans="1:9" ht="14.25" customHeight="1">
      <c r="A668" s="483"/>
      <c r="B668" s="484"/>
      <c r="C668" s="487"/>
      <c r="F668" s="386"/>
      <c r="I668" s="490"/>
    </row>
    <row r="669" spans="1:9" ht="12.75" customHeight="1">
      <c r="A669" s="483"/>
      <c r="B669" s="485" t="s">
        <v>2688</v>
      </c>
      <c r="C669" s="487"/>
      <c r="D669" s="1832" t="s">
        <v>1282</v>
      </c>
      <c r="E669" s="1832"/>
      <c r="F669" s="1832"/>
      <c r="I669" s="490"/>
    </row>
    <row r="670" spans="1:9" ht="14.25">
      <c r="A670" s="483"/>
      <c r="B670" s="484"/>
      <c r="C670" s="487"/>
      <c r="D670" s="1832"/>
      <c r="E670" s="1832"/>
      <c r="F670" s="1832"/>
      <c r="I670" s="490"/>
    </row>
    <row r="671" spans="1:9" ht="14.25">
      <c r="A671" s="484"/>
      <c r="B671" s="484"/>
      <c r="C671" s="487"/>
      <c r="D671" s="1832"/>
      <c r="E671" s="1832"/>
      <c r="F671" s="1832"/>
      <c r="I671" s="490"/>
    </row>
    <row r="672" spans="1:9" ht="14.25">
      <c r="A672" s="484"/>
      <c r="B672" s="484"/>
      <c r="C672" s="487"/>
      <c r="D672" s="1832"/>
      <c r="E672" s="1832"/>
      <c r="F672" s="1832"/>
      <c r="I672" s="490"/>
    </row>
    <row r="673" spans="1:11" ht="14.25">
      <c r="A673" s="484"/>
      <c r="B673" s="484"/>
      <c r="C673" s="487"/>
      <c r="D673" s="445"/>
      <c r="E673" s="445"/>
      <c r="F673" s="445"/>
      <c r="I673" s="490"/>
    </row>
    <row r="674" spans="1:11" ht="12.75" customHeight="1">
      <c r="A674" s="483"/>
      <c r="B674" s="485" t="s">
        <v>2688</v>
      </c>
      <c r="C674" s="487"/>
      <c r="D674" s="1832" t="s">
        <v>2024</v>
      </c>
      <c r="E674" s="1832"/>
      <c r="F674" s="1832"/>
      <c r="I674" s="490"/>
    </row>
    <row r="675" spans="1:11" ht="12.75" customHeight="1">
      <c r="A675" s="483"/>
      <c r="B675" s="484"/>
      <c r="C675" s="487"/>
      <c r="D675" s="1832"/>
      <c r="E675" s="1832"/>
      <c r="F675" s="1832"/>
      <c r="I675" s="490"/>
    </row>
    <row r="676" spans="1:11" ht="12.75" customHeight="1">
      <c r="A676" s="483"/>
      <c r="B676" s="484"/>
      <c r="C676" s="487"/>
      <c r="D676" s="1832"/>
      <c r="E676" s="1832"/>
      <c r="F676" s="1832"/>
      <c r="I676" s="490"/>
    </row>
    <row r="677" spans="1:11" ht="12.75" customHeight="1">
      <c r="A677" s="483"/>
      <c r="B677" s="484"/>
      <c r="C677" s="487"/>
      <c r="D677" s="1832"/>
      <c r="E677" s="1832"/>
      <c r="F677" s="1832"/>
      <c r="I677" s="490"/>
    </row>
    <row r="678" spans="1:11" ht="12.75" customHeight="1">
      <c r="A678" s="483"/>
      <c r="B678" s="484"/>
      <c r="C678" s="487"/>
      <c r="D678" s="1832"/>
      <c r="E678" s="1832"/>
      <c r="F678" s="1832"/>
      <c r="I678" s="490"/>
    </row>
    <row r="679" spans="1:11" ht="12.75" customHeight="1">
      <c r="A679" s="483"/>
      <c r="B679" s="484"/>
      <c r="C679" s="487"/>
      <c r="D679" s="1832"/>
      <c r="E679" s="1832"/>
      <c r="F679" s="1832"/>
      <c r="I679" s="490"/>
    </row>
    <row r="680" spans="1:11" ht="12.75" customHeight="1">
      <c r="A680" s="483"/>
      <c r="B680" s="484"/>
      <c r="C680" s="487"/>
      <c r="D680" s="1832"/>
      <c r="E680" s="1832"/>
      <c r="F680" s="1832"/>
      <c r="I680" s="490"/>
    </row>
    <row r="681" spans="1:11" ht="12.75" customHeight="1">
      <c r="A681" s="483"/>
      <c r="B681" s="484"/>
      <c r="C681" s="487"/>
      <c r="D681" s="1832"/>
      <c r="E681" s="1832"/>
      <c r="F681" s="1832"/>
      <c r="I681" s="490"/>
    </row>
    <row r="682" spans="1:11" ht="12.75" customHeight="1">
      <c r="A682" s="483"/>
      <c r="B682" s="484"/>
      <c r="C682" s="487"/>
      <c r="D682" s="1832"/>
      <c r="E682" s="1832"/>
      <c r="F682" s="1832"/>
      <c r="I682" s="490"/>
    </row>
    <row r="683" spans="1:11">
      <c r="A683" s="487"/>
      <c r="B683" s="487"/>
      <c r="C683" s="487"/>
      <c r="D683" s="446"/>
      <c r="E683" s="446"/>
      <c r="F683" s="446"/>
      <c r="I683" s="490"/>
    </row>
    <row r="684" spans="1:11">
      <c r="A684" s="1833" t="s">
        <v>1059</v>
      </c>
      <c r="B684" s="1833"/>
      <c r="C684" s="1833"/>
      <c r="D684" s="1833"/>
      <c r="E684" s="1833"/>
      <c r="F684" s="1833"/>
      <c r="G684" s="1833"/>
      <c r="H684" s="1025"/>
      <c r="I684" s="1151"/>
      <c r="J684" s="501"/>
      <c r="K684" s="501"/>
    </row>
    <row r="685" spans="1:11">
      <c r="A685" s="448"/>
      <c r="B685" s="448"/>
      <c r="C685" s="448"/>
      <c r="D685" s="448"/>
      <c r="E685" s="448"/>
      <c r="F685" s="448"/>
      <c r="G685" s="448"/>
      <c r="H685" s="501"/>
      <c r="I685" s="483"/>
      <c r="J685" s="501"/>
      <c r="K685" s="501"/>
    </row>
    <row r="686" spans="1:11">
      <c r="C686" s="482"/>
      <c r="D686" s="1835" t="s">
        <v>99</v>
      </c>
      <c r="E686" s="1835"/>
      <c r="F686" s="1835"/>
      <c r="H686" s="501"/>
      <c r="I686" s="483"/>
      <c r="J686" s="501"/>
      <c r="K686" s="501"/>
    </row>
    <row r="687" spans="1:11">
      <c r="A687" s="482"/>
      <c r="B687" s="482"/>
      <c r="C687" s="482"/>
      <c r="D687" s="1835" t="s">
        <v>123</v>
      </c>
      <c r="E687" s="1835"/>
      <c r="F687" s="1835"/>
      <c r="H687" s="501"/>
      <c r="I687" s="483"/>
      <c r="J687" s="501"/>
      <c r="K687" s="501"/>
    </row>
    <row r="688" spans="1:11">
      <c r="A688" s="483"/>
      <c r="B688" s="483"/>
      <c r="C688" s="483"/>
      <c r="D688" s="1834" t="s">
        <v>1076</v>
      </c>
      <c r="E688" s="1834"/>
      <c r="F688" s="1834"/>
      <c r="H688" s="501"/>
      <c r="I688" s="483"/>
      <c r="J688" s="501"/>
      <c r="K688" s="501"/>
    </row>
    <row r="689" spans="1:11">
      <c r="A689" s="483"/>
      <c r="B689" s="483"/>
      <c r="C689" s="483"/>
      <c r="H689" s="501"/>
      <c r="I689" s="483"/>
      <c r="J689" s="501"/>
      <c r="K689" s="501"/>
    </row>
    <row r="690" spans="1:11" ht="14.25">
      <c r="A690" s="484"/>
      <c r="B690" s="485" t="s">
        <v>2688</v>
      </c>
      <c r="C690" s="483"/>
      <c r="D690" s="1834" t="s">
        <v>885</v>
      </c>
      <c r="E690" s="1834"/>
      <c r="F690" s="1834"/>
      <c r="H690" s="501"/>
      <c r="I690" s="483"/>
      <c r="J690" s="501"/>
      <c r="K690" s="501"/>
    </row>
    <row r="691" spans="1:11">
      <c r="A691" s="483"/>
      <c r="B691" s="483"/>
      <c r="C691" s="483"/>
      <c r="D691" s="1834" t="s">
        <v>894</v>
      </c>
      <c r="E691" s="1834"/>
      <c r="F691" s="1834"/>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2688</v>
      </c>
      <c r="C695" s="483"/>
      <c r="D695" s="1832" t="s">
        <v>2025</v>
      </c>
      <c r="E695" s="1832"/>
      <c r="F695" s="1832"/>
      <c r="H695" s="501"/>
      <c r="I695" s="483"/>
      <c r="J695" s="501"/>
      <c r="K695" s="501"/>
    </row>
    <row r="696" spans="1:11">
      <c r="A696" s="490"/>
      <c r="B696" s="490"/>
      <c r="C696" s="483"/>
      <c r="D696" s="1832"/>
      <c r="E696" s="1832"/>
      <c r="F696" s="1832"/>
      <c r="H696" s="501"/>
      <c r="I696" s="483"/>
      <c r="J696" s="501"/>
      <c r="K696" s="501"/>
    </row>
    <row r="697" spans="1:11">
      <c r="A697" s="483"/>
      <c r="B697" s="483"/>
      <c r="C697" s="483"/>
      <c r="D697" s="1832"/>
      <c r="E697" s="1832"/>
      <c r="F697" s="1832"/>
      <c r="H697" s="501"/>
      <c r="I697" s="483"/>
      <c r="J697" s="501"/>
      <c r="K697" s="501"/>
    </row>
    <row r="698" spans="1:11">
      <c r="A698" s="483"/>
      <c r="B698" s="483"/>
      <c r="C698" s="483"/>
      <c r="H698" s="501"/>
      <c r="J698" s="501"/>
      <c r="K698" s="501"/>
    </row>
    <row r="699" spans="1:11" ht="14.25">
      <c r="A699" s="484"/>
      <c r="B699" s="485" t="s">
        <v>2717</v>
      </c>
      <c r="C699" s="483"/>
      <c r="D699" s="1834" t="s">
        <v>917</v>
      </c>
      <c r="E699" s="1834"/>
      <c r="F699" s="1834"/>
      <c r="H699" s="501"/>
      <c r="I699" s="483"/>
      <c r="J699" s="501"/>
      <c r="K699" s="501"/>
    </row>
    <row r="700" spans="1:11" ht="14.25">
      <c r="A700" s="484"/>
      <c r="B700" s="484"/>
      <c r="C700" s="483"/>
      <c r="D700" s="1834" t="s">
        <v>894</v>
      </c>
      <c r="E700" s="1834"/>
      <c r="F700" s="1834"/>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2688</v>
      </c>
      <c r="C703" s="483"/>
      <c r="D703" s="1834" t="s">
        <v>2389</v>
      </c>
      <c r="E703" s="1834"/>
      <c r="F703" s="1834"/>
      <c r="H703" s="501"/>
      <c r="I703" s="483"/>
      <c r="J703" s="501"/>
      <c r="K703" s="501"/>
    </row>
    <row r="704" spans="1:11" ht="14.25">
      <c r="A704" s="484"/>
      <c r="B704" s="484"/>
      <c r="C704" s="483"/>
      <c r="D704" s="1834" t="s">
        <v>894</v>
      </c>
      <c r="E704" s="1834"/>
      <c r="F704" s="1834"/>
      <c r="H704" s="501"/>
      <c r="I704" s="483"/>
      <c r="J704" s="501"/>
      <c r="K704" s="501"/>
    </row>
    <row r="705" spans="1:11">
      <c r="A705" s="483"/>
      <c r="B705" s="483"/>
      <c r="C705" s="483"/>
      <c r="E705" s="1031" t="s">
        <v>2390</v>
      </c>
      <c r="F705" s="404"/>
      <c r="H705" s="501"/>
      <c r="I705" s="483"/>
      <c r="J705" s="501"/>
      <c r="K705" s="501"/>
    </row>
    <row r="706" spans="1:11">
      <c r="A706" s="483"/>
      <c r="B706" s="483"/>
      <c r="C706" s="483"/>
      <c r="D706" s="404"/>
      <c r="H706" s="501"/>
      <c r="I706" s="483"/>
      <c r="J706" s="501"/>
      <c r="K706" s="501"/>
    </row>
    <row r="707" spans="1:11" ht="14.25">
      <c r="A707" s="484"/>
      <c r="B707" s="485" t="s">
        <v>2688</v>
      </c>
      <c r="C707" s="483"/>
      <c r="D707" s="1832" t="s">
        <v>2196</v>
      </c>
      <c r="E707" s="1832"/>
      <c r="F707" s="1832"/>
      <c r="H707" s="501"/>
      <c r="I707" s="483"/>
      <c r="J707" s="501"/>
      <c r="K707" s="501"/>
    </row>
    <row r="708" spans="1:11">
      <c r="A708" s="483"/>
      <c r="B708" s="483"/>
      <c r="C708" s="483"/>
      <c r="D708" s="1832"/>
      <c r="E708" s="1832"/>
      <c r="F708" s="1832"/>
      <c r="H708" s="501"/>
      <c r="I708" s="483"/>
      <c r="J708" s="501"/>
      <c r="K708" s="501"/>
    </row>
    <row r="709" spans="1:11">
      <c r="A709" s="483"/>
      <c r="B709" s="483"/>
      <c r="C709" s="483"/>
      <c r="D709" s="1832"/>
      <c r="E709" s="1832"/>
      <c r="F709" s="1832"/>
      <c r="H709" s="501"/>
      <c r="I709" s="483"/>
      <c r="J709" s="501"/>
      <c r="K709" s="501"/>
    </row>
    <row r="710" spans="1:11">
      <c r="A710" s="483"/>
      <c r="B710" s="483"/>
      <c r="C710" s="483"/>
      <c r="D710" s="1832"/>
      <c r="E710" s="1832"/>
      <c r="F710" s="1832"/>
      <c r="H710" s="501"/>
      <c r="I710" s="483"/>
      <c r="J710" s="501"/>
      <c r="K710" s="501"/>
    </row>
    <row r="711" spans="1:11">
      <c r="A711" s="483"/>
      <c r="B711" s="483"/>
      <c r="C711" s="483"/>
      <c r="D711" s="1832"/>
      <c r="E711" s="1832"/>
      <c r="F711" s="1832"/>
      <c r="H711" s="501"/>
      <c r="I711" s="483"/>
      <c r="J711" s="501"/>
      <c r="K711" s="501"/>
    </row>
    <row r="712" spans="1:11">
      <c r="A712" s="483"/>
      <c r="B712" s="483"/>
      <c r="C712" s="483"/>
      <c r="D712" s="1832"/>
      <c r="E712" s="1832"/>
      <c r="F712" s="1832"/>
      <c r="H712" s="501"/>
      <c r="I712" s="483"/>
      <c r="J712" s="501"/>
      <c r="K712" s="501"/>
    </row>
    <row r="713" spans="1:11">
      <c r="A713" s="483"/>
      <c r="B713" s="483"/>
      <c r="C713" s="483"/>
      <c r="D713" s="445"/>
      <c r="E713" s="445"/>
      <c r="F713" s="445"/>
      <c r="H713" s="501"/>
      <c r="I713" s="483"/>
      <c r="J713" s="501"/>
      <c r="K713" s="501"/>
    </row>
    <row r="714" spans="1:11">
      <c r="A714" s="483"/>
      <c r="B714" s="485" t="s">
        <v>2688</v>
      </c>
      <c r="C714" s="483"/>
      <c r="D714" s="1832" t="s">
        <v>1201</v>
      </c>
      <c r="E714" s="1832"/>
      <c r="F714" s="1832"/>
      <c r="H714" s="501"/>
      <c r="I714" s="483"/>
      <c r="J714" s="501"/>
      <c r="K714" s="501"/>
    </row>
    <row r="715" spans="1:11">
      <c r="A715" s="483"/>
      <c r="B715" s="483"/>
      <c r="C715" s="483"/>
      <c r="D715" s="1832"/>
      <c r="E715" s="1832"/>
      <c r="F715" s="1832"/>
      <c r="H715" s="501"/>
      <c r="I715" s="483"/>
      <c r="J715" s="501"/>
      <c r="K715" s="501"/>
    </row>
    <row r="716" spans="1:11">
      <c r="A716" s="483"/>
      <c r="B716" s="483"/>
      <c r="C716" s="483"/>
      <c r="D716" s="445"/>
      <c r="E716" s="445"/>
      <c r="F716" s="445"/>
      <c r="H716" s="501"/>
      <c r="I716" s="483"/>
      <c r="J716" s="501"/>
      <c r="K716" s="501"/>
    </row>
    <row r="717" spans="1:11" ht="14.25">
      <c r="A717" s="484"/>
      <c r="B717" s="485" t="s">
        <v>2688</v>
      </c>
      <c r="C717" s="483"/>
      <c r="D717" s="1832" t="s">
        <v>1077</v>
      </c>
      <c r="E717" s="1832"/>
      <c r="F717" s="1832"/>
      <c r="H717" s="501"/>
      <c r="I717" s="483"/>
      <c r="J717" s="501"/>
      <c r="K717" s="501"/>
    </row>
    <row r="718" spans="1:11">
      <c r="A718" s="483"/>
      <c r="B718" s="483"/>
      <c r="C718" s="483"/>
      <c r="D718" s="1832"/>
      <c r="E718" s="1832"/>
      <c r="F718" s="1832"/>
      <c r="H718" s="501"/>
      <c r="I718" s="483"/>
      <c r="J718" s="501"/>
      <c r="K718" s="501"/>
    </row>
    <row r="719" spans="1:11">
      <c r="A719" s="483"/>
      <c r="B719" s="483"/>
      <c r="C719" s="483"/>
      <c r="D719" s="1832"/>
      <c r="E719" s="1832"/>
      <c r="F719" s="1832"/>
      <c r="H719" s="501"/>
      <c r="I719" s="483"/>
      <c r="J719" s="501"/>
      <c r="K719" s="501"/>
    </row>
    <row r="720" spans="1:11" ht="15" customHeight="1">
      <c r="A720" s="483"/>
      <c r="B720" s="483"/>
      <c r="C720" s="483"/>
      <c r="D720" s="1832"/>
      <c r="E720" s="1832"/>
      <c r="F720" s="1832"/>
      <c r="H720" s="501"/>
      <c r="I720" s="483"/>
      <c r="J720" s="501"/>
      <c r="K720" s="501"/>
    </row>
    <row r="721" spans="1:11" ht="15" customHeight="1">
      <c r="A721" s="483"/>
      <c r="B721" s="483"/>
      <c r="C721" s="483"/>
      <c r="D721" s="1832"/>
      <c r="E721" s="1832"/>
      <c r="F721" s="1832"/>
      <c r="H721" s="501"/>
      <c r="I721" s="483"/>
      <c r="J721" s="501"/>
      <c r="K721" s="501"/>
    </row>
    <row r="722" spans="1:11">
      <c r="A722" s="483"/>
      <c r="B722" s="483"/>
      <c r="C722" s="483"/>
      <c r="D722" s="1832"/>
      <c r="E722" s="1832"/>
      <c r="F722" s="1832"/>
      <c r="H722" s="501"/>
      <c r="I722" s="483"/>
      <c r="J722" s="501"/>
      <c r="K722" s="501"/>
    </row>
    <row r="723" spans="1:11">
      <c r="A723" s="483"/>
      <c r="B723" s="483"/>
      <c r="C723" s="483"/>
      <c r="D723" s="1832"/>
      <c r="E723" s="1832"/>
      <c r="F723" s="1832"/>
      <c r="H723" s="501"/>
      <c r="I723" s="483"/>
      <c r="J723" s="501"/>
      <c r="K723" s="501"/>
    </row>
    <row r="724" spans="1:11">
      <c r="A724" s="483"/>
      <c r="B724" s="483"/>
      <c r="C724" s="483"/>
      <c r="D724" s="1832"/>
      <c r="E724" s="1832"/>
      <c r="F724" s="1832"/>
      <c r="H724" s="501"/>
      <c r="I724" s="483"/>
      <c r="J724" s="501"/>
      <c r="K724" s="501"/>
    </row>
    <row r="725" spans="1:11" ht="15" customHeight="1">
      <c r="A725" s="483"/>
      <c r="B725" s="483"/>
      <c r="C725" s="483"/>
      <c r="D725" s="1832"/>
      <c r="E725" s="1832"/>
      <c r="F725" s="1832"/>
      <c r="H725" s="501"/>
      <c r="I725" s="483"/>
      <c r="J725" s="501"/>
      <c r="K725" s="501"/>
    </row>
    <row r="726" spans="1:11">
      <c r="A726" s="483"/>
      <c r="B726" s="483"/>
      <c r="C726" s="483"/>
      <c r="D726" s="1832"/>
      <c r="E726" s="1832"/>
      <c r="F726" s="1832"/>
      <c r="H726" s="501"/>
      <c r="I726" s="483"/>
      <c r="J726" s="501"/>
      <c r="K726" s="501"/>
    </row>
    <row r="727" spans="1:11">
      <c r="A727" s="483"/>
      <c r="B727" s="483"/>
      <c r="C727" s="483"/>
      <c r="D727" s="1832"/>
      <c r="E727" s="1832"/>
      <c r="F727" s="1832"/>
      <c r="H727" s="501"/>
      <c r="I727" s="483"/>
      <c r="J727" s="501"/>
      <c r="K727" s="501"/>
    </row>
    <row r="728" spans="1:11">
      <c r="A728" s="483"/>
      <c r="B728" s="483"/>
      <c r="C728" s="483"/>
      <c r="D728" s="1832"/>
      <c r="E728" s="1832"/>
      <c r="F728" s="1832"/>
      <c r="H728" s="501"/>
      <c r="I728" s="483"/>
      <c r="J728" s="501"/>
      <c r="K728" s="501"/>
    </row>
    <row r="729" spans="1:11">
      <c r="A729" s="483"/>
      <c r="B729" s="483"/>
      <c r="C729" s="483"/>
      <c r="D729" s="1832"/>
      <c r="E729" s="1832"/>
      <c r="F729" s="1832"/>
      <c r="H729" s="501"/>
      <c r="I729" s="483"/>
      <c r="J729" s="501"/>
      <c r="K729" s="501"/>
    </row>
    <row r="730" spans="1:11">
      <c r="A730" s="483"/>
      <c r="B730" s="485" t="s">
        <v>2688</v>
      </c>
      <c r="C730" s="483"/>
      <c r="D730" s="1832" t="s">
        <v>2382</v>
      </c>
      <c r="E730" s="1832"/>
      <c r="F730" s="1832"/>
      <c r="H730" s="501"/>
      <c r="I730" s="483"/>
      <c r="J730" s="501"/>
      <c r="K730" s="501"/>
    </row>
    <row r="731" spans="1:11">
      <c r="A731" s="483"/>
      <c r="B731" s="483"/>
      <c r="C731" s="483"/>
      <c r="D731" s="1832"/>
      <c r="E731" s="1832"/>
      <c r="F731" s="1832"/>
      <c r="H731" s="501"/>
      <c r="I731" s="483"/>
      <c r="J731" s="501"/>
      <c r="K731" s="501"/>
    </row>
    <row r="732" spans="1:11">
      <c r="A732" s="483"/>
      <c r="B732" s="483"/>
      <c r="C732" s="483"/>
      <c r="D732" s="1832"/>
      <c r="E732" s="1832"/>
      <c r="F732" s="1832"/>
      <c r="H732" s="501"/>
      <c r="I732" s="483"/>
      <c r="J732" s="501"/>
      <c r="K732" s="501"/>
    </row>
    <row r="733" spans="1:11">
      <c r="A733" s="483"/>
      <c r="B733" s="483"/>
      <c r="C733" s="483"/>
      <c r="D733" s="445"/>
      <c r="E733" s="445"/>
      <c r="F733" s="445"/>
      <c r="H733" s="501"/>
      <c r="I733" s="483"/>
      <c r="J733" s="501"/>
      <c r="K733" s="501"/>
    </row>
    <row r="734" spans="1:11">
      <c r="A734" s="483"/>
      <c r="B734" s="485" t="s">
        <v>2688</v>
      </c>
      <c r="C734" s="483"/>
      <c r="D734" s="1832" t="s">
        <v>2381</v>
      </c>
      <c r="E734" s="1832"/>
      <c r="F734" s="1832"/>
      <c r="H734" s="501"/>
      <c r="I734" s="483"/>
      <c r="J734" s="501"/>
      <c r="K734" s="501"/>
    </row>
    <row r="735" spans="1:11">
      <c r="A735" s="483"/>
      <c r="B735" s="483"/>
      <c r="C735" s="483"/>
      <c r="D735" s="1832"/>
      <c r="E735" s="1832"/>
      <c r="F735" s="1832"/>
      <c r="H735" s="501"/>
      <c r="I735" s="483"/>
      <c r="J735" s="501"/>
      <c r="K735" s="501"/>
    </row>
    <row r="736" spans="1:11">
      <c r="A736" s="483"/>
      <c r="B736" s="483"/>
      <c r="C736" s="483"/>
      <c r="D736" s="1832"/>
      <c r="E736" s="1832"/>
      <c r="F736" s="1832"/>
      <c r="H736" s="501"/>
      <c r="I736" s="483"/>
      <c r="J736" s="501"/>
      <c r="K736" s="501"/>
    </row>
    <row r="737" spans="1:11">
      <c r="A737" s="483"/>
      <c r="B737" s="483"/>
      <c r="C737" s="483"/>
      <c r="H737" s="501"/>
      <c r="I737" s="483"/>
      <c r="J737" s="501"/>
      <c r="K737" s="501"/>
    </row>
    <row r="738" spans="1:11">
      <c r="A738" s="483"/>
      <c r="B738" s="485" t="s">
        <v>2688</v>
      </c>
      <c r="C738" s="483"/>
      <c r="D738" s="1832" t="s">
        <v>2380</v>
      </c>
      <c r="E738" s="1832"/>
      <c r="F738" s="1832"/>
      <c r="H738" s="501"/>
      <c r="I738" s="483"/>
      <c r="J738" s="501"/>
      <c r="K738" s="501"/>
    </row>
    <row r="739" spans="1:11">
      <c r="A739" s="483"/>
      <c r="B739" s="483"/>
      <c r="C739" s="483"/>
      <c r="D739" s="1832"/>
      <c r="E739" s="1832"/>
      <c r="F739" s="1832"/>
      <c r="H739" s="501"/>
      <c r="I739" s="483"/>
      <c r="J739" s="501"/>
      <c r="K739" s="501"/>
    </row>
    <row r="740" spans="1:11">
      <c r="A740" s="483"/>
      <c r="B740" s="483"/>
      <c r="C740" s="483"/>
      <c r="D740" s="1832"/>
      <c r="E740" s="1832"/>
      <c r="F740" s="1832"/>
      <c r="H740" s="501"/>
      <c r="I740" s="483"/>
      <c r="J740" s="501"/>
      <c r="K740" s="501"/>
    </row>
    <row r="741" spans="1:11">
      <c r="A741" s="483"/>
      <c r="B741" s="483"/>
      <c r="C741" s="483"/>
      <c r="D741" s="1832"/>
      <c r="E741" s="1832"/>
      <c r="F741" s="1832"/>
      <c r="H741" s="501"/>
      <c r="I741" s="483"/>
      <c r="J741" s="501"/>
      <c r="K741" s="501"/>
    </row>
    <row r="742" spans="1:11">
      <c r="A742" s="483"/>
      <c r="B742" s="483"/>
      <c r="C742" s="483"/>
      <c r="H742" s="501"/>
      <c r="I742" s="483"/>
      <c r="J742" s="501"/>
      <c r="K742" s="501"/>
    </row>
    <row r="743" spans="1:11" ht="14.25">
      <c r="A743" s="484"/>
      <c r="B743" s="485" t="s">
        <v>2688</v>
      </c>
      <c r="C743" s="483"/>
      <c r="D743" s="1832" t="s">
        <v>1078</v>
      </c>
      <c r="E743" s="1832"/>
      <c r="F743" s="1832"/>
      <c r="H743" s="501"/>
      <c r="I743" s="483"/>
      <c r="J743" s="501"/>
      <c r="K743" s="501"/>
    </row>
    <row r="744" spans="1:11">
      <c r="A744" s="483"/>
      <c r="B744" s="483"/>
      <c r="C744" s="483"/>
      <c r="D744" s="1832"/>
      <c r="E744" s="1832"/>
      <c r="F744" s="1832"/>
      <c r="H744" s="501"/>
      <c r="I744" s="483"/>
      <c r="J744" s="501"/>
      <c r="K744" s="501"/>
    </row>
    <row r="745" spans="1:11">
      <c r="A745" s="483"/>
      <c r="B745" s="483"/>
      <c r="C745" s="483"/>
      <c r="D745" s="1832"/>
      <c r="E745" s="1832"/>
      <c r="F745" s="1832"/>
      <c r="H745" s="501"/>
      <c r="I745" s="483"/>
      <c r="J745" s="501"/>
      <c r="K745" s="501"/>
    </row>
    <row r="746" spans="1:11">
      <c r="A746" s="483"/>
      <c r="B746" s="483"/>
      <c r="C746" s="483"/>
      <c r="D746" s="1832"/>
      <c r="E746" s="1832"/>
      <c r="F746" s="1832"/>
      <c r="H746" s="501"/>
      <c r="I746" s="483"/>
      <c r="J746" s="501"/>
      <c r="K746" s="501"/>
    </row>
    <row r="747" spans="1:11">
      <c r="A747" s="483"/>
      <c r="B747" s="483"/>
      <c r="C747" s="483"/>
      <c r="D747" s="1832"/>
      <c r="E747" s="1832"/>
      <c r="F747" s="1832"/>
      <c r="H747" s="501"/>
      <c r="I747" s="483"/>
      <c r="J747" s="501"/>
      <c r="K747" s="501"/>
    </row>
    <row r="748" spans="1:11">
      <c r="A748" s="483"/>
      <c r="B748" s="483"/>
      <c r="C748" s="483"/>
      <c r="D748" s="492"/>
      <c r="H748" s="501"/>
      <c r="I748" s="483"/>
      <c r="J748" s="501"/>
      <c r="K748" s="501"/>
    </row>
    <row r="749" spans="1:11" ht="14.25">
      <c r="A749" s="484"/>
      <c r="B749" s="485" t="s">
        <v>2688</v>
      </c>
      <c r="C749" s="483"/>
      <c r="D749" s="1832" t="s">
        <v>2099</v>
      </c>
      <c r="E749" s="1832"/>
      <c r="F749" s="1832"/>
      <c r="H749" s="501"/>
      <c r="I749" s="483"/>
      <c r="J749" s="501"/>
      <c r="K749" s="501"/>
    </row>
    <row r="750" spans="1:11">
      <c r="A750" s="483"/>
      <c r="B750" s="483"/>
      <c r="C750" s="483"/>
      <c r="D750" s="1832"/>
      <c r="E750" s="1832"/>
      <c r="F750" s="1832"/>
      <c r="H750" s="501"/>
      <c r="I750" s="483"/>
      <c r="J750" s="501"/>
      <c r="K750" s="501"/>
    </row>
    <row r="751" spans="1:11">
      <c r="A751" s="483"/>
      <c r="B751" s="483"/>
      <c r="C751" s="483"/>
      <c r="D751" s="1832"/>
      <c r="E751" s="1832"/>
      <c r="F751" s="1832"/>
      <c r="H751" s="501"/>
      <c r="I751" s="483"/>
      <c r="J751" s="501"/>
      <c r="K751" s="501"/>
    </row>
    <row r="752" spans="1:11">
      <c r="A752" s="483"/>
      <c r="B752" s="483"/>
      <c r="C752" s="483"/>
      <c r="D752" s="1832"/>
      <c r="E752" s="1832"/>
      <c r="F752" s="1832"/>
      <c r="H752" s="501"/>
      <c r="I752" s="483"/>
      <c r="J752" s="501"/>
      <c r="K752" s="501"/>
    </row>
    <row r="753" spans="1:11">
      <c r="A753" s="483"/>
      <c r="B753" s="483"/>
      <c r="C753" s="483"/>
      <c r="D753" s="1832"/>
      <c r="E753" s="1832"/>
      <c r="F753" s="1832"/>
      <c r="H753" s="501"/>
      <c r="I753" s="483"/>
      <c r="J753" s="501"/>
      <c r="K753" s="501"/>
    </row>
    <row r="754" spans="1:11">
      <c r="A754" s="483"/>
      <c r="B754" s="483"/>
      <c r="C754" s="483"/>
      <c r="D754" s="1832"/>
      <c r="E754" s="1832"/>
      <c r="F754" s="1832"/>
      <c r="H754" s="501"/>
      <c r="I754" s="483"/>
      <c r="J754" s="501"/>
      <c r="K754" s="501"/>
    </row>
    <row r="755" spans="1:11">
      <c r="A755" s="483"/>
      <c r="B755" s="483"/>
      <c r="C755" s="483"/>
      <c r="D755" s="1832"/>
      <c r="E755" s="1832"/>
      <c r="F755" s="1832"/>
      <c r="H755" s="501"/>
      <c r="I755" s="483"/>
      <c r="J755" s="501"/>
      <c r="K755" s="501"/>
    </row>
    <row r="756" spans="1:11">
      <c r="A756" s="483"/>
      <c r="B756" s="483"/>
      <c r="C756" s="483"/>
      <c r="D756" s="1837" t="s">
        <v>2599</v>
      </c>
      <c r="E756" s="1837"/>
      <c r="F756" s="1837"/>
      <c r="H756" s="501"/>
      <c r="I756" s="483"/>
      <c r="J756" s="501"/>
      <c r="K756" s="501"/>
    </row>
    <row r="757" spans="1:11">
      <c r="A757" s="483"/>
      <c r="B757" s="483"/>
      <c r="C757" s="483"/>
      <c r="D757" s="341"/>
      <c r="H757" s="501"/>
      <c r="I757" s="483"/>
      <c r="J757" s="501"/>
      <c r="K757" s="501"/>
    </row>
    <row r="758" spans="1:11">
      <c r="A758" s="1836" t="s">
        <v>1060</v>
      </c>
      <c r="B758" s="1836"/>
      <c r="C758" s="1836"/>
      <c r="D758" s="1836"/>
      <c r="E758" s="1836"/>
      <c r="F758" s="1836"/>
      <c r="G758" s="1836"/>
      <c r="H758" s="1025"/>
      <c r="I758" s="1151"/>
      <c r="J758" s="501"/>
      <c r="K758" s="501"/>
    </row>
    <row r="759" spans="1:11">
      <c r="A759" s="483"/>
      <c r="B759" s="483"/>
      <c r="C759" s="483"/>
      <c r="D759" s="492"/>
      <c r="G759" s="501"/>
      <c r="H759" s="501"/>
      <c r="I759" s="483"/>
      <c r="J759" s="501"/>
      <c r="K759" s="501"/>
    </row>
    <row r="760" spans="1:11" ht="13.7" customHeight="1">
      <c r="C760" s="483"/>
      <c r="D760" s="1852" t="s">
        <v>1070</v>
      </c>
      <c r="E760" s="1852"/>
      <c r="F760" s="1852"/>
      <c r="G760" s="501"/>
      <c r="H760" s="501"/>
      <c r="I760" s="483"/>
      <c r="J760" s="501"/>
      <c r="K760" s="501"/>
    </row>
    <row r="761" spans="1:11">
      <c r="A761" s="483"/>
      <c r="B761" s="483"/>
      <c r="C761" s="483"/>
      <c r="D761" s="1838" t="s">
        <v>1071</v>
      </c>
      <c r="E761" s="1838"/>
      <c r="F761" s="1838"/>
      <c r="G761" s="501"/>
      <c r="H761" s="501"/>
      <c r="I761" s="483"/>
      <c r="J761" s="501"/>
      <c r="K761" s="501"/>
    </row>
    <row r="762" spans="1:11">
      <c r="A762" s="483"/>
      <c r="B762" s="483"/>
      <c r="C762" s="483"/>
      <c r="G762" s="501"/>
      <c r="H762" s="501"/>
      <c r="I762" s="483"/>
      <c r="J762" s="501"/>
      <c r="K762" s="501"/>
    </row>
    <row r="763" spans="1:11" ht="14.25">
      <c r="A763" s="484"/>
      <c r="B763" s="485" t="s">
        <v>2717</v>
      </c>
      <c r="D763" s="1832" t="s">
        <v>1072</v>
      </c>
      <c r="E763" s="1832"/>
      <c r="F763" s="1832"/>
      <c r="G763" s="501"/>
      <c r="H763" s="501"/>
      <c r="I763" s="483"/>
      <c r="J763" s="501"/>
      <c r="K763" s="501"/>
    </row>
    <row r="764" spans="1:11" ht="10.5" customHeight="1">
      <c r="D764" s="1832"/>
      <c r="E764" s="1832"/>
      <c r="F764" s="1832"/>
      <c r="G764" s="501"/>
      <c r="H764" s="501"/>
      <c r="I764" s="483"/>
      <c r="J764" s="501"/>
      <c r="K764" s="501"/>
    </row>
    <row r="765" spans="1:11">
      <c r="D765" s="1832"/>
      <c r="E765" s="1832"/>
      <c r="F765" s="1832"/>
      <c r="G765" s="501"/>
      <c r="H765" s="501"/>
      <c r="I765" s="483"/>
      <c r="J765" s="501"/>
      <c r="K765" s="501"/>
    </row>
    <row r="766" spans="1:11">
      <c r="D766" s="1832"/>
      <c r="E766" s="1832"/>
      <c r="F766" s="1832"/>
      <c r="G766" s="501"/>
      <c r="H766" s="501"/>
      <c r="I766" s="483"/>
      <c r="J766" s="501"/>
      <c r="K766" s="501"/>
    </row>
    <row r="767" spans="1:11">
      <c r="D767" s="1832"/>
      <c r="E767" s="1832"/>
      <c r="F767" s="1832"/>
      <c r="G767" s="501"/>
      <c r="H767" s="501"/>
      <c r="I767" s="483"/>
      <c r="J767" s="501"/>
      <c r="K767" s="501"/>
    </row>
    <row r="768" spans="1:11" ht="15.6" customHeight="1">
      <c r="D768" s="1832"/>
      <c r="E768" s="1832"/>
      <c r="F768" s="1832"/>
      <c r="G768" s="501"/>
      <c r="H768" s="501"/>
      <c r="I768" s="483"/>
      <c r="J768" s="501"/>
      <c r="K768" s="501"/>
    </row>
    <row r="769" spans="1:11">
      <c r="D769" s="499"/>
      <c r="E769" s="446"/>
      <c r="F769" s="446"/>
      <c r="G769" s="501"/>
      <c r="H769" s="501"/>
      <c r="I769" s="483"/>
      <c r="J769" s="501"/>
      <c r="K769" s="501"/>
    </row>
    <row r="770" spans="1:11" s="505" customFormat="1" ht="14.25">
      <c r="A770" s="503"/>
      <c r="B770" s="485" t="s">
        <v>2717</v>
      </c>
      <c r="C770" s="504"/>
      <c r="D770" s="1832" t="s">
        <v>1241</v>
      </c>
      <c r="E770" s="1832"/>
      <c r="F770" s="1832"/>
      <c r="I770" s="1152"/>
    </row>
    <row r="771" spans="1:11" s="505" customFormat="1">
      <c r="A771" s="504"/>
      <c r="B771" s="504"/>
      <c r="C771" s="504"/>
      <c r="D771" s="1832"/>
      <c r="E771" s="1832"/>
      <c r="F771" s="1832"/>
      <c r="I771" s="1152"/>
    </row>
    <row r="772" spans="1:11" s="505" customFormat="1">
      <c r="A772" s="504"/>
      <c r="B772" s="504"/>
      <c r="C772" s="504"/>
      <c r="D772" s="1832"/>
      <c r="E772" s="1832"/>
      <c r="F772" s="1832"/>
      <c r="I772" s="1152"/>
    </row>
    <row r="773" spans="1:11" s="505" customFormat="1">
      <c r="A773" s="504"/>
      <c r="B773" s="504"/>
      <c r="C773" s="504"/>
      <c r="D773" s="1832"/>
      <c r="E773" s="1832"/>
      <c r="F773" s="1832"/>
      <c r="I773" s="1152"/>
    </row>
    <row r="774" spans="1:11" s="505" customFormat="1">
      <c r="A774" s="504"/>
      <c r="B774" s="504"/>
      <c r="C774" s="504"/>
      <c r="D774" s="499"/>
      <c r="I774" s="1152"/>
    </row>
    <row r="775" spans="1:11" s="505" customFormat="1" ht="14.25">
      <c r="A775" s="484"/>
      <c r="B775" s="485" t="s">
        <v>2717</v>
      </c>
      <c r="C775" s="504"/>
      <c r="D775" s="1831" t="s">
        <v>1242</v>
      </c>
      <c r="E775" s="1831"/>
      <c r="F775" s="1831"/>
      <c r="I775" s="1152"/>
    </row>
    <row r="776" spans="1:11" s="505" customFormat="1">
      <c r="A776" s="504"/>
      <c r="B776" s="504"/>
      <c r="C776" s="504"/>
      <c r="D776" s="1831"/>
      <c r="E776" s="1831"/>
      <c r="F776" s="1831"/>
      <c r="I776" s="1152"/>
    </row>
    <row r="777" spans="1:11" s="505" customFormat="1">
      <c r="A777" s="504"/>
      <c r="B777" s="504"/>
      <c r="C777" s="504"/>
      <c r="D777" s="1831"/>
      <c r="E777" s="1831"/>
      <c r="F777" s="1831"/>
      <c r="I777" s="1152"/>
    </row>
    <row r="778" spans="1:11">
      <c r="D778" s="499"/>
      <c r="E778" s="446"/>
      <c r="F778" s="446"/>
      <c r="G778" s="501"/>
      <c r="H778" s="501"/>
      <c r="I778" s="483"/>
      <c r="J778" s="501"/>
      <c r="K778" s="501"/>
    </row>
    <row r="779" spans="1:11" ht="14.25">
      <c r="A779" s="484"/>
      <c r="B779" s="485" t="s">
        <v>2688</v>
      </c>
      <c r="D779" s="1832" t="s">
        <v>1198</v>
      </c>
      <c r="E779" s="1832"/>
      <c r="F779" s="1832"/>
      <c r="G779" s="501"/>
      <c r="H779" s="501"/>
      <c r="I779" s="483"/>
      <c r="J779" s="501"/>
      <c r="K779" s="501"/>
    </row>
    <row r="780" spans="1:11">
      <c r="D780" s="1832"/>
      <c r="E780" s="1832"/>
      <c r="F780" s="1832"/>
      <c r="G780" s="501"/>
      <c r="H780" s="501"/>
      <c r="I780" s="483"/>
      <c r="J780" s="501"/>
      <c r="K780" s="501"/>
    </row>
    <row r="781" spans="1:11">
      <c r="D781" s="445"/>
      <c r="E781" s="445"/>
      <c r="F781" s="445"/>
      <c r="G781" s="501"/>
      <c r="H781" s="501"/>
      <c r="I781" s="483"/>
      <c r="J781" s="501"/>
      <c r="K781" s="501"/>
    </row>
    <row r="782" spans="1:11">
      <c r="B782" s="485" t="s">
        <v>2688</v>
      </c>
      <c r="D782" s="1832" t="s">
        <v>1215</v>
      </c>
      <c r="E782" s="1832"/>
      <c r="F782" s="1832"/>
      <c r="G782" s="501"/>
      <c r="H782" s="501"/>
      <c r="I782" s="483"/>
      <c r="J782" s="501"/>
      <c r="K782" s="501"/>
    </row>
    <row r="783" spans="1:11">
      <c r="D783" s="1832"/>
      <c r="E783" s="1832"/>
      <c r="F783" s="1832"/>
      <c r="G783" s="501"/>
      <c r="H783" s="501"/>
      <c r="I783" s="483"/>
      <c r="J783" s="501"/>
      <c r="K783" s="501"/>
    </row>
    <row r="784" spans="1:11">
      <c r="D784" s="1832"/>
      <c r="E784" s="1832"/>
      <c r="F784" s="1832"/>
      <c r="G784" s="501"/>
      <c r="H784" s="501"/>
      <c r="I784" s="483"/>
      <c r="J784" s="501"/>
      <c r="K784" s="501"/>
    </row>
    <row r="785" spans="1:11">
      <c r="D785" s="445"/>
      <c r="E785" s="445"/>
      <c r="F785" s="445"/>
      <c r="G785" s="501"/>
      <c r="H785" s="501"/>
      <c r="I785" s="483"/>
      <c r="J785" s="501"/>
      <c r="K785" s="501"/>
    </row>
    <row r="786" spans="1:11" hidden="1">
      <c r="A786" s="1851" t="s">
        <v>1789</v>
      </c>
      <c r="B786" s="1851"/>
      <c r="C786" s="1851"/>
      <c r="D786" s="1851"/>
      <c r="E786" s="1851"/>
      <c r="F786" s="1851"/>
      <c r="G786" s="1851"/>
      <c r="H786" s="1023"/>
      <c r="I786" s="1147"/>
    </row>
    <row r="787" spans="1:11" hidden="1">
      <c r="A787" s="57"/>
      <c r="B787" s="57"/>
      <c r="C787" s="354"/>
      <c r="D787" s="3"/>
      <c r="E787" s="3"/>
      <c r="F787" s="3"/>
      <c r="G787" s="3"/>
      <c r="I787" s="490"/>
    </row>
    <row r="788" spans="1:11" hidden="1">
      <c r="A788" s="57"/>
      <c r="B788" s="57"/>
      <c r="C788" s="354"/>
      <c r="D788" s="1850" t="s">
        <v>1829</v>
      </c>
      <c r="E788" s="1850"/>
      <c r="F788" s="1850"/>
      <c r="G788" s="3"/>
      <c r="I788" s="490"/>
    </row>
    <row r="789" spans="1:11" hidden="1">
      <c r="A789" s="57"/>
      <c r="B789" s="57"/>
      <c r="C789" s="354"/>
      <c r="D789" s="1842" t="s">
        <v>1743</v>
      </c>
      <c r="E789" s="1842"/>
      <c r="F789" s="1842"/>
      <c r="G789" s="3"/>
      <c r="I789" s="490"/>
    </row>
    <row r="790" spans="1:11" hidden="1">
      <c r="A790" s="57"/>
      <c r="B790" s="57"/>
      <c r="C790" s="354"/>
      <c r="D790" s="447"/>
      <c r="E790" s="447"/>
      <c r="F790" s="447"/>
      <c r="G790" s="3"/>
      <c r="I790" s="490"/>
    </row>
    <row r="791" spans="1:11" hidden="1">
      <c r="A791" s="57"/>
      <c r="B791" s="485" t="s">
        <v>307</v>
      </c>
      <c r="C791" s="354"/>
      <c r="D791" s="1826" t="s">
        <v>1744</v>
      </c>
      <c r="E791" s="1826"/>
      <c r="F791" s="1826"/>
      <c r="G791" s="3"/>
      <c r="I791" s="483"/>
    </row>
    <row r="792" spans="1:11" hidden="1">
      <c r="A792" s="57"/>
      <c r="B792" s="57"/>
      <c r="C792" s="354"/>
      <c r="D792" s="1826"/>
      <c r="E792" s="1826"/>
      <c r="F792" s="1826"/>
      <c r="G792" s="3"/>
      <c r="I792" s="490"/>
    </row>
    <row r="793" spans="1:11" hidden="1">
      <c r="A793" s="174"/>
      <c r="B793" s="174"/>
      <c r="C793" s="174"/>
      <c r="D793" s="1826"/>
      <c r="E793" s="1826"/>
      <c r="F793" s="1826"/>
      <c r="G793" s="118"/>
      <c r="I793" s="490"/>
    </row>
    <row r="794" spans="1:11" hidden="1">
      <c r="A794" s="354"/>
      <c r="B794" s="354"/>
      <c r="C794" s="354"/>
      <c r="D794" s="173"/>
      <c r="E794" s="3"/>
      <c r="F794" s="3"/>
      <c r="G794" s="3"/>
      <c r="I794" s="490"/>
    </row>
    <row r="795" spans="1:11" hidden="1">
      <c r="A795" s="172"/>
      <c r="B795" s="485" t="s">
        <v>307</v>
      </c>
      <c r="C795" s="172"/>
      <c r="D795" s="1826" t="s">
        <v>1745</v>
      </c>
      <c r="E795" s="1826"/>
      <c r="F795" s="1826"/>
      <c r="G795" s="3"/>
      <c r="I795" s="483"/>
    </row>
    <row r="796" spans="1:11" hidden="1">
      <c r="A796" s="172"/>
      <c r="B796" s="172"/>
      <c r="C796" s="172"/>
      <c r="D796" s="1826"/>
      <c r="E796" s="1826"/>
      <c r="F796" s="1826"/>
      <c r="G796" s="3"/>
      <c r="I796" s="490"/>
    </row>
    <row r="797" spans="1:11" hidden="1">
      <c r="A797" s="172"/>
      <c r="B797" s="172"/>
      <c r="C797" s="172"/>
      <c r="D797" s="1826"/>
      <c r="E797" s="1826"/>
      <c r="F797" s="1826"/>
      <c r="G797" s="3"/>
      <c r="I797" s="490"/>
    </row>
    <row r="798" spans="1:11" hidden="1">
      <c r="A798" s="174"/>
      <c r="B798" s="174"/>
      <c r="C798" s="174"/>
      <c r="D798" s="3"/>
      <c r="E798" s="983"/>
      <c r="F798" s="983"/>
      <c r="G798" s="983"/>
      <c r="I798" s="490"/>
    </row>
    <row r="799" spans="1:11" ht="14.25" hidden="1">
      <c r="A799" s="175"/>
      <c r="B799" s="485" t="s">
        <v>307</v>
      </c>
      <c r="C799" s="984"/>
      <c r="D799" s="1826" t="s">
        <v>1746</v>
      </c>
      <c r="E799" s="1826"/>
      <c r="F799" s="1826"/>
      <c r="G799" s="983"/>
      <c r="I799" s="483"/>
    </row>
    <row r="800" spans="1:11" ht="14.25" hidden="1">
      <c r="A800" s="175"/>
      <c r="B800" s="175"/>
      <c r="C800" s="984"/>
      <c r="D800" s="1826"/>
      <c r="E800" s="1826"/>
      <c r="F800" s="1826"/>
      <c r="G800" s="983"/>
      <c r="I800" s="490"/>
    </row>
    <row r="801" spans="1:9" ht="14.25" hidden="1">
      <c r="A801" s="175"/>
      <c r="B801" s="175"/>
      <c r="C801" s="984"/>
      <c r="D801" s="1826"/>
      <c r="E801" s="1826"/>
      <c r="F801" s="1826"/>
      <c r="G801" s="983"/>
      <c r="I801" s="490"/>
    </row>
    <row r="802" spans="1:9" ht="14.25" hidden="1">
      <c r="A802" s="175"/>
      <c r="B802" s="175"/>
      <c r="C802" s="984"/>
      <c r="D802" s="118"/>
      <c r="E802" s="3"/>
      <c r="F802" s="3"/>
      <c r="G802" s="983"/>
      <c r="I802" s="490"/>
    </row>
    <row r="803" spans="1:9" ht="14.25" hidden="1">
      <c r="A803" s="175"/>
      <c r="B803" s="485" t="s">
        <v>307</v>
      </c>
      <c r="C803" s="984"/>
      <c r="D803" s="1826" t="s">
        <v>1747</v>
      </c>
      <c r="E803" s="1826"/>
      <c r="F803" s="1826"/>
      <c r="G803" s="983"/>
      <c r="I803" s="483"/>
    </row>
    <row r="804" spans="1:9" ht="14.25" hidden="1">
      <c r="A804" s="175"/>
      <c r="B804" s="175"/>
      <c r="C804" s="984"/>
      <c r="D804" s="1826"/>
      <c r="E804" s="1826"/>
      <c r="F804" s="1826"/>
      <c r="G804" s="983"/>
      <c r="I804" s="490"/>
    </row>
    <row r="805" spans="1:9" ht="14.25" hidden="1">
      <c r="A805" s="175"/>
      <c r="B805" s="175"/>
      <c r="C805" s="984"/>
      <c r="D805" s="1826"/>
      <c r="E805" s="1826"/>
      <c r="F805" s="1826"/>
      <c r="G805" s="983"/>
      <c r="I805" s="490"/>
    </row>
    <row r="806" spans="1:9" ht="14.25" hidden="1">
      <c r="A806" s="175"/>
      <c r="B806" s="175"/>
      <c r="C806" s="984"/>
      <c r="D806" s="1826"/>
      <c r="E806" s="1826"/>
      <c r="F806" s="1826"/>
      <c r="G806" s="983"/>
      <c r="I806" s="490"/>
    </row>
    <row r="807" spans="1:9" ht="14.25" hidden="1">
      <c r="A807" s="175"/>
      <c r="B807" s="175"/>
      <c r="C807" s="984"/>
      <c r="D807" s="1826"/>
      <c r="E807" s="1826"/>
      <c r="F807" s="1826"/>
      <c r="G807" s="983"/>
      <c r="I807" s="490"/>
    </row>
    <row r="808" spans="1:9" ht="14.25" hidden="1">
      <c r="A808" s="175"/>
      <c r="B808" s="175"/>
      <c r="C808" s="984"/>
      <c r="D808" s="1826"/>
      <c r="E808" s="1826"/>
      <c r="F808" s="1826"/>
      <c r="G808" s="983"/>
      <c r="I808" s="490"/>
    </row>
    <row r="809" spans="1:9" ht="14.25" hidden="1">
      <c r="A809" s="175"/>
      <c r="B809" s="175"/>
      <c r="C809" s="984"/>
      <c r="D809" s="1826" t="s">
        <v>1790</v>
      </c>
      <c r="E809" s="1826"/>
      <c r="F809" s="1826"/>
      <c r="G809" s="983"/>
      <c r="I809" s="490"/>
    </row>
    <row r="810" spans="1:9" ht="14.25" hidden="1">
      <c r="A810" s="175"/>
      <c r="B810" s="175"/>
      <c r="C810" s="984"/>
      <c r="D810" s="1826"/>
      <c r="E810" s="1826"/>
      <c r="F810" s="1826"/>
      <c r="G810" s="983"/>
      <c r="I810" s="490"/>
    </row>
    <row r="811" spans="1:9" ht="14.25" hidden="1">
      <c r="A811" s="175"/>
      <c r="B811" s="175"/>
      <c r="C811" s="984"/>
      <c r="D811" s="1826"/>
      <c r="E811" s="1826"/>
      <c r="F811" s="1826"/>
      <c r="G811" s="983"/>
      <c r="I811" s="490"/>
    </row>
    <row r="812" spans="1:9" ht="14.25" hidden="1">
      <c r="A812" s="175"/>
      <c r="B812" s="354"/>
      <c r="C812" s="984"/>
      <c r="D812" s="985"/>
      <c r="E812" s="985"/>
      <c r="F812" s="985"/>
      <c r="G812" s="983"/>
      <c r="I812" s="490"/>
    </row>
    <row r="813" spans="1:9" ht="14.25" hidden="1">
      <c r="A813" s="175"/>
      <c r="B813" s="485" t="s">
        <v>307</v>
      </c>
      <c r="C813" s="984"/>
      <c r="D813" s="1826" t="s">
        <v>1748</v>
      </c>
      <c r="E813" s="1826"/>
      <c r="F813" s="1826"/>
      <c r="G813" s="983"/>
      <c r="I813" s="483"/>
    </row>
    <row r="814" spans="1:9" ht="14.25" hidden="1">
      <c r="A814" s="175"/>
      <c r="B814" s="175"/>
      <c r="C814" s="984"/>
      <c r="D814" s="1826"/>
      <c r="E814" s="1826"/>
      <c r="F814" s="1826"/>
      <c r="G814" s="983"/>
      <c r="I814" s="490"/>
    </row>
    <row r="815" spans="1:9" ht="14.25" hidden="1">
      <c r="A815" s="175"/>
      <c r="B815" s="175"/>
      <c r="C815" s="984"/>
      <c r="D815" s="1826"/>
      <c r="E815" s="1826"/>
      <c r="F815" s="1826"/>
      <c r="G815" s="983"/>
      <c r="I815" s="490"/>
    </row>
    <row r="816" spans="1:9" ht="14.25" hidden="1">
      <c r="A816" s="175"/>
      <c r="B816" s="175"/>
      <c r="C816" s="984"/>
      <c r="D816" s="1826"/>
      <c r="E816" s="1826"/>
      <c r="F816" s="1826"/>
      <c r="G816" s="983"/>
      <c r="I816" s="490"/>
    </row>
    <row r="817" spans="1:9" ht="14.25" hidden="1">
      <c r="A817" s="175"/>
      <c r="B817" s="175"/>
      <c r="C817" s="984"/>
      <c r="D817" s="1826"/>
      <c r="E817" s="1826"/>
      <c r="F817" s="1826"/>
      <c r="G817" s="983"/>
      <c r="I817" s="490"/>
    </row>
    <row r="818" spans="1:9" ht="14.25" hidden="1">
      <c r="A818" s="175"/>
      <c r="B818" s="175"/>
      <c r="C818" s="984"/>
      <c r="D818" s="1826"/>
      <c r="E818" s="1826"/>
      <c r="F818" s="1826"/>
      <c r="G818" s="983"/>
      <c r="I818" s="490"/>
    </row>
    <row r="819" spans="1:9" ht="14.25" hidden="1">
      <c r="A819" s="175"/>
      <c r="B819" s="175"/>
      <c r="C819" s="984"/>
      <c r="D819" s="977"/>
      <c r="E819" s="977"/>
      <c r="F819" s="977"/>
      <c r="G819" s="983"/>
      <c r="I819" s="490"/>
    </row>
    <row r="820" spans="1:9" ht="14.25" hidden="1">
      <c r="A820" s="175"/>
      <c r="B820" s="485" t="s">
        <v>307</v>
      </c>
      <c r="C820" s="984"/>
      <c r="D820" s="1826" t="s">
        <v>1749</v>
      </c>
      <c r="E820" s="1826"/>
      <c r="F820" s="1826"/>
      <c r="G820" s="983"/>
      <c r="I820" s="483"/>
    </row>
    <row r="821" spans="1:9" ht="14.25" hidden="1">
      <c r="A821" s="175"/>
      <c r="B821" s="175"/>
      <c r="C821" s="984"/>
      <c r="D821" s="1826"/>
      <c r="E821" s="1826"/>
      <c r="F821" s="1826"/>
      <c r="G821" s="983"/>
      <c r="I821" s="490"/>
    </row>
    <row r="822" spans="1:9" ht="14.25" hidden="1">
      <c r="A822" s="175"/>
      <c r="B822" s="175"/>
      <c r="C822" s="984"/>
      <c r="D822" s="1826"/>
      <c r="E822" s="1826"/>
      <c r="F822" s="1826"/>
      <c r="G822" s="983"/>
      <c r="I822" s="490"/>
    </row>
    <row r="823" spans="1:9" ht="14.25" hidden="1">
      <c r="A823" s="175"/>
      <c r="B823" s="175"/>
      <c r="C823" s="984"/>
      <c r="D823" s="1826"/>
      <c r="E823" s="1826"/>
      <c r="F823" s="1826"/>
      <c r="G823" s="983"/>
      <c r="I823" s="490"/>
    </row>
    <row r="824" spans="1:9" ht="14.25" hidden="1">
      <c r="A824" s="175"/>
      <c r="B824" s="175"/>
      <c r="C824" s="984"/>
      <c r="D824" s="1826"/>
      <c r="E824" s="1826"/>
      <c r="F824" s="1826"/>
      <c r="G824" s="983"/>
      <c r="I824" s="490"/>
    </row>
    <row r="825" spans="1:9" ht="14.25" hidden="1">
      <c r="A825" s="175"/>
      <c r="B825" s="175"/>
      <c r="C825" s="984"/>
      <c r="D825" s="1826"/>
      <c r="E825" s="1826"/>
      <c r="F825" s="1826"/>
      <c r="G825" s="983"/>
      <c r="I825" s="490"/>
    </row>
    <row r="826" spans="1:9" ht="14.25" hidden="1">
      <c r="A826" s="175"/>
      <c r="B826" s="175"/>
      <c r="C826" s="984"/>
      <c r="D826" s="977"/>
      <c r="E826" s="977"/>
      <c r="F826" s="977"/>
      <c r="G826" s="983"/>
      <c r="I826" s="490"/>
    </row>
    <row r="827" spans="1:9" ht="14.25" hidden="1">
      <c r="A827" s="175"/>
      <c r="B827" s="485" t="s">
        <v>307</v>
      </c>
      <c r="C827" s="984"/>
      <c r="D827" s="1822" t="s">
        <v>1750</v>
      </c>
      <c r="E827" s="1822"/>
      <c r="F827" s="1822"/>
      <c r="G827" s="983"/>
      <c r="I827" s="483"/>
    </row>
    <row r="828" spans="1:9" ht="14.25" hidden="1">
      <c r="A828" s="175"/>
      <c r="B828" s="175"/>
      <c r="C828" s="984"/>
      <c r="D828" s="1822"/>
      <c r="E828" s="1822"/>
      <c r="F828" s="1822"/>
      <c r="G828" s="983"/>
      <c r="I828" s="490"/>
    </row>
    <row r="829" spans="1:9" hidden="1">
      <c r="A829" s="13"/>
      <c r="B829" s="13"/>
      <c r="C829" s="984"/>
      <c r="D829" s="1822"/>
      <c r="E829" s="1822"/>
      <c r="F829" s="1822"/>
      <c r="G829" s="983"/>
      <c r="I829" s="490"/>
    </row>
    <row r="830" spans="1:9" ht="14.25" hidden="1">
      <c r="A830" s="175"/>
      <c r="B830" s="13"/>
      <c r="C830" s="984"/>
      <c r="D830" s="1822"/>
      <c r="E830" s="1822"/>
      <c r="F830" s="1822"/>
      <c r="G830" s="983"/>
      <c r="I830" s="490"/>
    </row>
    <row r="831" spans="1:9" ht="12.75" hidden="1" customHeight="1">
      <c r="A831" s="175"/>
      <c r="B831" s="13"/>
      <c r="C831" s="984"/>
      <c r="D831" s="1822"/>
      <c r="E831" s="1822"/>
      <c r="F831" s="1822"/>
      <c r="G831" s="983"/>
      <c r="I831" s="490"/>
    </row>
    <row r="832" spans="1:9" ht="12.75" hidden="1" customHeight="1">
      <c r="A832" s="175"/>
      <c r="B832" s="13"/>
      <c r="C832" s="984"/>
      <c r="D832" s="1822"/>
      <c r="E832" s="1822"/>
      <c r="F832" s="1822"/>
      <c r="G832" s="983"/>
      <c r="I832" s="490"/>
    </row>
    <row r="833" spans="1:9" ht="12.75" hidden="1" customHeight="1">
      <c r="A833" s="13"/>
      <c r="B833" s="13"/>
      <c r="C833" s="984"/>
      <c r="D833" s="983"/>
      <c r="E833" s="3"/>
      <c r="F833" s="3"/>
      <c r="G833" s="983"/>
      <c r="I833" s="490"/>
    </row>
    <row r="834" spans="1:9" ht="12.75" customHeight="1">
      <c r="A834" s="1820" t="s">
        <v>1751</v>
      </c>
      <c r="B834" s="1820"/>
      <c r="C834" s="1820"/>
      <c r="D834" s="1820"/>
      <c r="E834" s="1820"/>
      <c r="F834" s="1820"/>
      <c r="G834" s="1820"/>
      <c r="H834" s="1023"/>
      <c r="I834" s="1147"/>
    </row>
    <row r="835" spans="1:9" ht="12.75" customHeight="1">
      <c r="A835" s="172"/>
      <c r="B835" s="172"/>
      <c r="C835" s="984"/>
      <c r="D835" s="983"/>
      <c r="E835" s="983"/>
      <c r="F835" s="983"/>
      <c r="G835" s="983"/>
      <c r="I835" s="490"/>
    </row>
    <row r="836" spans="1:9" ht="12.75" customHeight="1">
      <c r="A836" s="175"/>
      <c r="B836" s="175"/>
      <c r="C836" s="354"/>
      <c r="D836" s="1840" t="s">
        <v>1791</v>
      </c>
      <c r="E836" s="1840"/>
      <c r="F836" s="1840"/>
      <c r="G836" s="3"/>
      <c r="I836" s="490"/>
    </row>
    <row r="837" spans="1:9" ht="14.25" customHeight="1">
      <c r="A837" s="175"/>
      <c r="B837" s="175"/>
      <c r="C837" s="354"/>
      <c r="D837" s="1456" t="s">
        <v>1752</v>
      </c>
      <c r="E837" s="1456"/>
      <c r="F837" s="1456"/>
      <c r="G837" s="3"/>
      <c r="I837" s="490"/>
    </row>
    <row r="838" spans="1:9" ht="12.75" customHeight="1">
      <c r="A838" s="175"/>
      <c r="B838" s="175"/>
      <c r="C838" s="354"/>
      <c r="D838" s="441"/>
      <c r="E838" s="441"/>
      <c r="F838" s="441"/>
      <c r="G838" s="3"/>
      <c r="I838" s="490"/>
    </row>
    <row r="839" spans="1:9" ht="12.75" customHeight="1">
      <c r="A839" s="354"/>
      <c r="B839" s="485" t="s">
        <v>2717</v>
      </c>
      <c r="C839" s="984"/>
      <c r="D839" s="1456" t="s">
        <v>1753</v>
      </c>
      <c r="E839" s="1456"/>
      <c r="F839" s="1456"/>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41" t="s">
        <v>2031</v>
      </c>
      <c r="E842" s="1841"/>
      <c r="F842" s="1841"/>
      <c r="G842" s="3"/>
      <c r="I842" s="490"/>
    </row>
    <row r="843" spans="1:9" ht="12.75" hidden="1" customHeight="1">
      <c r="A843" s="13"/>
      <c r="B843" s="13"/>
      <c r="C843" s="984"/>
      <c r="D843" s="1841"/>
      <c r="E843" s="1841"/>
      <c r="F843" s="1841"/>
      <c r="G843" s="3"/>
      <c r="I843" s="490"/>
    </row>
    <row r="844" spans="1:9" ht="12.75" hidden="1" customHeight="1">
      <c r="A844" s="13"/>
      <c r="B844" s="13"/>
      <c r="C844" s="984"/>
      <c r="D844" s="1841"/>
      <c r="E844" s="1841"/>
      <c r="F844" s="1841"/>
      <c r="G844" s="3"/>
      <c r="I844" s="490"/>
    </row>
    <row r="845" spans="1:9" ht="12.75" hidden="1" customHeight="1">
      <c r="A845" s="13"/>
      <c r="B845" s="13"/>
      <c r="C845" s="984"/>
      <c r="D845" s="1841"/>
      <c r="E845" s="1841"/>
      <c r="F845" s="1841"/>
      <c r="G845" s="3"/>
      <c r="I845" s="490"/>
    </row>
    <row r="846" spans="1:9" ht="12.75" hidden="1" customHeight="1">
      <c r="A846" s="13"/>
      <c r="B846" s="13"/>
      <c r="C846" s="984"/>
      <c r="D846" s="1841"/>
      <c r="E846" s="1841"/>
      <c r="F846" s="1841"/>
      <c r="G846" s="3"/>
      <c r="I846" s="490"/>
    </row>
    <row r="847" spans="1:9" ht="12.75" hidden="1" customHeight="1">
      <c r="A847" s="13"/>
      <c r="B847" s="13"/>
      <c r="C847" s="984"/>
      <c r="D847" s="1841"/>
      <c r="E847" s="1841"/>
      <c r="F847" s="1841"/>
      <c r="G847" s="3"/>
      <c r="I847" s="490"/>
    </row>
    <row r="848" spans="1:9" ht="12.75" hidden="1" customHeight="1">
      <c r="A848" s="13"/>
      <c r="B848" s="13"/>
      <c r="C848" s="984"/>
      <c r="D848" s="1841"/>
      <c r="E848" s="1841"/>
      <c r="F848" s="1841"/>
      <c r="G848" s="3"/>
      <c r="I848" s="490"/>
    </row>
    <row r="849" spans="1:9" ht="12.75" hidden="1" customHeight="1">
      <c r="A849" s="13"/>
      <c r="B849" s="13"/>
      <c r="C849" s="984"/>
      <c r="D849" s="1841"/>
      <c r="E849" s="1841"/>
      <c r="F849" s="1841"/>
      <c r="G849" s="3"/>
      <c r="I849" s="490"/>
    </row>
    <row r="850" spans="1:9" ht="12.75" hidden="1" customHeight="1">
      <c r="A850" s="13"/>
      <c r="B850" s="13"/>
      <c r="C850" s="984"/>
      <c r="D850" s="1841"/>
      <c r="E850" s="1841"/>
      <c r="F850" s="1841"/>
      <c r="G850" s="3"/>
      <c r="I850" s="490"/>
    </row>
    <row r="851" spans="1:9" ht="12.75" hidden="1" customHeight="1">
      <c r="A851" s="13"/>
      <c r="B851" s="13"/>
      <c r="C851" s="984"/>
      <c r="D851" s="1841"/>
      <c r="E851" s="1841"/>
      <c r="F851" s="1841"/>
      <c r="G851" s="3"/>
      <c r="I851" s="490"/>
    </row>
    <row r="852" spans="1:9" ht="12.75" hidden="1" customHeight="1">
      <c r="A852" s="13"/>
      <c r="B852" s="13"/>
      <c r="C852" s="984"/>
      <c r="D852" s="986"/>
      <c r="E852" s="3"/>
      <c r="F852" s="3"/>
      <c r="G852" s="3"/>
      <c r="I852" s="490"/>
    </row>
    <row r="853" spans="1:9" ht="12.75" customHeight="1">
      <c r="A853" s="175"/>
      <c r="B853" s="485" t="s">
        <v>2717</v>
      </c>
      <c r="C853" s="984"/>
      <c r="D853" s="1456" t="s">
        <v>1754</v>
      </c>
      <c r="E853" s="1456"/>
      <c r="F853" s="1456"/>
      <c r="G853" s="3"/>
      <c r="I853" s="490" t="s">
        <v>1856</v>
      </c>
    </row>
    <row r="854" spans="1:9" ht="12.75" customHeight="1">
      <c r="A854" s="175"/>
      <c r="B854" s="175"/>
      <c r="C854" s="984"/>
      <c r="D854" s="1456"/>
      <c r="E854" s="1456"/>
      <c r="F854" s="1456"/>
      <c r="G854" s="3"/>
      <c r="I854" s="490"/>
    </row>
    <row r="855" spans="1:9" ht="12.75" customHeight="1">
      <c r="A855" s="175"/>
      <c r="B855" s="175"/>
      <c r="C855" s="984"/>
      <c r="D855" s="1456"/>
      <c r="E855" s="1456"/>
      <c r="F855" s="1456"/>
      <c r="G855" s="3"/>
      <c r="I855" s="490"/>
    </row>
    <row r="856" spans="1:9" ht="12.75" customHeight="1">
      <c r="A856" s="175"/>
      <c r="B856" s="175"/>
      <c r="C856" s="984"/>
      <c r="D856" s="118"/>
      <c r="E856" s="3"/>
      <c r="F856" s="3"/>
      <c r="G856" s="3"/>
      <c r="I856" s="490"/>
    </row>
    <row r="857" spans="1:9" ht="12.75" customHeight="1">
      <c r="A857" s="987"/>
      <c r="B857" s="485" t="s">
        <v>2688</v>
      </c>
      <c r="C857" s="984"/>
      <c r="D857" s="1840" t="s">
        <v>1755</v>
      </c>
      <c r="E857" s="1840"/>
      <c r="F857" s="1840"/>
      <c r="G857" s="3"/>
      <c r="I857" s="490"/>
    </row>
    <row r="858" spans="1:9" ht="12.75" customHeight="1">
      <c r="A858" s="354"/>
      <c r="B858" s="987"/>
      <c r="C858" s="984"/>
      <c r="D858" s="1840"/>
      <c r="E858" s="1840"/>
      <c r="F858" s="1840"/>
      <c r="G858" s="3"/>
      <c r="I858" s="490"/>
    </row>
    <row r="859" spans="1:9" ht="12.75" customHeight="1">
      <c r="A859" s="175"/>
      <c r="B859" s="354"/>
      <c r="C859" s="984"/>
      <c r="D859" s="1456" t="s">
        <v>2026</v>
      </c>
      <c r="E859" s="1456"/>
      <c r="F859" s="1456"/>
      <c r="G859" s="3"/>
      <c r="I859" s="490"/>
    </row>
    <row r="860" spans="1:9" ht="12.75" customHeight="1">
      <c r="A860" s="175"/>
      <c r="B860" s="175"/>
      <c r="C860" s="984"/>
      <c r="D860" s="1456"/>
      <c r="E860" s="1456"/>
      <c r="F860" s="1456"/>
      <c r="G860" s="3"/>
      <c r="I860" s="490"/>
    </row>
    <row r="861" spans="1:9" ht="12.75" customHeight="1">
      <c r="A861" s="175"/>
      <c r="B861" s="175"/>
      <c r="C861" s="984"/>
      <c r="D861" s="1456"/>
      <c r="E861" s="1456"/>
      <c r="F861" s="1456"/>
      <c r="G861" s="3"/>
      <c r="I861" s="490"/>
    </row>
    <row r="862" spans="1:9" ht="12.75" customHeight="1">
      <c r="A862" s="175"/>
      <c r="B862" s="175"/>
      <c r="C862" s="984"/>
      <c r="D862" s="1456"/>
      <c r="E862" s="1456"/>
      <c r="F862" s="1456"/>
      <c r="G862" s="3"/>
      <c r="I862" s="490"/>
    </row>
    <row r="863" spans="1:9" ht="12.75" customHeight="1">
      <c r="A863" s="175"/>
      <c r="B863" s="175"/>
      <c r="C863" s="984"/>
      <c r="D863" s="1456"/>
      <c r="E863" s="1456"/>
      <c r="F863" s="1456"/>
      <c r="G863" s="3"/>
      <c r="I863" s="490"/>
    </row>
    <row r="864" spans="1:9" ht="12.75" customHeight="1">
      <c r="A864" s="175"/>
      <c r="B864" s="175"/>
      <c r="C864" s="984"/>
      <c r="D864" s="1456"/>
      <c r="E864" s="1456"/>
      <c r="F864" s="1456"/>
      <c r="G864" s="3"/>
      <c r="I864" s="490"/>
    </row>
    <row r="865" spans="1:9" ht="12.75" customHeight="1">
      <c r="A865" s="175"/>
      <c r="B865" s="175"/>
      <c r="C865" s="984"/>
      <c r="D865" s="118"/>
      <c r="E865" s="3"/>
      <c r="F865" s="3"/>
      <c r="G865" s="3"/>
      <c r="I865" s="490"/>
    </row>
    <row r="866" spans="1:9" ht="12.75" customHeight="1">
      <c r="A866" s="175"/>
      <c r="B866" s="485" t="s">
        <v>2688</v>
      </c>
      <c r="C866" s="984"/>
      <c r="D866" s="1456" t="s">
        <v>1756</v>
      </c>
      <c r="E866" s="1456"/>
      <c r="F866" s="1456"/>
      <c r="G866" s="3"/>
      <c r="I866" s="490" t="s">
        <v>1854</v>
      </c>
    </row>
    <row r="867" spans="1:9" ht="12.75" customHeight="1">
      <c r="A867" s="175"/>
      <c r="B867" s="175"/>
      <c r="C867" s="984"/>
      <c r="D867" s="1456" t="s">
        <v>1757</v>
      </c>
      <c r="E867" s="1456"/>
      <c r="F867" s="1456"/>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2688</v>
      </c>
      <c r="C870" s="984"/>
      <c r="D870" s="1456" t="s">
        <v>1758</v>
      </c>
      <c r="E870" s="1456"/>
      <c r="F870" s="1456"/>
      <c r="G870" s="3"/>
      <c r="I870" s="490" t="s">
        <v>1857</v>
      </c>
    </row>
    <row r="871" spans="1:9" ht="12.75" customHeight="1">
      <c r="A871" s="175"/>
      <c r="B871" s="175"/>
      <c r="C871" s="984"/>
      <c r="D871" s="1456"/>
      <c r="E871" s="1456"/>
      <c r="F871" s="1456"/>
      <c r="G871" s="3"/>
      <c r="I871" s="490"/>
    </row>
    <row r="872" spans="1:9" ht="12.75" customHeight="1">
      <c r="A872" s="175"/>
      <c r="B872" s="175"/>
      <c r="C872" s="984"/>
      <c r="D872" s="1456"/>
      <c r="E872" s="1456"/>
      <c r="F872" s="1456"/>
      <c r="G872" s="3"/>
      <c r="I872" s="490"/>
    </row>
    <row r="873" spans="1:9" ht="12.75" customHeight="1">
      <c r="A873" s="175"/>
      <c r="B873" s="175"/>
      <c r="C873" s="984"/>
      <c r="D873" s="1456"/>
      <c r="E873" s="1456"/>
      <c r="F873" s="1456"/>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23" t="s">
        <v>1792</v>
      </c>
      <c r="E877" s="1823"/>
      <c r="F877" s="1823"/>
      <c r="G877" s="983"/>
      <c r="I877" s="490"/>
    </row>
    <row r="878" spans="1:9" ht="12.75" customHeight="1">
      <c r="A878" s="354"/>
      <c r="B878" s="354"/>
      <c r="C878" s="174"/>
      <c r="D878" s="1839" t="s">
        <v>1760</v>
      </c>
      <c r="E878" s="1839"/>
      <c r="F878" s="1839"/>
      <c r="G878" s="983"/>
      <c r="I878" s="490"/>
    </row>
    <row r="879" spans="1:9" ht="12.75" customHeight="1">
      <c r="A879" s="354"/>
      <c r="B879" s="354"/>
      <c r="C879" s="174"/>
      <c r="D879" s="990"/>
      <c r="E879" s="990"/>
      <c r="F879" s="990"/>
      <c r="G879" s="983"/>
      <c r="I879" s="490"/>
    </row>
    <row r="880" spans="1:9" ht="12.75" customHeight="1">
      <c r="A880" s="175"/>
      <c r="B880" s="485" t="s">
        <v>2717</v>
      </c>
      <c r="C880" s="354"/>
      <c r="D880" s="1824" t="s">
        <v>1761</v>
      </c>
      <c r="E880" s="1824"/>
      <c r="F880" s="1824"/>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2717</v>
      </c>
      <c r="C883" s="354"/>
      <c r="D883" s="1456" t="s">
        <v>1762</v>
      </c>
      <c r="E883" s="1846"/>
      <c r="F883" s="1846"/>
      <c r="G883" s="3"/>
      <c r="I883" s="490" t="s">
        <v>1857</v>
      </c>
    </row>
    <row r="884" spans="1:9" ht="12.75" customHeight="1">
      <c r="A884" s="354"/>
      <c r="B884" s="354"/>
      <c r="C884" s="354"/>
      <c r="D884" s="1846"/>
      <c r="E884" s="1846"/>
      <c r="F884" s="1846"/>
      <c r="G884" s="3"/>
      <c r="I884" s="490"/>
    </row>
    <row r="885" spans="1:9" ht="12.75" customHeight="1">
      <c r="A885" s="354"/>
      <c r="B885" s="354"/>
      <c r="C885" s="354"/>
      <c r="D885" s="118"/>
      <c r="E885" s="3"/>
      <c r="F885" s="3"/>
      <c r="G885" s="3"/>
      <c r="I885" s="490"/>
    </row>
    <row r="886" spans="1:9" ht="12.75" customHeight="1">
      <c r="A886" s="354"/>
      <c r="B886" s="485" t="s">
        <v>2688</v>
      </c>
      <c r="C886" s="354"/>
      <c r="D886" s="1847" t="s">
        <v>1763</v>
      </c>
      <c r="E886" s="1847"/>
      <c r="F886" s="1847"/>
      <c r="G886" s="983"/>
      <c r="I886" s="490"/>
    </row>
    <row r="887" spans="1:9" ht="12.75" customHeight="1">
      <c r="A887" s="354"/>
      <c r="B887" s="991"/>
      <c r="C887" s="354"/>
      <c r="D887" s="1847"/>
      <c r="E887" s="1847"/>
      <c r="F887" s="1847"/>
      <c r="G887" s="983"/>
      <c r="I887" s="490"/>
    </row>
    <row r="888" spans="1:9" ht="12.75" customHeight="1">
      <c r="A888" s="175"/>
      <c r="B888"/>
      <c r="C888" s="354"/>
      <c r="D888" s="1456" t="s">
        <v>2026</v>
      </c>
      <c r="E888" s="1456"/>
      <c r="F888" s="1456"/>
      <c r="G888" s="983"/>
      <c r="I888" s="490"/>
    </row>
    <row r="889" spans="1:9" ht="12.75" customHeight="1">
      <c r="A889" s="175"/>
      <c r="B889" s="175"/>
      <c r="C889" s="354"/>
      <c r="D889" s="1456"/>
      <c r="E889" s="1456"/>
      <c r="F889" s="1456"/>
      <c r="G889" s="983"/>
      <c r="I889" s="490"/>
    </row>
    <row r="890" spans="1:9" ht="12.75" customHeight="1">
      <c r="A890" s="175"/>
      <c r="B890" s="175"/>
      <c r="C890" s="354"/>
      <c r="D890" s="1456"/>
      <c r="E890" s="1456"/>
      <c r="F890" s="1456"/>
      <c r="G890" s="983"/>
      <c r="I890" s="490"/>
    </row>
    <row r="891" spans="1:9" ht="12.75" customHeight="1">
      <c r="A891" s="175"/>
      <c r="B891" s="175"/>
      <c r="C891" s="354"/>
      <c r="D891" s="1456"/>
      <c r="E891" s="1456"/>
      <c r="F891" s="1456"/>
      <c r="G891" s="983"/>
      <c r="I891" s="490"/>
    </row>
    <row r="892" spans="1:9" ht="12.75" customHeight="1">
      <c r="A892" s="175"/>
      <c r="B892" s="175"/>
      <c r="C892" s="354"/>
      <c r="D892" s="1456"/>
      <c r="E892" s="1456"/>
      <c r="F892" s="1456"/>
      <c r="G892" s="983"/>
      <c r="I892" s="490"/>
    </row>
    <row r="893" spans="1:9" ht="12.75" customHeight="1">
      <c r="A893" s="175"/>
      <c r="B893" s="175"/>
      <c r="C893" s="354"/>
      <c r="D893" s="1456"/>
      <c r="E893" s="1456"/>
      <c r="F893" s="1456"/>
      <c r="G893" s="983"/>
      <c r="I893" s="490"/>
    </row>
    <row r="894" spans="1:9" ht="12.75" customHeight="1">
      <c r="A894" s="175"/>
      <c r="B894" s="175"/>
      <c r="C894" s="354"/>
      <c r="D894" s="118"/>
      <c r="E894" s="983"/>
      <c r="F894" s="983"/>
      <c r="G894" s="983"/>
      <c r="I894" s="490"/>
    </row>
    <row r="895" spans="1:9" ht="12.75" customHeight="1">
      <c r="A895" s="175"/>
      <c r="B895" s="485" t="s">
        <v>2688</v>
      </c>
      <c r="C895" s="354"/>
      <c r="D895" s="1815" t="s">
        <v>1756</v>
      </c>
      <c r="E895" s="1815"/>
      <c r="F895" s="1815"/>
      <c r="G895" s="983"/>
      <c r="I895" s="490"/>
    </row>
    <row r="896" spans="1:9" ht="12.75" customHeight="1">
      <c r="A896" s="175"/>
      <c r="B896" s="175"/>
      <c r="C896" s="354"/>
      <c r="D896" s="1815" t="s">
        <v>1757</v>
      </c>
      <c r="E896" s="1815"/>
      <c r="F896" s="1815"/>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2688</v>
      </c>
      <c r="C899" s="354"/>
      <c r="D899" s="1456" t="s">
        <v>1758</v>
      </c>
      <c r="E899" s="1456"/>
      <c r="F899" s="1456"/>
      <c r="G899" s="983"/>
      <c r="I899" s="490"/>
    </row>
    <row r="900" spans="1:9" ht="12.75" customHeight="1">
      <c r="A900" s="175"/>
      <c r="B900" s="175"/>
      <c r="C900" s="354"/>
      <c r="D900" s="1456"/>
      <c r="E900" s="1456"/>
      <c r="F900" s="1456"/>
      <c r="G900" s="983"/>
      <c r="I900" s="490"/>
    </row>
    <row r="901" spans="1:9" ht="12.75" customHeight="1">
      <c r="A901" s="175"/>
      <c r="B901" s="175"/>
      <c r="C901" s="354"/>
      <c r="D901" s="1456"/>
      <c r="E901" s="1456"/>
      <c r="F901" s="1456"/>
      <c r="G901" s="983"/>
      <c r="I901" s="490"/>
    </row>
    <row r="902" spans="1:9" ht="12.75" customHeight="1">
      <c r="A902" s="175"/>
      <c r="B902" s="175"/>
      <c r="C902" s="354"/>
      <c r="D902" s="1456"/>
      <c r="E902" s="1456"/>
      <c r="F902" s="1456"/>
      <c r="G902" s="983"/>
      <c r="I902" s="490"/>
    </row>
    <row r="903" spans="1:9" ht="12.75" customHeight="1">
      <c r="A903" s="118"/>
      <c r="B903" s="118"/>
      <c r="C903" s="984"/>
      <c r="D903" s="983"/>
      <c r="E903" s="983"/>
      <c r="F903" s="983"/>
      <c r="G903" s="983"/>
      <c r="I903" s="490"/>
    </row>
    <row r="904" spans="1:9" ht="12.75" customHeight="1">
      <c r="A904" s="1820" t="s">
        <v>1793</v>
      </c>
      <c r="B904" s="1820"/>
      <c r="C904" s="1820"/>
      <c r="D904" s="1820"/>
      <c r="E904" s="1820"/>
      <c r="F904" s="1820"/>
      <c r="G904" s="1820"/>
      <c r="H904" s="1023"/>
      <c r="I904" s="1147"/>
    </row>
    <row r="905" spans="1:9" ht="12.75" customHeight="1">
      <c r="A905" s="57"/>
      <c r="B905" s="57"/>
      <c r="C905" s="57"/>
      <c r="D905" s="57"/>
      <c r="E905" s="57"/>
      <c r="F905" s="57"/>
      <c r="G905" s="57"/>
      <c r="I905" s="490"/>
    </row>
    <row r="906" spans="1:9" ht="12.75" customHeight="1">
      <c r="A906" s="57"/>
      <c r="B906" s="57"/>
      <c r="C906" s="57"/>
      <c r="D906" s="1818" t="s">
        <v>1799</v>
      </c>
      <c r="E906" s="1818"/>
      <c r="F906" s="1818"/>
      <c r="G906" s="57"/>
      <c r="I906" s="490"/>
    </row>
    <row r="907" spans="1:9" ht="12.75" customHeight="1">
      <c r="A907" s="57"/>
      <c r="B907" s="57"/>
      <c r="C907" s="57"/>
      <c r="D907" s="976"/>
      <c r="E907" s="976"/>
      <c r="F907" s="976"/>
      <c r="G907" s="57"/>
      <c r="I907" s="490"/>
    </row>
    <row r="908" spans="1:9" ht="12.75" customHeight="1">
      <c r="A908" s="57"/>
      <c r="B908" s="485" t="s">
        <v>2717</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18" t="s">
        <v>1794</v>
      </c>
      <c r="E910" s="1818"/>
      <c r="F910" s="1818"/>
      <c r="G910" s="983"/>
      <c r="I910" s="490"/>
    </row>
    <row r="911" spans="1:9" ht="12.75" customHeight="1">
      <c r="A911" s="172"/>
      <c r="B911" s="172"/>
      <c r="C911" s="172"/>
      <c r="D911" s="1824" t="s">
        <v>1764</v>
      </c>
      <c r="E911" s="1824"/>
      <c r="F911" s="1824"/>
      <c r="G911" s="983"/>
      <c r="I911" s="490"/>
    </row>
    <row r="912" spans="1:9" ht="12.75" customHeight="1">
      <c r="A912" s="984"/>
      <c r="B912" s="984"/>
      <c r="C912" s="984"/>
      <c r="D912" s="2"/>
      <c r="E912" s="983"/>
      <c r="F912" s="983"/>
      <c r="G912" s="983"/>
      <c r="I912" s="490"/>
    </row>
    <row r="913" spans="1:9" ht="12.75" customHeight="1">
      <c r="A913" s="175"/>
      <c r="B913" s="485" t="s">
        <v>2717</v>
      </c>
      <c r="C913" s="354"/>
      <c r="D913" s="1456" t="s">
        <v>1768</v>
      </c>
      <c r="E913" s="1456"/>
      <c r="F913" s="1456"/>
      <c r="G913" s="3"/>
      <c r="I913" s="490"/>
    </row>
    <row r="914" spans="1:9" ht="12.75" customHeight="1">
      <c r="A914" s="354"/>
      <c r="B914" s="354"/>
      <c r="C914" s="354"/>
      <c r="D914" s="1456"/>
      <c r="E914" s="1456"/>
      <c r="F914" s="1456"/>
      <c r="G914" s="3"/>
      <c r="I914" s="490"/>
    </row>
    <row r="915" spans="1:9" ht="12.75" customHeight="1">
      <c r="A915" s="172"/>
      <c r="B915" s="172"/>
      <c r="C915" s="172"/>
      <c r="D915" s="1456" t="s">
        <v>1767</v>
      </c>
      <c r="E915" s="1456"/>
      <c r="F915" s="1456"/>
      <c r="G915" s="983"/>
      <c r="I915" s="490"/>
    </row>
    <row r="916" spans="1:9" ht="12.75" customHeight="1">
      <c r="A916" s="172"/>
      <c r="B916" s="172"/>
      <c r="C916" s="172"/>
      <c r="D916" s="1456"/>
      <c r="E916" s="1456"/>
      <c r="F916" s="1456"/>
      <c r="G916" s="983"/>
      <c r="I916" s="490"/>
    </row>
    <row r="917" spans="1:9" ht="12.75" customHeight="1">
      <c r="A917" s="172"/>
      <c r="B917" s="172"/>
      <c r="C917" s="172"/>
      <c r="D917" s="3"/>
      <c r="E917" s="3"/>
      <c r="F917" s="983"/>
      <c r="G917" s="983"/>
      <c r="I917" s="490"/>
    </row>
    <row r="918" spans="1:9" ht="12.75" customHeight="1">
      <c r="A918" s="175"/>
      <c r="B918" s="485" t="s">
        <v>2717</v>
      </c>
      <c r="C918" s="174"/>
      <c r="D918" s="1807" t="s">
        <v>1765</v>
      </c>
      <c r="E918" s="1807"/>
      <c r="F918" s="1807"/>
      <c r="G918" s="983"/>
      <c r="I918" s="490"/>
    </row>
    <row r="919" spans="1:9" ht="12.75" customHeight="1">
      <c r="A919" s="175"/>
      <c r="B919" s="175"/>
      <c r="C919" s="174"/>
      <c r="D919" s="1807"/>
      <c r="E919" s="1807"/>
      <c r="F919" s="1807"/>
      <c r="G919" s="983"/>
      <c r="I919" s="490"/>
    </row>
    <row r="920" spans="1:9" ht="12.75" customHeight="1">
      <c r="A920" s="175"/>
      <c r="B920" s="175"/>
      <c r="C920" s="174"/>
      <c r="D920" s="1807"/>
      <c r="E920" s="1807"/>
      <c r="F920" s="1807"/>
      <c r="G920" s="983"/>
      <c r="I920" s="490"/>
    </row>
    <row r="921" spans="1:9" ht="12.75" customHeight="1">
      <c r="A921" s="175"/>
      <c r="B921" s="175"/>
      <c r="C921" s="174"/>
      <c r="D921" s="1807"/>
      <c r="E921" s="1807"/>
      <c r="F921" s="1807"/>
      <c r="G921" s="983"/>
      <c r="I921" s="490"/>
    </row>
    <row r="922" spans="1:9" ht="12.75" customHeight="1">
      <c r="A922" s="175"/>
      <c r="B922" s="175"/>
      <c r="C922" s="174"/>
      <c r="D922" s="1807"/>
      <c r="E922" s="1807"/>
      <c r="F922" s="1807"/>
      <c r="G922" s="983"/>
      <c r="I922" s="490"/>
    </row>
    <row r="923" spans="1:9" ht="12.75" customHeight="1">
      <c r="A923" s="174"/>
      <c r="B923" s="174"/>
      <c r="C923" s="174"/>
      <c r="D923" s="1807"/>
      <c r="E923" s="1807"/>
      <c r="F923" s="1807"/>
      <c r="G923" s="983"/>
      <c r="I923" s="490"/>
    </row>
    <row r="924" spans="1:9" ht="12.75" customHeight="1">
      <c r="A924" s="174"/>
      <c r="B924" s="174"/>
      <c r="C924" s="174"/>
      <c r="D924" s="1807"/>
      <c r="E924" s="1807"/>
      <c r="F924" s="1807"/>
      <c r="G924" s="983"/>
      <c r="I924" s="490"/>
    </row>
    <row r="925" spans="1:9" ht="12.75" customHeight="1">
      <c r="A925" s="174"/>
      <c r="B925" s="174"/>
      <c r="C925" s="174"/>
      <c r="D925" s="1807"/>
      <c r="E925" s="1807"/>
      <c r="F925" s="1807"/>
      <c r="G925" s="983"/>
      <c r="I925" s="490"/>
    </row>
    <row r="926" spans="1:9" ht="12.75" customHeight="1">
      <c r="A926" s="174"/>
      <c r="B926" s="174"/>
      <c r="C926" s="174"/>
      <c r="D926" s="335"/>
      <c r="E926" s="335"/>
      <c r="F926" s="335"/>
      <c r="G926" s="983"/>
      <c r="I926" s="490"/>
    </row>
    <row r="927" spans="1:9" ht="12.75" customHeight="1">
      <c r="A927" s="984"/>
      <c r="B927" s="485" t="s">
        <v>2688</v>
      </c>
      <c r="C927" s="984"/>
      <c r="D927" s="1456" t="s">
        <v>1769</v>
      </c>
      <c r="E927" s="1456"/>
      <c r="F927" s="1456"/>
      <c r="G927" s="983"/>
      <c r="I927" s="490"/>
    </row>
    <row r="928" spans="1:9" ht="12.75" customHeight="1">
      <c r="A928" s="984"/>
      <c r="B928" s="984"/>
      <c r="C928" s="984"/>
      <c r="D928" s="1456"/>
      <c r="E928" s="1456"/>
      <c r="F928" s="1456"/>
      <c r="G928" s="983"/>
      <c r="I928" s="490"/>
    </row>
    <row r="929" spans="1:9" ht="12.75" customHeight="1">
      <c r="A929" s="984"/>
      <c r="B929" s="984"/>
      <c r="C929" s="984"/>
      <c r="D929" s="983"/>
      <c r="E929" s="983"/>
      <c r="F929" s="983"/>
      <c r="G929" s="983"/>
      <c r="I929" s="490"/>
    </row>
    <row r="930" spans="1:9" ht="12.75" customHeight="1">
      <c r="A930" s="984"/>
      <c r="B930" s="485" t="s">
        <v>2688</v>
      </c>
      <c r="C930" s="984"/>
      <c r="D930" s="1822" t="s">
        <v>1770</v>
      </c>
      <c r="E930" s="1822"/>
      <c r="F930" s="1822"/>
      <c r="G930" s="983"/>
      <c r="I930" s="490"/>
    </row>
    <row r="931" spans="1:9" ht="12.75" customHeight="1">
      <c r="A931" s="984"/>
      <c r="B931" s="984"/>
      <c r="C931" s="984"/>
      <c r="D931" s="1822"/>
      <c r="E931" s="1822"/>
      <c r="F931" s="1822"/>
      <c r="G931" s="983"/>
      <c r="I931" s="490"/>
    </row>
    <row r="932" spans="1:9" ht="12.75" customHeight="1">
      <c r="A932" s="984"/>
      <c r="B932" s="984"/>
      <c r="C932" s="984"/>
      <c r="D932" s="1822"/>
      <c r="E932" s="1822"/>
      <c r="F932" s="1822"/>
      <c r="G932" s="983"/>
      <c r="I932" s="490"/>
    </row>
    <row r="933" spans="1:9" ht="12.75" customHeight="1">
      <c r="A933" s="984"/>
      <c r="B933" s="984"/>
      <c r="C933" s="984"/>
      <c r="D933" s="1822"/>
      <c r="E933" s="1822"/>
      <c r="F933" s="1822"/>
      <c r="G933" s="983"/>
      <c r="I933" s="490"/>
    </row>
    <row r="934" spans="1:9" ht="12.75" customHeight="1">
      <c r="A934" s="984"/>
      <c r="B934" s="984"/>
      <c r="C934" s="984"/>
      <c r="D934" s="118"/>
      <c r="E934" s="983"/>
      <c r="F934" s="983"/>
      <c r="G934" s="983"/>
      <c r="I934" s="490"/>
    </row>
    <row r="935" spans="1:9" ht="12.75" customHeight="1">
      <c r="A935" s="984"/>
      <c r="B935" s="485" t="s">
        <v>2688</v>
      </c>
      <c r="C935" s="984"/>
      <c r="D935" s="1824" t="s">
        <v>2027</v>
      </c>
      <c r="E935" s="1824"/>
      <c r="F935" s="1824"/>
      <c r="G935" s="983"/>
      <c r="I935" s="490"/>
    </row>
    <row r="936" spans="1:9" ht="12.75" customHeight="1">
      <c r="A936" s="984"/>
      <c r="B936" s="984"/>
      <c r="C936" s="984"/>
      <c r="D936" s="118"/>
      <c r="E936" s="983"/>
      <c r="F936" s="983"/>
      <c r="G936" s="983"/>
      <c r="I936" s="490"/>
    </row>
    <row r="937" spans="1:9" ht="12.75" customHeight="1">
      <c r="A937" s="984"/>
      <c r="B937" s="485" t="s">
        <v>2688</v>
      </c>
      <c r="C937" s="984"/>
      <c r="D937" s="1824" t="s">
        <v>2028</v>
      </c>
      <c r="E937" s="1824"/>
      <c r="F937" s="1824"/>
      <c r="G937" s="983"/>
      <c r="I937" s="490"/>
    </row>
    <row r="938" spans="1:9" ht="12.75" customHeight="1">
      <c r="A938" s="174"/>
      <c r="B938" s="174"/>
      <c r="C938" s="174"/>
      <c r="D938" s="2"/>
      <c r="E938" s="3"/>
      <c r="F938" s="983"/>
      <c r="G938" s="983"/>
      <c r="I938" s="490"/>
    </row>
    <row r="939" spans="1:9" ht="12.75" customHeight="1">
      <c r="A939" s="992"/>
      <c r="B939" s="485" t="s">
        <v>2688</v>
      </c>
      <c r="C939" s="993"/>
      <c r="D939" s="1807" t="s">
        <v>1766</v>
      </c>
      <c r="E939" s="1807"/>
      <c r="F939" s="1807"/>
      <c r="G939" s="994"/>
      <c r="I939" s="490"/>
    </row>
    <row r="940" spans="1:9" ht="12.75" customHeight="1">
      <c r="A940" s="992"/>
      <c r="B940" s="992"/>
      <c r="C940" s="993"/>
      <c r="D940" s="1807"/>
      <c r="E940" s="1807"/>
      <c r="F940" s="1807"/>
      <c r="G940" s="994"/>
      <c r="I940" s="490"/>
    </row>
    <row r="941" spans="1:9" ht="12.75" customHeight="1">
      <c r="A941" s="992"/>
      <c r="B941" s="992"/>
      <c r="C941" s="993"/>
      <c r="D941" s="1807"/>
      <c r="E941" s="1807"/>
      <c r="F941" s="1807"/>
      <c r="G941" s="994"/>
      <c r="I941" s="490"/>
    </row>
    <row r="942" spans="1:9" ht="12.75" customHeight="1">
      <c r="A942" s="992"/>
      <c r="B942" s="992"/>
      <c r="C942" s="993"/>
      <c r="D942" s="1807"/>
      <c r="E942" s="1807"/>
      <c r="F942" s="1807"/>
      <c r="G942" s="994"/>
      <c r="I942" s="490"/>
    </row>
    <row r="943" spans="1:9" ht="12.75" customHeight="1">
      <c r="A943" s="992"/>
      <c r="B943" s="992"/>
      <c r="C943" s="993"/>
      <c r="D943" s="1807"/>
      <c r="E943" s="1807"/>
      <c r="F943" s="1807"/>
      <c r="G943" s="994"/>
      <c r="I943" s="490"/>
    </row>
    <row r="944" spans="1:9" ht="12.75" customHeight="1">
      <c r="A944" s="992"/>
      <c r="B944" s="992"/>
      <c r="C944" s="993"/>
      <c r="D944" s="1807"/>
      <c r="E944" s="1807"/>
      <c r="F944" s="1807"/>
      <c r="G944" s="994"/>
      <c r="I944" s="490"/>
    </row>
    <row r="945" spans="1:9" ht="12.75" customHeight="1">
      <c r="A945" s="992"/>
      <c r="B945" s="992"/>
      <c r="C945" s="993"/>
      <c r="D945" s="1807"/>
      <c r="E945" s="1807"/>
      <c r="F945" s="1807"/>
      <c r="G945" s="994"/>
      <c r="I945" s="490"/>
    </row>
    <row r="946" spans="1:9" ht="12.75" customHeight="1">
      <c r="A946" s="992"/>
      <c r="B946" s="992"/>
      <c r="C946" s="993"/>
      <c r="D946" s="1807"/>
      <c r="E946" s="1807"/>
      <c r="F946" s="1807"/>
      <c r="G946" s="994"/>
      <c r="I946" s="490"/>
    </row>
    <row r="947" spans="1:9" ht="12.75" customHeight="1">
      <c r="A947" s="992"/>
      <c r="B947" s="992"/>
      <c r="C947" s="993"/>
      <c r="D947" s="1807"/>
      <c r="E947" s="1807"/>
      <c r="F947" s="1807"/>
      <c r="G947" s="994"/>
      <c r="I947" s="490"/>
    </row>
    <row r="948" spans="1:9" ht="12.75" customHeight="1">
      <c r="A948" s="174"/>
      <c r="B948" s="174"/>
      <c r="C948" s="174"/>
      <c r="D948" s="2"/>
      <c r="E948" s="3"/>
      <c r="F948" s="983"/>
      <c r="G948" s="983"/>
      <c r="I948" s="490"/>
    </row>
    <row r="949" spans="1:9" ht="12.75" customHeight="1">
      <c r="A949" s="175"/>
      <c r="B949" s="485" t="s">
        <v>2717</v>
      </c>
      <c r="C949" s="174"/>
      <c r="D949" s="1830" t="s">
        <v>1860</v>
      </c>
      <c r="E949" s="1830"/>
      <c r="F949" s="1830"/>
      <c r="G949" s="983"/>
      <c r="I949" s="490"/>
    </row>
    <row r="950" spans="1:9" ht="12.75" customHeight="1">
      <c r="A950" s="175"/>
      <c r="B950" s="175"/>
      <c r="C950" s="174"/>
      <c r="D950" s="1830"/>
      <c r="E950" s="1830"/>
      <c r="F950" s="1830"/>
      <c r="G950" s="983"/>
      <c r="I950" s="490"/>
    </row>
    <row r="951" spans="1:9" ht="12.75" customHeight="1">
      <c r="A951" s="175"/>
      <c r="B951" s="175"/>
      <c r="C951" s="174"/>
      <c r="D951" s="1830"/>
      <c r="E951" s="1830"/>
      <c r="F951" s="1830"/>
      <c r="G951" s="983"/>
      <c r="I951" s="490"/>
    </row>
    <row r="952" spans="1:9" ht="12.75" customHeight="1">
      <c r="A952" s="175"/>
      <c r="B952" s="175"/>
      <c r="C952" s="174"/>
      <c r="D952" s="1830"/>
      <c r="E952" s="1830"/>
      <c r="F952" s="1830"/>
      <c r="G952" s="983"/>
      <c r="I952" s="490"/>
    </row>
    <row r="953" spans="1:9" ht="12.75" customHeight="1">
      <c r="A953" s="175"/>
      <c r="B953" s="175"/>
      <c r="C953" s="174"/>
      <c r="D953" s="1830"/>
      <c r="E953" s="1830"/>
      <c r="F953" s="1830"/>
      <c r="G953" s="983"/>
      <c r="I953" s="490"/>
    </row>
    <row r="954" spans="1:9" ht="12.75" customHeight="1">
      <c r="A954" s="175"/>
      <c r="B954" s="175"/>
      <c r="C954" s="174"/>
      <c r="D954" s="1830"/>
      <c r="E954" s="1830"/>
      <c r="F954" s="1830"/>
      <c r="G954" s="983"/>
      <c r="I954" s="490"/>
    </row>
    <row r="955" spans="1:9" ht="12.75" customHeight="1">
      <c r="A955" s="175"/>
      <c r="B955" s="175"/>
      <c r="C955" s="174"/>
      <c r="D955" s="1830"/>
      <c r="E955" s="1830"/>
      <c r="F955" s="1830"/>
      <c r="G955" s="983"/>
      <c r="I955" s="490"/>
    </row>
    <row r="956" spans="1:9" ht="12.75" customHeight="1">
      <c r="A956" s="175"/>
      <c r="B956" s="175"/>
      <c r="C956" s="174"/>
      <c r="D956" s="1021"/>
      <c r="E956" s="1021"/>
      <c r="F956" s="1021"/>
      <c r="G956" s="983"/>
      <c r="I956" s="490"/>
    </row>
    <row r="957" spans="1:9" ht="12.75" customHeight="1">
      <c r="A957" s="175"/>
      <c r="B957" s="485" t="s">
        <v>2717</v>
      </c>
      <c r="C957" s="174"/>
      <c r="D957" s="1806" t="s">
        <v>2092</v>
      </c>
      <c r="E957" s="1806"/>
      <c r="F957" s="1806"/>
      <c r="G957" s="983"/>
      <c r="I957" s="490"/>
    </row>
    <row r="958" spans="1:9" ht="12.75" customHeight="1">
      <c r="A958" s="175"/>
      <c r="B958" s="175"/>
      <c r="C958" s="174"/>
      <c r="D958" s="1806"/>
      <c r="E958" s="1806"/>
      <c r="F958" s="1806"/>
      <c r="G958" s="983"/>
      <c r="I958" s="490"/>
    </row>
    <row r="959" spans="1:9" ht="12.75" customHeight="1">
      <c r="A959" s="175"/>
      <c r="B959" s="175"/>
      <c r="C959" s="174"/>
      <c r="D959" s="1806"/>
      <c r="E959" s="1806"/>
      <c r="F959" s="1806"/>
      <c r="G959" s="983"/>
      <c r="I959" s="490"/>
    </row>
    <row r="960" spans="1:9" ht="12.75" customHeight="1">
      <c r="A960" s="175"/>
      <c r="B960" s="175"/>
      <c r="C960" s="174"/>
      <c r="D960" s="1806"/>
      <c r="E960" s="1806"/>
      <c r="F960" s="1806"/>
      <c r="G960" s="983"/>
      <c r="I960" s="490"/>
    </row>
    <row r="961" spans="1:9" ht="12.75" customHeight="1">
      <c r="A961" s="175"/>
      <c r="B961" s="175"/>
      <c r="C961" s="174"/>
      <c r="D961" s="1806"/>
      <c r="E961" s="1806"/>
      <c r="F961" s="1806"/>
      <c r="G961" s="983"/>
      <c r="I961" s="490"/>
    </row>
    <row r="962" spans="1:9" ht="12.75" customHeight="1">
      <c r="A962" s="175"/>
      <c r="B962" s="175"/>
      <c r="C962" s="174"/>
      <c r="D962" s="1806"/>
      <c r="E962" s="1806"/>
      <c r="F962" s="1806"/>
      <c r="G962" s="983"/>
      <c r="I962" s="490"/>
    </row>
    <row r="963" spans="1:9" ht="12.75" customHeight="1">
      <c r="A963" s="175"/>
      <c r="B963" s="175"/>
      <c r="C963" s="174"/>
      <c r="D963" s="1021"/>
      <c r="E963" s="1021"/>
      <c r="F963" s="1021"/>
      <c r="G963" s="983"/>
      <c r="I963" s="490"/>
    </row>
    <row r="964" spans="1:9" ht="12.75" customHeight="1">
      <c r="A964" s="984"/>
      <c r="B964" s="485" t="s">
        <v>2688</v>
      </c>
      <c r="C964" s="984"/>
      <c r="D964" s="1822" t="s">
        <v>1771</v>
      </c>
      <c r="E964" s="1822"/>
      <c r="F964" s="1822"/>
      <c r="G964" s="983"/>
      <c r="I964" s="490"/>
    </row>
    <row r="965" spans="1:9" ht="12.75" customHeight="1">
      <c r="A965" s="984"/>
      <c r="B965" s="984"/>
      <c r="C965" s="984"/>
      <c r="D965" s="1822"/>
      <c r="E965" s="1822"/>
      <c r="F965" s="1822"/>
      <c r="G965" s="983"/>
      <c r="I965" s="490"/>
    </row>
    <row r="966" spans="1:9" ht="12.75" customHeight="1">
      <c r="A966" s="984"/>
      <c r="B966" s="984"/>
      <c r="C966" s="984"/>
      <c r="D966" s="1822"/>
      <c r="E966" s="1822"/>
      <c r="F966" s="1822"/>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2688</v>
      </c>
      <c r="C969" s="174"/>
      <c r="D969" s="1807" t="s">
        <v>1859</v>
      </c>
      <c r="E969" s="1807"/>
      <c r="F969" s="1807"/>
      <c r="G969" s="983"/>
      <c r="I969" s="490"/>
    </row>
    <row r="970" spans="1:9" ht="12.75" customHeight="1">
      <c r="A970" s="175"/>
      <c r="B970" s="175"/>
      <c r="C970" s="174"/>
      <c r="D970" s="1807"/>
      <c r="E970" s="1807"/>
      <c r="F970" s="1807"/>
      <c r="G970" s="983"/>
      <c r="I970" s="490"/>
    </row>
    <row r="971" spans="1:9" ht="12.75" customHeight="1">
      <c r="A971" s="175"/>
      <c r="B971" s="175"/>
      <c r="C971" s="174"/>
      <c r="D971" s="1807"/>
      <c r="E971" s="1807"/>
      <c r="F971" s="1807"/>
      <c r="G971" s="983"/>
      <c r="I971" s="490"/>
    </row>
    <row r="972" spans="1:9" ht="12.75" customHeight="1">
      <c r="A972" s="175"/>
      <c r="B972" s="175"/>
      <c r="C972" s="174"/>
      <c r="D972" s="1807"/>
      <c r="E972" s="1807"/>
      <c r="F972" s="1807"/>
      <c r="G972" s="983"/>
      <c r="I972" s="490"/>
    </row>
    <row r="973" spans="1:9" ht="12.75" customHeight="1">
      <c r="A973" s="984"/>
      <c r="B973" s="984"/>
      <c r="C973" s="984"/>
      <c r="D973" s="975"/>
      <c r="E973" s="975"/>
      <c r="F973" s="975"/>
      <c r="G973" s="975"/>
      <c r="I973" s="490"/>
    </row>
    <row r="974" spans="1:9" ht="12.75" customHeight="1">
      <c r="A974" s="354"/>
      <c r="B974" s="354"/>
      <c r="C974" s="354"/>
      <c r="D974" s="1823" t="s">
        <v>1772</v>
      </c>
      <c r="E974" s="1823"/>
      <c r="F974" s="1823"/>
      <c r="G974" s="3"/>
      <c r="I974" s="490"/>
    </row>
    <row r="975" spans="1:9" ht="12.75" customHeight="1">
      <c r="A975" s="175"/>
      <c r="B975" s="485" t="s">
        <v>2688</v>
      </c>
      <c r="C975" s="354"/>
      <c r="D975" s="1824" t="s">
        <v>1795</v>
      </c>
      <c r="E975" s="1824"/>
      <c r="F975" s="1824"/>
      <c r="G975" s="3"/>
      <c r="I975" s="490"/>
    </row>
    <row r="976" spans="1:9" ht="12.75" customHeight="1">
      <c r="A976" s="354"/>
      <c r="B976" s="354"/>
      <c r="C976" s="354"/>
      <c r="D976" s="3"/>
      <c r="E976" s="3"/>
      <c r="F976" s="3"/>
      <c r="G976" s="3"/>
      <c r="I976" s="490"/>
    </row>
    <row r="977" spans="1:9" ht="12.75" customHeight="1">
      <c r="A977" s="354"/>
      <c r="B977" s="354"/>
      <c r="C977" s="354"/>
      <c r="D977" s="1823" t="s">
        <v>1773</v>
      </c>
      <c r="E977" s="1823"/>
      <c r="F977" s="1823"/>
      <c r="G977"/>
      <c r="I977" s="490"/>
    </row>
    <row r="978" spans="1:9" ht="12.75" customHeight="1">
      <c r="A978" s="175"/>
      <c r="B978" s="485" t="s">
        <v>2688</v>
      </c>
      <c r="C978" s="354"/>
      <c r="D978" s="1456" t="s">
        <v>2029</v>
      </c>
      <c r="E978" s="1456"/>
      <c r="F978" s="1456"/>
      <c r="G978"/>
      <c r="I978" s="490"/>
    </row>
    <row r="979" spans="1:9" ht="12.75" customHeight="1">
      <c r="A979" s="175"/>
      <c r="B979" s="175"/>
      <c r="C979" s="354"/>
      <c r="D979" s="1456"/>
      <c r="E979" s="1456"/>
      <c r="F979" s="1456"/>
      <c r="G979"/>
      <c r="I979" s="490"/>
    </row>
    <row r="980" spans="1:9" ht="12.75" customHeight="1">
      <c r="A980" s="175"/>
      <c r="B980" s="175"/>
      <c r="C980" s="354"/>
      <c r="D980" s="1456"/>
      <c r="E980" s="1456"/>
      <c r="F980" s="1456"/>
      <c r="G980"/>
      <c r="I980" s="490"/>
    </row>
    <row r="981" spans="1:9" ht="12.75" customHeight="1">
      <c r="A981" s="175"/>
      <c r="B981" s="175"/>
      <c r="C981" s="354"/>
      <c r="D981" s="1456"/>
      <c r="E981" s="1456"/>
      <c r="F981" s="1456"/>
      <c r="G981"/>
      <c r="I981" s="490"/>
    </row>
    <row r="982" spans="1:9" ht="12.75" customHeight="1">
      <c r="A982" s="175"/>
      <c r="B982" s="175"/>
      <c r="C982" s="354"/>
      <c r="D982" s="1456"/>
      <c r="E982" s="1456"/>
      <c r="F982" s="1456"/>
      <c r="G982"/>
      <c r="I982" s="490"/>
    </row>
    <row r="983" spans="1:9" ht="12.75" customHeight="1">
      <c r="A983" s="175"/>
      <c r="B983" s="175"/>
      <c r="C983" s="354"/>
      <c r="D983" s="1456"/>
      <c r="E983" s="1456"/>
      <c r="F983" s="1456"/>
      <c r="G983"/>
      <c r="I983" s="490"/>
    </row>
    <row r="984" spans="1:9" ht="12.75" customHeight="1">
      <c r="A984" s="175"/>
      <c r="B984" s="175"/>
      <c r="C984" s="354"/>
      <c r="D984" s="1456"/>
      <c r="E984" s="1456"/>
      <c r="F984" s="1456"/>
      <c r="G984"/>
      <c r="I984" s="490"/>
    </row>
    <row r="985" spans="1:9" ht="12.75" customHeight="1">
      <c r="A985" s="175"/>
      <c r="B985" s="175"/>
      <c r="C985" s="354"/>
      <c r="D985" s="1456"/>
      <c r="E985" s="1456"/>
      <c r="F985" s="1456"/>
      <c r="G985"/>
      <c r="I985" s="490"/>
    </row>
    <row r="986" spans="1:9" ht="12.75" customHeight="1">
      <c r="A986" s="175"/>
      <c r="B986" s="175"/>
      <c r="C986" s="354"/>
      <c r="D986" s="1456"/>
      <c r="E986" s="1456"/>
      <c r="F986" s="1456"/>
      <c r="G986"/>
      <c r="I986" s="490"/>
    </row>
    <row r="987" spans="1:9" ht="12.75" customHeight="1">
      <c r="A987" s="175"/>
      <c r="B987" s="175"/>
      <c r="C987" s="354"/>
      <c r="D987" s="1456"/>
      <c r="E987" s="1456"/>
      <c r="F987" s="1456"/>
      <c r="G987"/>
      <c r="I987" s="490"/>
    </row>
    <row r="988" spans="1:9" ht="12.75" customHeight="1">
      <c r="A988" s="175"/>
      <c r="B988" s="175"/>
      <c r="C988" s="354"/>
      <c r="D988" s="1456"/>
      <c r="E988" s="1456"/>
      <c r="F988" s="1456"/>
      <c r="G988"/>
      <c r="I988" s="490"/>
    </row>
    <row r="989" spans="1:9" ht="12.75" customHeight="1">
      <c r="A989" s="175"/>
      <c r="B989" s="175"/>
      <c r="C989" s="354"/>
      <c r="D989" s="1456"/>
      <c r="E989" s="1456"/>
      <c r="F989" s="1456"/>
      <c r="G989"/>
      <c r="I989" s="490"/>
    </row>
    <row r="990" spans="1:9" ht="12.75" customHeight="1">
      <c r="A990" s="175"/>
      <c r="B990" s="175"/>
      <c r="C990" s="354"/>
      <c r="D990" s="1456"/>
      <c r="E990" s="1456"/>
      <c r="F990" s="1456"/>
      <c r="G990"/>
      <c r="I990" s="490"/>
    </row>
    <row r="991" spans="1:9" ht="12.75" customHeight="1">
      <c r="A991" s="175"/>
      <c r="B991" s="175"/>
      <c r="C991" s="354"/>
      <c r="D991" s="1456"/>
      <c r="E991" s="1456"/>
      <c r="F991" s="1456"/>
      <c r="G991"/>
      <c r="I991" s="490"/>
    </row>
    <row r="992" spans="1:9" ht="12.75" customHeight="1">
      <c r="A992" s="175"/>
      <c r="B992" s="175"/>
      <c r="C992" s="354"/>
      <c r="D992" s="1456"/>
      <c r="E992" s="1456"/>
      <c r="F992" s="1456"/>
      <c r="G992" s="3"/>
      <c r="I992" s="490"/>
    </row>
    <row r="993" spans="1:9" ht="12.75" customHeight="1">
      <c r="A993" s="354"/>
      <c r="B993" s="354"/>
      <c r="C993" s="354"/>
      <c r="D993" s="3"/>
      <c r="E993" s="3"/>
      <c r="F993" s="3"/>
      <c r="G993" s="3"/>
      <c r="I993" s="490"/>
    </row>
    <row r="994" spans="1:9" ht="12.75" customHeight="1">
      <c r="A994" s="1820" t="s">
        <v>1774</v>
      </c>
      <c r="B994" s="1820"/>
      <c r="C994" s="1820"/>
      <c r="D994" s="1820"/>
      <c r="E994" s="1820"/>
      <c r="F994" s="1820"/>
      <c r="G994" s="1820"/>
      <c r="H994" s="1023"/>
      <c r="I994" s="1147"/>
    </row>
    <row r="995" spans="1:9" ht="12.75" customHeight="1">
      <c r="A995" s="118"/>
      <c r="B995" s="118"/>
      <c r="C995" s="354"/>
      <c r="D995" s="3"/>
      <c r="E995" s="3"/>
      <c r="F995" s="3"/>
      <c r="G995" s="3"/>
      <c r="I995" s="490"/>
    </row>
    <row r="996" spans="1:9" ht="12.75" customHeight="1">
      <c r="A996" s="354"/>
      <c r="B996" s="354"/>
      <c r="C996" s="984"/>
      <c r="D996" s="1823" t="s">
        <v>1796</v>
      </c>
      <c r="E996" s="1823"/>
      <c r="F996" s="1823"/>
      <c r="G996" s="3"/>
      <c r="I996" s="490"/>
    </row>
    <row r="997" spans="1:9" ht="12.75" customHeight="1">
      <c r="A997" s="172"/>
      <c r="B997" s="172"/>
      <c r="C997" s="172"/>
      <c r="D997" s="1824" t="s">
        <v>1775</v>
      </c>
      <c r="E997" s="1824"/>
      <c r="F997" s="1824"/>
      <c r="G997" s="3"/>
      <c r="I997" s="490"/>
    </row>
    <row r="998" spans="1:9" ht="12.75" customHeight="1">
      <c r="A998" s="172"/>
      <c r="B998" s="172"/>
      <c r="C998" s="172"/>
      <c r="D998" s="3"/>
      <c r="E998" s="3"/>
      <c r="F998" s="983"/>
      <c r="G998"/>
      <c r="I998" s="490"/>
    </row>
    <row r="999" spans="1:9" ht="12.75" customHeight="1">
      <c r="A999" s="354"/>
      <c r="B999" s="485" t="s">
        <v>2717</v>
      </c>
      <c r="C999" s="354"/>
      <c r="D999" s="1825" t="s">
        <v>1888</v>
      </c>
      <c r="E999" s="1825"/>
      <c r="F999" s="1825"/>
      <c r="G999"/>
      <c r="I999" s="490"/>
    </row>
    <row r="1000" spans="1:9" ht="12.75" customHeight="1">
      <c r="A1000" s="354"/>
      <c r="B1000" s="354"/>
      <c r="C1000" s="354"/>
      <c r="D1000" s="1825"/>
      <c r="E1000" s="1825"/>
      <c r="F1000" s="1825"/>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385" t="s">
        <v>1887</v>
      </c>
      <c r="E1002" s="1385"/>
      <c r="F1002" s="1385"/>
      <c r="G1002"/>
      <c r="I1002" s="490"/>
    </row>
    <row r="1003" spans="1:9" ht="12.75" customHeight="1">
      <c r="A1003" s="354"/>
      <c r="B1003" s="354"/>
      <c r="C1003" s="354"/>
      <c r="D1003" s="1385"/>
      <c r="E1003" s="1385"/>
      <c r="F1003" s="1385"/>
      <c r="G1003"/>
      <c r="I1003" s="490"/>
    </row>
    <row r="1004" spans="1:9" ht="12.75" customHeight="1">
      <c r="A1004" s="174"/>
      <c r="B1004" s="174"/>
      <c r="C1004" s="174"/>
      <c r="D1004" s="1385"/>
      <c r="E1004" s="1385"/>
      <c r="F1004" s="1385"/>
      <c r="G1004"/>
      <c r="I1004" s="490"/>
    </row>
    <row r="1005" spans="1:9" ht="12.75" customHeight="1">
      <c r="A1005" s="174"/>
      <c r="B1005" s="174"/>
      <c r="C1005" s="174"/>
      <c r="D1005" s="1385"/>
      <c r="E1005" s="1385"/>
      <c r="F1005" s="1385"/>
      <c r="G1005"/>
      <c r="I1005" s="490"/>
    </row>
    <row r="1006" spans="1:9" ht="12.75" customHeight="1">
      <c r="A1006" s="174"/>
      <c r="B1006" s="174"/>
      <c r="C1006" s="174"/>
      <c r="D1006" s="335"/>
      <c r="E1006" s="335"/>
      <c r="F1006" s="335"/>
      <c r="G1006"/>
      <c r="I1006" s="490"/>
    </row>
    <row r="1007" spans="1:9" ht="12.75" customHeight="1">
      <c r="A1007" s="174"/>
      <c r="B1007" s="485" t="s">
        <v>2688</v>
      </c>
      <c r="C1007" s="174"/>
      <c r="D1007" s="1456" t="s">
        <v>1776</v>
      </c>
      <c r="E1007" s="1456"/>
      <c r="F1007" s="1456"/>
      <c r="G1007"/>
      <c r="I1007" s="490"/>
    </row>
    <row r="1008" spans="1:9" ht="12.75" customHeight="1">
      <c r="A1008" s="174"/>
      <c r="B1008" s="174"/>
      <c r="C1008" s="174"/>
      <c r="D1008" s="1456"/>
      <c r="E1008" s="1456"/>
      <c r="F1008" s="1456"/>
      <c r="G1008"/>
      <c r="I1008" s="490"/>
    </row>
    <row r="1009" spans="1:9" ht="12.75" customHeight="1">
      <c r="A1009" s="174"/>
      <c r="B1009" s="174"/>
      <c r="C1009" s="174"/>
      <c r="D1009" s="1456"/>
      <c r="E1009" s="1456"/>
      <c r="F1009" s="1456"/>
      <c r="G1009"/>
      <c r="I1009" s="490"/>
    </row>
    <row r="1010" spans="1:9" ht="12.75" customHeight="1">
      <c r="A1010" s="174"/>
      <c r="B1010" s="174"/>
      <c r="C1010" s="174"/>
      <c r="D1010" s="1456"/>
      <c r="E1010" s="1456"/>
      <c r="F1010" s="1456"/>
      <c r="G1010"/>
      <c r="I1010" s="490"/>
    </row>
    <row r="1011" spans="1:9" ht="12.75" customHeight="1">
      <c r="A1011" s="174"/>
      <c r="B1011" s="174"/>
      <c r="C1011" s="174"/>
      <c r="D1011" s="441"/>
      <c r="E1011" s="441"/>
      <c r="F1011" s="441"/>
      <c r="G1011"/>
      <c r="I1011" s="490"/>
    </row>
    <row r="1012" spans="1:9" ht="12.75" customHeight="1">
      <c r="A1012" s="174"/>
      <c r="B1012" s="485" t="s">
        <v>2688</v>
      </c>
      <c r="C1012" s="174"/>
      <c r="D1012" s="1456" t="s">
        <v>2183</v>
      </c>
      <c r="E1012" s="1456"/>
      <c r="F1012" s="1456"/>
      <c r="G1012"/>
      <c r="I1012" s="490"/>
    </row>
    <row r="1013" spans="1:9" ht="12.75" customHeight="1">
      <c r="A1013" s="174"/>
      <c r="B1013" s="174"/>
      <c r="C1013" s="174"/>
      <c r="D1013" s="1456"/>
      <c r="E1013" s="1456"/>
      <c r="F1013" s="1456"/>
      <c r="G1013"/>
      <c r="I1013" s="490"/>
    </row>
    <row r="1014" spans="1:9" ht="12.75" customHeight="1">
      <c r="A1014" s="174"/>
      <c r="B1014" s="174"/>
      <c r="C1014" s="174"/>
      <c r="D1014" s="441"/>
      <c r="E1014" s="441"/>
      <c r="F1014" s="441"/>
      <c r="G1014"/>
      <c r="I1014" s="490"/>
    </row>
    <row r="1015" spans="1:9" ht="12.75" customHeight="1">
      <c r="A1015" s="175"/>
      <c r="B1015" s="485" t="s">
        <v>2688</v>
      </c>
      <c r="C1015" s="354"/>
      <c r="D1015" s="1824" t="s">
        <v>1777</v>
      </c>
      <c r="E1015" s="1824"/>
      <c r="F1015" s="1824"/>
      <c r="G1015"/>
      <c r="I1015" s="490"/>
    </row>
    <row r="1016" spans="1:9" ht="12.75" customHeight="1">
      <c r="A1016" s="354"/>
      <c r="B1016" s="354"/>
      <c r="C1016" s="354"/>
      <c r="D1016" s="3"/>
      <c r="E1016" s="3"/>
      <c r="F1016" s="3"/>
      <c r="G1016"/>
      <c r="I1016" s="490"/>
    </row>
    <row r="1017" spans="1:9" ht="12.75" customHeight="1">
      <c r="A1017" s="175"/>
      <c r="B1017" s="485" t="s">
        <v>2688</v>
      </c>
      <c r="C1017" s="354"/>
      <c r="D1017" s="1824" t="s">
        <v>1778</v>
      </c>
      <c r="E1017" s="1824"/>
      <c r="F1017" s="1824"/>
      <c r="G1017"/>
      <c r="I1017" s="490"/>
    </row>
    <row r="1018" spans="1:9" ht="12.75" customHeight="1">
      <c r="A1018" s="354"/>
      <c r="B1018" s="354"/>
      <c r="C1018" s="354"/>
      <c r="D1018" s="118"/>
      <c r="E1018" s="3"/>
      <c r="F1018" s="3"/>
      <c r="G1018"/>
      <c r="I1018" s="490"/>
    </row>
    <row r="1019" spans="1:9" ht="12.75" customHeight="1">
      <c r="A1019" s="175"/>
      <c r="B1019" s="485" t="s">
        <v>2717</v>
      </c>
      <c r="C1019" s="354"/>
      <c r="D1019" s="1824" t="s">
        <v>1779</v>
      </c>
      <c r="E1019" s="1824"/>
      <c r="F1019" s="1824"/>
      <c r="G1019"/>
      <c r="I1019" s="490"/>
    </row>
    <row r="1020" spans="1:9" ht="12.75" customHeight="1">
      <c r="A1020" s="354"/>
      <c r="B1020" s="354"/>
      <c r="C1020" s="354"/>
      <c r="D1020" s="118"/>
      <c r="E1020" s="3"/>
      <c r="F1020" s="3"/>
      <c r="G1020"/>
      <c r="I1020" s="490"/>
    </row>
    <row r="1021" spans="1:9" ht="12.75" customHeight="1">
      <c r="A1021" s="175"/>
      <c r="B1021" s="485" t="s">
        <v>2717</v>
      </c>
      <c r="C1021" s="354"/>
      <c r="D1021" s="1456" t="s">
        <v>1780</v>
      </c>
      <c r="E1021" s="1456"/>
      <c r="F1021" s="1456"/>
      <c r="G1021"/>
      <c r="I1021" s="490"/>
    </row>
    <row r="1022" spans="1:9" ht="12.75" customHeight="1">
      <c r="A1022" s="175"/>
      <c r="B1022" s="175"/>
      <c r="C1022" s="354"/>
      <c r="D1022" s="1456"/>
      <c r="E1022" s="1456"/>
      <c r="F1022" s="1456"/>
      <c r="G1022"/>
      <c r="I1022" s="490"/>
    </row>
    <row r="1023" spans="1:9" ht="12.75" customHeight="1">
      <c r="A1023" s="175"/>
      <c r="B1023" s="175"/>
      <c r="C1023" s="354"/>
      <c r="D1023" s="118"/>
      <c r="E1023" s="3"/>
      <c r="F1023" s="3"/>
      <c r="G1023" s="3"/>
      <c r="I1023" s="490"/>
    </row>
    <row r="1024" spans="1:9" ht="12.75" customHeight="1">
      <c r="A1024" s="254"/>
      <c r="B1024" s="485" t="s">
        <v>2688</v>
      </c>
      <c r="C1024" s="995"/>
      <c r="D1024" s="1826" t="s">
        <v>1781</v>
      </c>
      <c r="E1024" s="1826"/>
      <c r="F1024" s="1826"/>
      <c r="G1024" s="996"/>
      <c r="I1024" s="490"/>
    </row>
    <row r="1025" spans="1:9" ht="12.75" customHeight="1">
      <c r="A1025" s="995"/>
      <c r="B1025" s="995"/>
      <c r="C1025" s="995"/>
      <c r="D1025" s="1826"/>
      <c r="E1025" s="1826"/>
      <c r="F1025" s="1826"/>
      <c r="G1025" s="996"/>
      <c r="I1025" s="490"/>
    </row>
    <row r="1026" spans="1:9" ht="12.75" customHeight="1">
      <c r="A1026" s="995"/>
      <c r="B1026" s="995"/>
      <c r="C1026" s="995"/>
      <c r="D1026" s="979"/>
      <c r="E1026" s="996"/>
      <c r="F1026" s="996"/>
      <c r="G1026" s="996"/>
      <c r="I1026" s="490"/>
    </row>
    <row r="1027" spans="1:9" ht="12.75" customHeight="1">
      <c r="A1027" s="254"/>
      <c r="B1027" s="485" t="s">
        <v>2688</v>
      </c>
      <c r="C1027" s="995"/>
      <c r="D1027" s="1819" t="s">
        <v>1782</v>
      </c>
      <c r="E1027" s="1819"/>
      <c r="F1027" s="1819"/>
      <c r="G1027" s="996"/>
      <c r="I1027" s="490"/>
    </row>
    <row r="1028" spans="1:9" ht="12.75" customHeight="1">
      <c r="A1028" s="995"/>
      <c r="B1028" s="995"/>
      <c r="C1028" s="995"/>
      <c r="D1028" s="979"/>
      <c r="E1028" s="996"/>
      <c r="F1028" s="996"/>
      <c r="G1028" s="996"/>
      <c r="I1028" s="490"/>
    </row>
    <row r="1029" spans="1:9" ht="12.75" customHeight="1">
      <c r="A1029" s="175"/>
      <c r="B1029" s="485" t="s">
        <v>2688</v>
      </c>
      <c r="C1029" s="354"/>
      <c r="D1029" s="1824" t="s">
        <v>1783</v>
      </c>
      <c r="E1029" s="1824"/>
      <c r="F1029" s="1824"/>
      <c r="G1029" s="3"/>
      <c r="I1029" s="490"/>
    </row>
    <row r="1030" spans="1:9" ht="12.75" customHeight="1">
      <c r="A1030" s="175"/>
      <c r="B1030" s="175"/>
      <c r="C1030" s="354"/>
      <c r="D1030" s="118"/>
      <c r="E1030" s="3"/>
      <c r="F1030" s="3"/>
      <c r="G1030" s="3"/>
      <c r="I1030" s="490"/>
    </row>
    <row r="1031" spans="1:9" ht="12.75" customHeight="1">
      <c r="A1031" s="175"/>
      <c r="B1031" s="485" t="s">
        <v>2688</v>
      </c>
      <c r="C1031" s="354"/>
      <c r="D1031" s="1456" t="s">
        <v>1784</v>
      </c>
      <c r="E1031" s="1456"/>
      <c r="F1031" s="1456"/>
      <c r="G1031" s="3"/>
      <c r="I1031" s="490"/>
    </row>
    <row r="1032" spans="1:9" ht="12.75" customHeight="1">
      <c r="A1032" s="175"/>
      <c r="B1032" s="175"/>
      <c r="C1032" s="354"/>
      <c r="D1032" s="1456"/>
      <c r="E1032" s="1456"/>
      <c r="F1032" s="1456"/>
      <c r="G1032" s="3"/>
      <c r="I1032" s="490"/>
    </row>
    <row r="1033" spans="1:9" ht="12.75" customHeight="1">
      <c r="A1033" s="354"/>
      <c r="B1033" s="354"/>
      <c r="C1033" s="354"/>
      <c r="D1033" s="3"/>
      <c r="E1033" s="3"/>
      <c r="F1033" s="3"/>
      <c r="G1033" s="3"/>
      <c r="I1033" s="490"/>
    </row>
    <row r="1034" spans="1:9" ht="12.75" customHeight="1">
      <c r="A1034" s="1820" t="s">
        <v>1785</v>
      </c>
      <c r="B1034" s="1820"/>
      <c r="C1034" s="1820"/>
      <c r="D1034" s="1820"/>
      <c r="E1034" s="1820"/>
      <c r="F1034" s="1820"/>
      <c r="G1034" s="1820"/>
      <c r="H1034" s="1023"/>
      <c r="I1034" s="1147"/>
    </row>
    <row r="1035" spans="1:9" ht="12.75" customHeight="1">
      <c r="A1035" s="354"/>
      <c r="B1035" s="354"/>
      <c r="C1035" s="354"/>
      <c r="D1035" s="3"/>
      <c r="E1035" s="3"/>
      <c r="F1035" s="3"/>
      <c r="G1035" s="3"/>
      <c r="I1035" s="490"/>
    </row>
    <row r="1036" spans="1:9" ht="12.75" customHeight="1">
      <c r="A1036" s="354"/>
      <c r="B1036" s="354"/>
      <c r="C1036" s="354"/>
      <c r="D1036" s="1818" t="s">
        <v>1786</v>
      </c>
      <c r="E1036" s="1818"/>
      <c r="F1036" s="1818"/>
      <c r="G1036" s="3"/>
      <c r="I1036" s="490"/>
    </row>
    <row r="1037" spans="1:9" ht="12.75" customHeight="1">
      <c r="A1037" s="354"/>
      <c r="B1037" s="354"/>
      <c r="C1037" s="354"/>
      <c r="D1037" s="1819" t="s">
        <v>1787</v>
      </c>
      <c r="E1037" s="1819"/>
      <c r="F1037" s="1819"/>
      <c r="G1037" s="3"/>
      <c r="I1037" s="490"/>
    </row>
    <row r="1038" spans="1:9" ht="12.75" customHeight="1">
      <c r="A1038" s="172"/>
      <c r="B1038" s="172"/>
      <c r="C1038" s="172"/>
      <c r="D1038" s="3"/>
      <c r="E1038" s="3"/>
      <c r="F1038" s="3"/>
      <c r="G1038" s="3"/>
      <c r="I1038" s="490"/>
    </row>
    <row r="1039" spans="1:9" ht="12.75" customHeight="1">
      <c r="A1039" s="175"/>
      <c r="B1039" s="175"/>
      <c r="C1039" s="174"/>
      <c r="D1039" s="1818" t="s">
        <v>1801</v>
      </c>
      <c r="E1039" s="1818"/>
      <c r="F1039" s="1818"/>
      <c r="G1039" s="3"/>
      <c r="I1039" s="490"/>
    </row>
    <row r="1040" spans="1:9" ht="12.75" customHeight="1">
      <c r="A1040" s="354"/>
      <c r="B1040" s="485" t="s">
        <v>2717</v>
      </c>
      <c r="C1040" s="354"/>
      <c r="D1040" s="1819" t="s">
        <v>1271</v>
      </c>
      <c r="E1040" s="1819"/>
      <c r="F1040" s="1819"/>
      <c r="G1040" s="3"/>
      <c r="I1040" s="490"/>
    </row>
    <row r="1041" spans="1:9" ht="12.75" customHeight="1">
      <c r="A1041" s="354"/>
      <c r="B1041" s="175"/>
      <c r="C1041" s="354"/>
      <c r="D1041" s="1819" t="s">
        <v>1788</v>
      </c>
      <c r="E1041" s="1819"/>
      <c r="F1041" s="1819"/>
      <c r="G1041" s="3"/>
      <c r="I1041" s="490"/>
    </row>
    <row r="1042" spans="1:9" ht="12.75" customHeight="1">
      <c r="A1042" s="354"/>
      <c r="B1042" s="354"/>
      <c r="C1042" s="354"/>
      <c r="D1042" s="1819"/>
      <c r="E1042" s="1819"/>
      <c r="F1042" s="1819"/>
      <c r="G1042" s="3"/>
      <c r="I1042" s="490"/>
    </row>
    <row r="1043" spans="1:9" ht="12.75" customHeight="1">
      <c r="A1043" s="1820" t="s">
        <v>1797</v>
      </c>
      <c r="B1043" s="1820"/>
      <c r="C1043" s="1820"/>
      <c r="D1043" s="1820"/>
      <c r="E1043" s="1820"/>
      <c r="F1043" s="1820"/>
      <c r="G1043" s="1820"/>
      <c r="H1043" s="1023"/>
      <c r="I1043" s="1147"/>
    </row>
    <row r="1044" spans="1:9" ht="12.75" customHeight="1">
      <c r="A1044" s="118"/>
      <c r="B1044" s="118"/>
      <c r="C1044" s="354"/>
      <c r="D1044" s="3"/>
      <c r="E1044" s="3"/>
      <c r="F1044" s="3"/>
      <c r="G1044" s="3"/>
      <c r="I1044" s="490"/>
    </row>
    <row r="1045" spans="1:9" ht="12.75" hidden="1" customHeight="1">
      <c r="A1045" s="118"/>
      <c r="B1045" s="402"/>
      <c r="D1045" s="1817" t="s">
        <v>1272</v>
      </c>
      <c r="E1045" s="1817"/>
      <c r="F1045" s="1817"/>
      <c r="G1045" s="3"/>
      <c r="I1045" s="490"/>
    </row>
    <row r="1046" spans="1:9" ht="12.75" hidden="1" customHeight="1">
      <c r="A1046" s="118"/>
      <c r="B1046" s="485" t="s">
        <v>307</v>
      </c>
      <c r="D1046" s="1816" t="s">
        <v>1271</v>
      </c>
      <c r="E1046" s="1816"/>
      <c r="F1046" s="1816"/>
      <c r="G1046" s="3"/>
      <c r="I1046" s="490"/>
    </row>
    <row r="1047" spans="1:9" ht="12.75" hidden="1" customHeight="1">
      <c r="A1047" s="118"/>
      <c r="B1047" s="402"/>
      <c r="D1047" s="1816" t="s">
        <v>1798</v>
      </c>
      <c r="E1047" s="1816"/>
      <c r="F1047" s="1816"/>
      <c r="G1047" s="3"/>
      <c r="I1047" s="490"/>
    </row>
    <row r="1048" spans="1:9" ht="12.75" hidden="1" customHeight="1">
      <c r="A1048" s="118"/>
      <c r="B1048" s="402"/>
      <c r="D1048" s="444"/>
      <c r="E1048" s="444"/>
      <c r="F1048" s="444"/>
      <c r="G1048" s="3"/>
      <c r="I1048" s="490"/>
    </row>
    <row r="1049" spans="1:9" ht="12.75" customHeight="1">
      <c r="A1049" s="118"/>
      <c r="B1049" s="118"/>
      <c r="C1049" s="354"/>
      <c r="D1049" s="1821" t="s">
        <v>1066</v>
      </c>
      <c r="E1049" s="1821"/>
      <c r="F1049" s="1821"/>
      <c r="G1049" s="3"/>
      <c r="I1049" s="490"/>
    </row>
    <row r="1050" spans="1:9" ht="12.75" customHeight="1">
      <c r="A1050" s="319"/>
      <c r="B1050" s="319"/>
      <c r="C1050" s="319"/>
      <c r="D1050" s="1815" t="s">
        <v>2200</v>
      </c>
      <c r="E1050" s="1815"/>
      <c r="F1050" s="1815"/>
      <c r="G1050" s="98"/>
      <c r="I1050" s="490"/>
    </row>
    <row r="1051" spans="1:9" ht="12.75" customHeight="1">
      <c r="A1051" s="175"/>
      <c r="B1051" s="485" t="s">
        <v>2688</v>
      </c>
      <c r="C1051" s="354"/>
      <c r="D1051" s="1815" t="s">
        <v>985</v>
      </c>
      <c r="E1051" s="1815"/>
      <c r="F1051" s="1815"/>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820" t="s">
        <v>2602</v>
      </c>
      <c r="B1054" s="1820"/>
      <c r="C1054" s="1820"/>
      <c r="D1054" s="1820"/>
      <c r="E1054" s="1820"/>
      <c r="F1054" s="1820"/>
      <c r="G1054" s="1820"/>
      <c r="H1054" s="1023"/>
      <c r="I1054" s="1147"/>
    </row>
    <row r="1055" spans="1:9">
      <c r="A1055" s="402"/>
      <c r="B1055" s="402"/>
      <c r="C1055" s="402"/>
      <c r="I1055" s="490"/>
    </row>
    <row r="1056" spans="1:9">
      <c r="A1056" s="402"/>
      <c r="B1056" s="402"/>
      <c r="C1056" s="402"/>
      <c r="D1056" s="404" t="s">
        <v>2601</v>
      </c>
      <c r="I1056" s="490"/>
    </row>
    <row r="1057" spans="1:9">
      <c r="A1057" s="402"/>
      <c r="B1057" s="402"/>
      <c r="C1057" s="402"/>
      <c r="D1057" s="402" t="s">
        <v>2605</v>
      </c>
      <c r="I1057" s="490"/>
    </row>
    <row r="1058" spans="1:9">
      <c r="A1058" s="402"/>
      <c r="B1058" s="402"/>
      <c r="C1058" s="402"/>
      <c r="D1058" s="404"/>
      <c r="I1058" s="490"/>
    </row>
    <row r="1059" spans="1:9">
      <c r="A1059" s="402"/>
      <c r="B1059" s="485" t="s">
        <v>2688</v>
      </c>
      <c r="C1059" s="402"/>
      <c r="D1059" s="1828" t="s">
        <v>1802</v>
      </c>
      <c r="E1059" s="1828"/>
      <c r="F1059" s="1828"/>
      <c r="I1059" s="490"/>
    </row>
    <row r="1060" spans="1:9">
      <c r="A1060" s="402"/>
      <c r="B1060" s="402"/>
      <c r="C1060" s="402"/>
      <c r="D1060" s="1828"/>
      <c r="E1060" s="1828"/>
      <c r="F1060" s="1828"/>
      <c r="I1060" s="490"/>
    </row>
    <row r="1061" spans="1:9">
      <c r="A1061" s="402"/>
      <c r="B1061" s="402"/>
      <c r="C1061" s="402"/>
      <c r="D1061" s="1828"/>
      <c r="E1061" s="1828"/>
      <c r="F1061" s="1828"/>
      <c r="I1061" s="490"/>
    </row>
    <row r="1062" spans="1:9">
      <c r="A1062" s="402"/>
      <c r="B1062" s="402"/>
      <c r="C1062" s="402"/>
      <c r="D1062" s="1828"/>
      <c r="E1062" s="1828"/>
      <c r="F1062" s="1828"/>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2606</v>
      </c>
      <c r="I1065" s="490"/>
    </row>
    <row r="1066" spans="1:9">
      <c r="A1066" s="402"/>
      <c r="B1066" s="402"/>
      <c r="C1066" s="402"/>
      <c r="I1066" s="490"/>
    </row>
    <row r="1067" spans="1:9">
      <c r="A1067" s="402"/>
      <c r="B1067" s="485" t="s">
        <v>2717</v>
      </c>
      <c r="C1067" s="402"/>
      <c r="D1067" s="402" t="s">
        <v>1800</v>
      </c>
      <c r="I1067" s="490"/>
    </row>
    <row r="1068" spans="1:9">
      <c r="A1068" s="402"/>
      <c r="B1068" s="402"/>
      <c r="C1068" s="402"/>
      <c r="I1068" s="490"/>
    </row>
    <row r="1069" spans="1:9">
      <c r="A1069" s="402"/>
      <c r="B1069" s="485" t="s">
        <v>2688</v>
      </c>
      <c r="C1069" s="402"/>
      <c r="D1069" s="1828" t="s">
        <v>1803</v>
      </c>
      <c r="E1069" s="1828"/>
      <c r="F1069" s="1828"/>
      <c r="I1069" s="490"/>
    </row>
    <row r="1070" spans="1:9">
      <c r="A1070" s="402"/>
      <c r="B1070" s="402"/>
      <c r="C1070" s="402"/>
      <c r="D1070" s="1828"/>
      <c r="E1070" s="1828"/>
      <c r="F1070" s="1828"/>
      <c r="I1070" s="490"/>
    </row>
    <row r="1071" spans="1:9">
      <c r="A1071" s="402"/>
      <c r="B1071" s="402"/>
      <c r="C1071" s="402"/>
      <c r="D1071" s="1828"/>
      <c r="E1071" s="1828"/>
      <c r="F1071" s="1828"/>
      <c r="I1071" s="490"/>
    </row>
    <row r="1072" spans="1:9">
      <c r="A1072" s="402"/>
      <c r="B1072" s="402"/>
      <c r="C1072" s="402"/>
      <c r="D1072" s="1828"/>
      <c r="E1072" s="1828"/>
      <c r="F1072" s="1828"/>
      <c r="I1072" s="490"/>
    </row>
    <row r="1073" spans="1:9">
      <c r="A1073" s="402"/>
      <c r="B1073" s="402"/>
      <c r="C1073" s="402"/>
      <c r="D1073" s="1828"/>
      <c r="E1073" s="1828"/>
      <c r="F1073" s="1828"/>
      <c r="I1073" s="490"/>
    </row>
    <row r="1074" spans="1:9">
      <c r="A1074" s="402"/>
      <c r="B1074" s="402"/>
      <c r="C1074" s="402"/>
      <c r="I1074" s="490"/>
    </row>
    <row r="1075" spans="1:9">
      <c r="A1075" s="1820" t="s">
        <v>1804</v>
      </c>
      <c r="B1075" s="1820"/>
      <c r="C1075" s="1820"/>
      <c r="D1075" s="1820"/>
      <c r="E1075" s="1820"/>
      <c r="F1075" s="1820"/>
      <c r="G1075" s="1820"/>
      <c r="H1075" s="1023"/>
      <c r="I1075" s="1147"/>
    </row>
    <row r="1076" spans="1:9">
      <c r="A1076" s="402"/>
      <c r="B1076" s="402"/>
      <c r="C1076" s="402"/>
      <c r="I1076" s="490"/>
    </row>
    <row r="1077" spans="1:9">
      <c r="A1077" s="402"/>
      <c r="B1077" s="402"/>
      <c r="C1077" s="402"/>
      <c r="I1077" s="490"/>
    </row>
    <row r="1078" spans="1:9">
      <c r="A1078" s="402"/>
      <c r="B1078" s="485" t="s">
        <v>2717</v>
      </c>
      <c r="C1078" s="402"/>
      <c r="D1078" s="527" t="s">
        <v>1807</v>
      </c>
      <c r="I1078" s="490"/>
    </row>
    <row r="1079" spans="1:9">
      <c r="A1079" s="402"/>
      <c r="B1079" s="402"/>
      <c r="C1079" s="402"/>
      <c r="D1079" s="527" t="s">
        <v>2615</v>
      </c>
      <c r="I1079" s="490"/>
    </row>
    <row r="1080" spans="1:9">
      <c r="A1080" s="402"/>
      <c r="B1080" s="402"/>
      <c r="C1080" s="402"/>
      <c r="D1080" s="527"/>
      <c r="I1080" s="490"/>
    </row>
    <row r="1081" spans="1:9">
      <c r="A1081" s="402"/>
      <c r="B1081" s="485" t="s">
        <v>2717</v>
      </c>
      <c r="C1081" s="402"/>
      <c r="D1081" s="1270" t="s">
        <v>2608</v>
      </c>
      <c r="E1081" s="1270"/>
      <c r="F1081" s="1270"/>
      <c r="I1081" s="490"/>
    </row>
    <row r="1082" spans="1:9">
      <c r="A1082" s="402"/>
      <c r="B1082" s="402"/>
      <c r="C1082" s="402"/>
      <c r="D1082" s="1270"/>
      <c r="E1082" s="1270"/>
      <c r="F1082" s="1270"/>
      <c r="I1082" s="490"/>
    </row>
    <row r="1083" spans="1:9">
      <c r="A1083" s="402"/>
      <c r="B1083" s="402"/>
      <c r="C1083" s="402"/>
      <c r="D1083" s="527" t="s">
        <v>2607</v>
      </c>
      <c r="I1083" s="490"/>
    </row>
    <row r="1084" spans="1:9">
      <c r="A1084" s="402"/>
      <c r="B1084" s="402"/>
      <c r="C1084" s="402"/>
      <c r="D1084" s="527"/>
      <c r="I1084" s="490"/>
    </row>
    <row r="1085" spans="1:9">
      <c r="A1085" s="402"/>
      <c r="B1085" s="485" t="s">
        <v>2688</v>
      </c>
      <c r="C1085" s="402"/>
      <c r="D1085" s="119" t="s">
        <v>2616</v>
      </c>
      <c r="I1085" s="490"/>
    </row>
    <row r="1086" spans="1:9">
      <c r="A1086" s="402"/>
      <c r="B1086" s="402"/>
      <c r="C1086" s="402"/>
      <c r="D1086" s="1456" t="s">
        <v>2618</v>
      </c>
      <c r="E1086" s="1456"/>
      <c r="F1086" s="1456"/>
      <c r="I1086" s="490"/>
    </row>
    <row r="1087" spans="1:9">
      <c r="A1087" s="402"/>
      <c r="B1087" s="402"/>
      <c r="C1087" s="402"/>
      <c r="D1087" s="1456"/>
      <c r="E1087" s="1456"/>
      <c r="F1087" s="1456"/>
      <c r="I1087" s="490"/>
    </row>
    <row r="1088" spans="1:9">
      <c r="A1088" s="402"/>
      <c r="B1088" s="402"/>
      <c r="C1088" s="402"/>
      <c r="D1088" s="1456"/>
      <c r="E1088" s="1456"/>
      <c r="F1088" s="1456"/>
      <c r="I1088" s="490"/>
    </row>
    <row r="1089" spans="1:9">
      <c r="A1089" s="402"/>
      <c r="B1089" s="402"/>
      <c r="C1089" s="402"/>
      <c r="D1089" s="1456"/>
      <c r="E1089" s="1456"/>
      <c r="F1089" s="1456"/>
      <c r="I1089" s="490"/>
    </row>
    <row r="1090" spans="1:9">
      <c r="A1090" s="402"/>
      <c r="B1090" s="402"/>
      <c r="C1090" s="402"/>
      <c r="D1090" s="119" t="s">
        <v>2617</v>
      </c>
      <c r="I1090" s="490"/>
    </row>
    <row r="1091" spans="1:9">
      <c r="A1091" s="402"/>
      <c r="B1091" s="402"/>
      <c r="C1091" s="402"/>
      <c r="D1091" s="119"/>
      <c r="I1091" s="490"/>
    </row>
    <row r="1092" spans="1:9">
      <c r="A1092" s="402"/>
      <c r="B1092" s="402"/>
      <c r="C1092" s="402"/>
      <c r="D1092" s="527" t="s">
        <v>1805</v>
      </c>
      <c r="I1092" s="490"/>
    </row>
    <row r="1093" spans="1:9">
      <c r="A1093" s="402"/>
      <c r="B1093" s="485" t="s">
        <v>2688</v>
      </c>
      <c r="C1093" s="402"/>
      <c r="D1093" s="1827" t="s">
        <v>1806</v>
      </c>
      <c r="E1093" s="1827"/>
      <c r="F1093" s="1827"/>
      <c r="I1093" s="490"/>
    </row>
    <row r="1094" spans="1:9">
      <c r="A1094" s="402"/>
      <c r="B1094" s="402"/>
      <c r="C1094" s="402"/>
      <c r="D1094" s="1827"/>
      <c r="E1094" s="1827"/>
      <c r="F1094" s="1827"/>
      <c r="I1094" s="490"/>
    </row>
    <row r="1095" spans="1:9">
      <c r="A1095" s="402"/>
      <c r="B1095" s="402"/>
      <c r="C1095" s="402"/>
      <c r="D1095" s="1827"/>
      <c r="E1095" s="1827"/>
      <c r="F1095" s="1827"/>
      <c r="I1095" s="490"/>
    </row>
    <row r="1096" spans="1:9">
      <c r="A1096" s="402"/>
      <c r="B1096" s="402"/>
      <c r="C1096" s="402"/>
      <c r="D1096" s="1827"/>
      <c r="E1096" s="1827"/>
      <c r="F1096" s="1827"/>
      <c r="I1096" s="490"/>
    </row>
    <row r="1097" spans="1:9">
      <c r="A1097" s="402"/>
      <c r="B1097" s="402"/>
      <c r="C1097" s="402"/>
      <c r="D1097" s="1827"/>
      <c r="E1097" s="1827"/>
      <c r="F1097" s="1827"/>
      <c r="I1097" s="490"/>
    </row>
    <row r="1098" spans="1:9">
      <c r="A1098" s="402"/>
      <c r="B1098" s="402"/>
      <c r="C1098" s="402"/>
      <c r="D1098" s="527" t="s">
        <v>2619</v>
      </c>
      <c r="I1098" s="490"/>
    </row>
    <row r="1099" spans="1:9">
      <c r="A1099" s="402"/>
      <c r="B1099" s="402"/>
      <c r="C1099" s="402"/>
      <c r="I1099" s="490"/>
    </row>
    <row r="1100" spans="1:9">
      <c r="A1100" s="402"/>
      <c r="B1100" s="485" t="s">
        <v>2688</v>
      </c>
      <c r="C1100" s="402"/>
      <c r="D1100" s="1810" t="s">
        <v>2221</v>
      </c>
      <c r="E1100" s="1810"/>
      <c r="F1100" s="1810"/>
      <c r="I1100" s="490"/>
    </row>
    <row r="1101" spans="1:9">
      <c r="A1101" s="402"/>
      <c r="B1101" s="402"/>
      <c r="C1101" s="402"/>
      <c r="D1101" s="1810"/>
      <c r="E1101" s="1810"/>
      <c r="F1101" s="1810"/>
      <c r="I1101" s="490"/>
    </row>
    <row r="1102" spans="1:9">
      <c r="A1102" s="402"/>
      <c r="B1102" s="402"/>
      <c r="C1102" s="402"/>
      <c r="D1102" s="1810"/>
      <c r="E1102" s="1810"/>
      <c r="F1102" s="1810"/>
      <c r="I1102" s="490"/>
    </row>
    <row r="1103" spans="1:9">
      <c r="A1103" s="402"/>
      <c r="B1103" s="402"/>
      <c r="C1103" s="402"/>
      <c r="I1103" s="490"/>
    </row>
    <row r="1104" spans="1:9">
      <c r="A1104" s="1820" t="s">
        <v>1808</v>
      </c>
      <c r="B1104" s="1820"/>
      <c r="C1104" s="1820"/>
      <c r="D1104" s="1820"/>
      <c r="E1104" s="1820"/>
      <c r="F1104" s="1820"/>
      <c r="G1104" s="1820"/>
      <c r="H1104" s="1023"/>
      <c r="I1104" s="1147"/>
    </row>
    <row r="1105" spans="1:9">
      <c r="A1105" s="402"/>
      <c r="B1105" s="402"/>
      <c r="C1105" s="402"/>
      <c r="I1105" s="490"/>
    </row>
    <row r="1106" spans="1:9">
      <c r="A1106" s="402"/>
      <c r="B1106" s="402"/>
      <c r="C1106" s="402"/>
      <c r="I1106" s="490"/>
    </row>
    <row r="1107" spans="1:9" ht="12.75" customHeight="1">
      <c r="A1107" s="402"/>
      <c r="B1107" s="485" t="s">
        <v>2688</v>
      </c>
      <c r="C1107" s="402"/>
      <c r="D1107" s="1273" t="s">
        <v>1902</v>
      </c>
      <c r="E1107" s="1273"/>
      <c r="F1107" s="1273"/>
      <c r="I1107" s="490"/>
    </row>
    <row r="1108" spans="1:9">
      <c r="A1108" s="402"/>
      <c r="B1108" s="402"/>
      <c r="C1108" s="402"/>
      <c r="D1108" s="1273"/>
      <c r="E1108" s="1273"/>
      <c r="F1108" s="1273"/>
      <c r="I1108" s="490"/>
    </row>
    <row r="1109" spans="1:9">
      <c r="A1109" s="402"/>
      <c r="B1109" s="402"/>
      <c r="C1109" s="402"/>
      <c r="D1109" s="1829" t="s">
        <v>2623</v>
      </c>
      <c r="E1109" s="1456"/>
      <c r="F1109" s="1456"/>
      <c r="I1109" s="490"/>
    </row>
    <row r="1110" spans="1:9">
      <c r="A1110" s="402"/>
      <c r="B1110" s="402"/>
      <c r="C1110" s="402"/>
      <c r="D1110" s="527"/>
      <c r="I1110" s="490"/>
    </row>
    <row r="1111" spans="1:9">
      <c r="A1111" s="402"/>
      <c r="B1111" s="485" t="s">
        <v>2688</v>
      </c>
      <c r="C1111" s="402"/>
      <c r="D1111" s="1827" t="s">
        <v>2571</v>
      </c>
      <c r="E1111" s="1827"/>
      <c r="F1111" s="1827"/>
      <c r="I1111" s="490"/>
    </row>
    <row r="1112" spans="1:9">
      <c r="A1112" s="402"/>
      <c r="B1112" s="402"/>
      <c r="C1112" s="402"/>
      <c r="D1112" s="1827"/>
      <c r="E1112" s="1827"/>
      <c r="F1112" s="1827"/>
      <c r="I1112" s="490"/>
    </row>
    <row r="1113" spans="1:9">
      <c r="A1113" s="402"/>
      <c r="B1113" s="402"/>
      <c r="C1113" s="402"/>
      <c r="D1113" s="1827"/>
      <c r="E1113" s="1827"/>
      <c r="F1113" s="1827"/>
      <c r="I1113" s="490"/>
    </row>
    <row r="1114" spans="1:9">
      <c r="A1114" s="402"/>
      <c r="B1114" s="402"/>
      <c r="C1114" s="402"/>
      <c r="D1114" s="527"/>
      <c r="I1114" s="490"/>
    </row>
    <row r="1115" spans="1:9">
      <c r="A1115" s="402"/>
      <c r="B1115" s="485" t="s">
        <v>2688</v>
      </c>
      <c r="C1115" s="402"/>
      <c r="D1115" s="1827" t="s">
        <v>2590</v>
      </c>
      <c r="E1115" s="1827"/>
      <c r="F1115" s="1827"/>
      <c r="I1115" s="490"/>
    </row>
    <row r="1116" spans="1:9">
      <c r="A1116" s="402"/>
      <c r="B1116" s="402"/>
      <c r="C1116" s="402"/>
      <c r="D1116" s="1827"/>
      <c r="E1116" s="1827"/>
      <c r="F1116" s="1827"/>
      <c r="I1116" s="490"/>
    </row>
    <row r="1117" spans="1:9">
      <c r="A1117" s="402"/>
      <c r="B1117" s="402"/>
      <c r="C1117" s="402"/>
      <c r="D1117" s="1827"/>
      <c r="E1117" s="1827"/>
      <c r="F1117" s="1827"/>
      <c r="I1117" s="490"/>
    </row>
    <row r="1118" spans="1:9">
      <c r="A1118" s="402"/>
      <c r="B1118" s="402"/>
      <c r="C1118" s="402"/>
      <c r="D1118" s="1827"/>
      <c r="E1118" s="1827"/>
      <c r="F1118" s="1827"/>
      <c r="I1118" s="490"/>
    </row>
    <row r="1119" spans="1:9">
      <c r="A1119" s="402"/>
      <c r="B1119" s="402"/>
      <c r="C1119" s="402"/>
      <c r="D1119" s="1827"/>
      <c r="E1119" s="1827"/>
      <c r="F1119" s="1827"/>
      <c r="I1119" s="490"/>
    </row>
    <row r="1120" spans="1:9">
      <c r="A1120" s="402"/>
      <c r="B1120" s="402"/>
      <c r="C1120" s="402"/>
      <c r="D1120" s="527"/>
      <c r="I1120" s="480"/>
    </row>
    <row r="1121" spans="1:9">
      <c r="A1121" s="402"/>
      <c r="B1121" s="485" t="s">
        <v>2717</v>
      </c>
      <c r="C1121" s="402"/>
      <c r="D1121" s="1827" t="s">
        <v>1809</v>
      </c>
      <c r="E1121" s="1827"/>
      <c r="F1121" s="1827"/>
      <c r="I1121" s="490"/>
    </row>
    <row r="1122" spans="1:9">
      <c r="A1122" s="402"/>
      <c r="B1122" s="402"/>
      <c r="C1122" s="402"/>
      <c r="D1122" s="1827"/>
      <c r="E1122" s="1827"/>
      <c r="F1122" s="1827"/>
      <c r="I1122" s="490"/>
    </row>
    <row r="1123" spans="1:9">
      <c r="A1123" s="402"/>
      <c r="B1123" s="402"/>
      <c r="C1123" s="402"/>
      <c r="D1123" s="1827"/>
      <c r="E1123" s="1827"/>
      <c r="F1123" s="1827"/>
      <c r="I1123" s="490"/>
    </row>
    <row r="1124" spans="1:9">
      <c r="A1124" s="402"/>
      <c r="B1124" s="402"/>
      <c r="C1124" s="402"/>
      <c r="D1124" s="527"/>
      <c r="I1124" s="490"/>
    </row>
    <row r="1125" spans="1:9">
      <c r="A1125" s="402"/>
      <c r="B1125" s="485" t="s">
        <v>2717</v>
      </c>
      <c r="C1125" s="402"/>
      <c r="D1125" s="1385" t="s">
        <v>1861</v>
      </c>
      <c r="E1125" s="1385"/>
      <c r="F1125" s="1385"/>
      <c r="I1125" s="490"/>
    </row>
    <row r="1126" spans="1:9">
      <c r="A1126" s="402"/>
      <c r="B1126" s="402"/>
      <c r="C1126" s="402"/>
      <c r="D1126" s="1385"/>
      <c r="E1126" s="1385"/>
      <c r="F1126" s="1385"/>
      <c r="I1126" s="490"/>
    </row>
    <row r="1127" spans="1:9">
      <c r="A1127" s="402"/>
      <c r="B1127" s="402"/>
      <c r="C1127" s="402"/>
      <c r="D1127" s="1385"/>
      <c r="E1127" s="1385"/>
      <c r="F1127" s="1385"/>
      <c r="I1127" s="490"/>
    </row>
    <row r="1128" spans="1:9">
      <c r="A1128" s="402"/>
      <c r="B1128" s="402"/>
      <c r="C1128" s="402"/>
      <c r="D1128" s="975"/>
      <c r="E1128" s="975"/>
      <c r="F1128" s="975"/>
      <c r="I1128" s="490"/>
    </row>
    <row r="1129" spans="1:9" ht="15.75" customHeight="1">
      <c r="A1129" s="402"/>
      <c r="B1129" s="485" t="s">
        <v>2688</v>
      </c>
      <c r="C1129" s="402"/>
      <c r="D1129" s="1456" t="s">
        <v>1862</v>
      </c>
      <c r="E1129" s="1456"/>
      <c r="F1129" s="1456"/>
      <c r="I1129" s="490"/>
    </row>
    <row r="1130" spans="1:9">
      <c r="A1130" s="402"/>
      <c r="B1130" s="402"/>
      <c r="C1130" s="402"/>
      <c r="D1130" s="1456"/>
      <c r="E1130" s="1456"/>
      <c r="F1130" s="1456"/>
      <c r="I1130" s="490"/>
    </row>
    <row r="1131" spans="1:9">
      <c r="A1131" s="402"/>
      <c r="B1131" s="402"/>
      <c r="C1131" s="402"/>
      <c r="D1131" s="1456"/>
      <c r="E1131" s="1456"/>
      <c r="F1131" s="1456"/>
      <c r="I1131" s="490"/>
    </row>
    <row r="1132" spans="1:9">
      <c r="A1132" s="402"/>
      <c r="B1132" s="402"/>
      <c r="C1132" s="402"/>
      <c r="D1132" s="1456"/>
      <c r="E1132" s="1456"/>
      <c r="F1132" s="1456"/>
      <c r="I1132" s="490"/>
    </row>
    <row r="1133" spans="1:9">
      <c r="A1133" s="402"/>
      <c r="B1133" s="402"/>
      <c r="C1133" s="402"/>
      <c r="D1133" s="975"/>
      <c r="E1133" s="975"/>
      <c r="F1133" s="975"/>
      <c r="I1133" s="490"/>
    </row>
    <row r="1134" spans="1:9">
      <c r="A1134" s="402"/>
      <c r="B1134" s="485" t="s">
        <v>2717</v>
      </c>
      <c r="C1134" s="402"/>
      <c r="D1134" s="1385" t="s">
        <v>2600</v>
      </c>
      <c r="E1134" s="1385"/>
      <c r="F1134" s="1385"/>
      <c r="I1134" s="490"/>
    </row>
    <row r="1135" spans="1:9">
      <c r="A1135" s="402"/>
      <c r="B1135" s="402"/>
      <c r="C1135" s="402"/>
      <c r="D1135" s="1385"/>
      <c r="E1135" s="1385"/>
      <c r="F1135" s="1385"/>
      <c r="I1135" s="490"/>
    </row>
    <row r="1136" spans="1:9">
      <c r="A1136" s="402"/>
      <c r="B1136" s="402"/>
      <c r="C1136" s="402"/>
      <c r="D1136" s="1385"/>
      <c r="E1136" s="1385"/>
      <c r="F1136" s="1385"/>
      <c r="I1136" s="490"/>
    </row>
    <row r="1137" spans="1:9">
      <c r="A1137" s="402"/>
      <c r="B1137" s="402"/>
      <c r="C1137" s="402"/>
      <c r="D1137" s="1385"/>
      <c r="E1137" s="1385"/>
      <c r="F1137" s="1385"/>
      <c r="I1137" s="490"/>
    </row>
    <row r="1138" spans="1:9">
      <c r="A1138" s="402"/>
      <c r="B1138" s="402"/>
      <c r="C1138" s="402"/>
      <c r="D1138" s="1385"/>
      <c r="E1138" s="1385"/>
      <c r="F1138" s="1385"/>
      <c r="I1138" s="490"/>
    </row>
    <row r="1139" spans="1:9">
      <c r="A1139" s="402"/>
      <c r="B1139" s="402"/>
      <c r="C1139" s="402"/>
      <c r="D1139" s="1385"/>
      <c r="E1139" s="1385"/>
      <c r="F1139" s="1385"/>
      <c r="I1139" s="490"/>
    </row>
    <row r="1140" spans="1:9">
      <c r="A1140" s="402"/>
      <c r="B1140" s="402"/>
      <c r="C1140" s="402"/>
      <c r="D1140" s="975"/>
      <c r="E1140" s="975"/>
      <c r="F1140" s="975"/>
      <c r="I1140" s="490"/>
    </row>
    <row r="1141" spans="1:9">
      <c r="A1141" s="402"/>
      <c r="B1141" s="485" t="s">
        <v>2688</v>
      </c>
      <c r="C1141" s="402"/>
      <c r="D1141" s="1828" t="s">
        <v>2572</v>
      </c>
      <c r="E1141" s="1828"/>
      <c r="F1141" s="1828"/>
      <c r="I1141" s="1153"/>
    </row>
    <row r="1142" spans="1:9">
      <c r="A1142" s="402"/>
      <c r="B1142" s="402"/>
      <c r="C1142" s="402"/>
      <c r="D1142" s="1828"/>
      <c r="E1142" s="1828"/>
      <c r="F1142" s="1828"/>
      <c r="I1142" s="490"/>
    </row>
    <row r="1143" spans="1:9">
      <c r="A1143" s="402"/>
      <c r="B1143" s="402"/>
      <c r="C1143" s="402"/>
      <c r="D1143" s="1828"/>
      <c r="E1143" s="1828"/>
      <c r="F1143" s="1828"/>
    </row>
    <row r="1144" spans="1:9">
      <c r="A1144" s="402"/>
      <c r="B1144" s="402"/>
      <c r="C1144" s="402"/>
      <c r="D1144" s="1828"/>
      <c r="E1144" s="1828"/>
      <c r="F1144" s="1828"/>
    </row>
    <row r="1145" spans="1:9">
      <c r="A1145" s="402"/>
      <c r="B1145" s="402"/>
      <c r="C1145" s="402"/>
      <c r="D1145" s="1828"/>
      <c r="E1145" s="1828"/>
      <c r="F1145" s="1828"/>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5"/>
      <c r="H1553" s="1835"/>
      <c r="I1553" s="1835"/>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zoomScale="110" zoomScaleNormal="110" workbookViewId="0">
      <selection activeCell="AM569" sqref="AM569:AS569"/>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2417</v>
      </c>
      <c r="BE1" s="3"/>
      <c r="BF1" s="3"/>
    </row>
    <row r="2" spans="1:58" ht="12.95" customHeight="1">
      <c r="BD2" s="3" t="s">
        <v>2418</v>
      </c>
      <c r="BE2" s="3" t="s">
        <v>2419</v>
      </c>
      <c r="BF2" s="3" t="s">
        <v>2420</v>
      </c>
    </row>
    <row r="3" spans="1:58" ht="12.95" customHeight="1">
      <c r="BD3" s="3" t="s">
        <v>2512</v>
      </c>
      <c r="BE3" t="str">
        <f>AC220</f>
        <v>City of Los Angeles</v>
      </c>
    </row>
    <row r="4" spans="1:58" ht="12.95" customHeight="1">
      <c r="BD4" s="3" t="s">
        <v>2427</v>
      </c>
      <c r="BE4" s="1180"/>
    </row>
    <row r="5" spans="1:58" ht="12.95" customHeight="1">
      <c r="BD5" s="3" t="s">
        <v>2428</v>
      </c>
      <c r="BE5">
        <f>SUMIF($AC$726:$AC$760,"&lt;=20%",$G$726:G$760)</f>
        <v>0</v>
      </c>
      <c r="BF5" s="3" t="s">
        <v>2433</v>
      </c>
    </row>
    <row r="6" spans="1:58" ht="12.95" customHeight="1">
      <c r="BD6" s="3" t="s">
        <v>2429</v>
      </c>
      <c r="BE6" s="1183">
        <f>SUMIF($AC$726:$AC$760,"&lt;=25%",$G$726:G$760)-SUM($BE$5:BE5)</f>
        <v>0</v>
      </c>
    </row>
    <row r="7" spans="1:58" ht="12.95" customHeight="1">
      <c r="BD7" s="1181" t="s">
        <v>2421</v>
      </c>
      <c r="BE7" s="1183">
        <f>SUMIF($AC$726:$AC$760,"&lt;=30%",$G$726:G$760)-SUM($BE$5:BE6)</f>
        <v>10</v>
      </c>
    </row>
    <row r="8" spans="1:58" ht="26.25" customHeight="1">
      <c r="A8" s="1451" t="s">
        <v>100</v>
      </c>
      <c r="B8" s="1451"/>
      <c r="C8" s="1451"/>
      <c r="D8" s="1451"/>
      <c r="E8" s="1451"/>
      <c r="F8" s="1451"/>
      <c r="G8" s="1451"/>
      <c r="H8" s="1451"/>
      <c r="I8" s="1451"/>
      <c r="J8" s="1451"/>
      <c r="K8" s="1451"/>
      <c r="L8" s="1451"/>
      <c r="M8" s="1451"/>
      <c r="N8" s="1451"/>
      <c r="O8" s="1451"/>
      <c r="P8" s="1451"/>
      <c r="Q8" s="1451"/>
      <c r="R8" s="1451"/>
      <c r="S8" s="1451"/>
      <c r="T8" s="1451"/>
      <c r="U8" s="1451"/>
      <c r="V8" s="1451"/>
      <c r="W8" s="1451"/>
      <c r="X8" s="1451"/>
      <c r="Y8" s="1451"/>
      <c r="Z8" s="1451"/>
      <c r="AA8" s="1451"/>
      <c r="AB8" s="1451"/>
      <c r="AC8" s="1451"/>
      <c r="AD8" s="1451"/>
      <c r="AE8" s="1451"/>
      <c r="AF8" s="1451"/>
      <c r="AG8" s="1451"/>
      <c r="AH8" s="1451"/>
      <c r="AI8" s="1451"/>
      <c r="AJ8" s="1451"/>
      <c r="AK8" s="1451"/>
      <c r="AL8" s="1451"/>
      <c r="AM8" s="1451"/>
      <c r="AN8" s="1451"/>
      <c r="AO8" s="1451"/>
      <c r="AP8" s="1451"/>
      <c r="AQ8" s="1451"/>
      <c r="AR8" s="1451"/>
      <c r="AS8" s="1451"/>
      <c r="AT8" s="1451"/>
      <c r="AU8" s="894"/>
      <c r="AV8" s="894"/>
      <c r="AW8" s="894"/>
      <c r="AX8" s="894"/>
      <c r="AY8" s="894"/>
      <c r="BD8" s="3" t="s">
        <v>2430</v>
      </c>
      <c r="BE8" s="1183">
        <f>SUMIF($AC$726:$AC$760,"&lt;=35%",$G$726:G$760)-SUM($BE$5:BE7)</f>
        <v>0</v>
      </c>
    </row>
    <row r="9" spans="1:58" ht="12.95" customHeight="1">
      <c r="A9" s="1319" t="s">
        <v>2032</v>
      </c>
      <c r="B9" s="1319"/>
      <c r="C9" s="1319"/>
      <c r="D9" s="1319"/>
      <c r="E9" s="1319"/>
      <c r="F9" s="1319"/>
      <c r="G9" s="1319"/>
      <c r="H9" s="1319"/>
      <c r="I9" s="1319"/>
      <c r="J9" s="1319"/>
      <c r="K9" s="1319"/>
      <c r="L9" s="1319"/>
      <c r="M9" s="1319"/>
      <c r="N9" s="1319"/>
      <c r="O9" s="1319"/>
      <c r="P9" s="1319"/>
      <c r="Q9" s="1319"/>
      <c r="R9" s="1319"/>
      <c r="S9" s="1319"/>
      <c r="T9" s="1319"/>
      <c r="U9" s="1319"/>
      <c r="V9" s="1319"/>
      <c r="W9" s="1319"/>
      <c r="X9" s="1319"/>
      <c r="Y9" s="1319"/>
      <c r="Z9" s="1319"/>
      <c r="AA9" s="1319"/>
      <c r="AB9" s="1319"/>
      <c r="AC9" s="1319"/>
      <c r="AD9" s="1319"/>
      <c r="AE9" s="1319"/>
      <c r="AF9" s="1319"/>
      <c r="AG9" s="1319"/>
      <c r="AH9" s="1319"/>
      <c r="AI9" s="1319"/>
      <c r="AJ9" s="1319"/>
      <c r="AK9" s="1319"/>
      <c r="AL9" s="1319"/>
      <c r="AM9" s="1319"/>
      <c r="AN9" s="1319"/>
      <c r="AO9" s="1319"/>
      <c r="AP9" s="1319"/>
      <c r="AQ9" s="1319"/>
      <c r="AR9" s="1319"/>
      <c r="AS9" s="1319"/>
      <c r="AT9" s="1319"/>
      <c r="AU9" s="13"/>
      <c r="AV9" s="13"/>
      <c r="AW9" s="13"/>
      <c r="AX9" s="13"/>
      <c r="AY9" s="13"/>
      <c r="BD9" s="1182" t="s">
        <v>2422</v>
      </c>
      <c r="BE9" s="1183">
        <f>SUMIF($AC$726:$AC$760,"&lt;=40%",$G$726:G$760)-SUM($BE$5:BE8)</f>
        <v>0</v>
      </c>
    </row>
    <row r="10" spans="1:58" ht="12.95" customHeight="1">
      <c r="A10" s="1319" t="s">
        <v>2592</v>
      </c>
      <c r="B10" s="1319"/>
      <c r="C10" s="1319"/>
      <c r="D10" s="1319"/>
      <c r="E10" s="1319"/>
      <c r="F10" s="1319"/>
      <c r="G10" s="1319"/>
      <c r="H10" s="1319"/>
      <c r="I10" s="1319"/>
      <c r="J10" s="1319"/>
      <c r="K10" s="1319"/>
      <c r="L10" s="1319"/>
      <c r="M10" s="1319"/>
      <c r="N10" s="1319"/>
      <c r="O10" s="1319"/>
      <c r="P10" s="1319"/>
      <c r="Q10" s="1319"/>
      <c r="R10" s="1319"/>
      <c r="S10" s="1319"/>
      <c r="T10" s="1319"/>
      <c r="U10" s="1319"/>
      <c r="V10" s="1319"/>
      <c r="W10" s="1319"/>
      <c r="X10" s="1319"/>
      <c r="Y10" s="1319"/>
      <c r="Z10" s="1319"/>
      <c r="AA10" s="1319"/>
      <c r="AB10" s="1319"/>
      <c r="AC10" s="1319"/>
      <c r="AD10" s="1319"/>
      <c r="AE10" s="1319"/>
      <c r="AF10" s="1319"/>
      <c r="AG10" s="1319"/>
      <c r="AH10" s="1319"/>
      <c r="AI10" s="1319"/>
      <c r="AJ10" s="1319"/>
      <c r="AK10" s="1319"/>
      <c r="AL10" s="1319"/>
      <c r="AM10" s="1319"/>
      <c r="AN10" s="1319"/>
      <c r="AO10" s="1319"/>
      <c r="AP10" s="1319"/>
      <c r="AQ10" s="1319"/>
      <c r="AR10" s="1319"/>
      <c r="AS10" s="1319"/>
      <c r="AT10" s="1319"/>
      <c r="AU10" s="13"/>
      <c r="AV10" s="13"/>
      <c r="AW10" s="13"/>
      <c r="AX10" s="13"/>
      <c r="AY10" s="13"/>
      <c r="BD10" s="3" t="s">
        <v>2431</v>
      </c>
      <c r="BE10" s="1183">
        <f>SUMIF($AC$726:$AC$760,"&lt;=45%",$G$726:G$760)-SUM($BE$5:BE9)</f>
        <v>0</v>
      </c>
    </row>
    <row r="11" spans="1:58" ht="12.95" customHeight="1">
      <c r="A11" s="1319" t="s">
        <v>2520</v>
      </c>
      <c r="B11" s="1319"/>
      <c r="C11" s="1319"/>
      <c r="D11" s="1319"/>
      <c r="E11" s="1319"/>
      <c r="F11" s="1319"/>
      <c r="G11" s="1319"/>
      <c r="H11" s="1319"/>
      <c r="I11" s="1319"/>
      <c r="J11" s="1319"/>
      <c r="K11" s="1319"/>
      <c r="L11" s="1319"/>
      <c r="M11" s="1319"/>
      <c r="N11" s="1319"/>
      <c r="O11" s="1319"/>
      <c r="P11" s="1319"/>
      <c r="Q11" s="1319"/>
      <c r="R11" s="1319"/>
      <c r="S11" s="1319"/>
      <c r="T11" s="1319"/>
      <c r="U11" s="1319"/>
      <c r="V11" s="1319"/>
      <c r="W11" s="1319"/>
      <c r="X11" s="1319"/>
      <c r="Y11" s="1319"/>
      <c r="Z11" s="1319"/>
      <c r="AA11" s="1319"/>
      <c r="AB11" s="1319"/>
      <c r="AC11" s="1319"/>
      <c r="AD11" s="1319"/>
      <c r="AE11" s="1319"/>
      <c r="AF11" s="1319"/>
      <c r="AG11" s="1319"/>
      <c r="AH11" s="1319"/>
      <c r="AI11" s="1319"/>
      <c r="AJ11" s="1319"/>
      <c r="AK11" s="1319"/>
      <c r="AL11" s="1319"/>
      <c r="AM11" s="1319"/>
      <c r="AN11" s="1319"/>
      <c r="AO11" s="1319"/>
      <c r="AP11" s="1319"/>
      <c r="AQ11" s="1319"/>
      <c r="AR11" s="1319"/>
      <c r="AS11" s="1319"/>
      <c r="AT11" s="1319"/>
      <c r="AU11" s="13"/>
      <c r="AV11" s="13"/>
      <c r="AW11" s="13"/>
      <c r="AX11" s="13"/>
      <c r="AY11" s="13"/>
      <c r="BD11" s="1181" t="s">
        <v>2423</v>
      </c>
      <c r="BE11" s="1183">
        <f>SUMIF($AC$726:$AC$760,"&lt;=50%",$G$726:G$760)-SUM($BE$5:BE10)</f>
        <v>9</v>
      </c>
    </row>
    <row r="12" spans="1:58" ht="12.95" customHeight="1">
      <c r="A12" s="1452" t="s">
        <v>2627</v>
      </c>
      <c r="B12" s="1452"/>
      <c r="C12" s="1452"/>
      <c r="D12" s="1452"/>
      <c r="E12" s="1452"/>
      <c r="F12" s="1452"/>
      <c r="G12" s="1452"/>
      <c r="H12" s="1452"/>
      <c r="I12" s="1452"/>
      <c r="J12" s="1452"/>
      <c r="K12" s="1452"/>
      <c r="L12" s="1452"/>
      <c r="M12" s="1452"/>
      <c r="N12" s="1452"/>
      <c r="O12" s="1452"/>
      <c r="P12" s="1452"/>
      <c r="Q12" s="1452"/>
      <c r="R12" s="1452"/>
      <c r="S12" s="1452"/>
      <c r="T12" s="1452"/>
      <c r="U12" s="1452"/>
      <c r="V12" s="1452"/>
      <c r="W12" s="1452"/>
      <c r="X12" s="1452"/>
      <c r="Y12" s="1452"/>
      <c r="Z12" s="1452"/>
      <c r="AA12" s="1452"/>
      <c r="AB12" s="1452"/>
      <c r="AC12" s="1452"/>
      <c r="AD12" s="1452"/>
      <c r="AE12" s="1452"/>
      <c r="AF12" s="1452"/>
      <c r="AG12" s="1452"/>
      <c r="AH12" s="1452"/>
      <c r="AI12" s="1452"/>
      <c r="AJ12" s="1452"/>
      <c r="AK12" s="1452"/>
      <c r="AL12" s="1452"/>
      <c r="AM12" s="1452"/>
      <c r="AN12" s="1452"/>
      <c r="AO12" s="1452"/>
      <c r="AP12" s="1452"/>
      <c r="AQ12" s="1452"/>
      <c r="AR12" s="1452"/>
      <c r="AS12" s="1452"/>
      <c r="AT12" s="1452"/>
      <c r="AU12" s="6"/>
      <c r="AV12" s="6"/>
      <c r="AW12" s="6"/>
      <c r="AX12" s="6"/>
      <c r="AY12" s="6"/>
      <c r="BD12" s="3" t="s">
        <v>2432</v>
      </c>
      <c r="BE12" s="1183">
        <f>SUMIF($AC$726:$AC$760,"&lt;=55%",$G$726:G$760)-SUM($BE$5:BE11)</f>
        <v>0</v>
      </c>
    </row>
    <row r="13" spans="1:58" ht="12.95" customHeight="1">
      <c r="A13" s="1403" t="s">
        <v>2033</v>
      </c>
      <c r="B13" s="1403"/>
      <c r="C13" s="1403"/>
      <c r="D13" s="1403"/>
      <c r="E13" s="1403"/>
      <c r="F13" s="1403"/>
      <c r="G13" s="1403"/>
      <c r="H13" s="1403"/>
      <c r="I13" s="1403"/>
      <c r="J13" s="1403"/>
      <c r="K13" s="1403"/>
      <c r="L13" s="1403"/>
      <c r="M13" s="1403"/>
      <c r="N13" s="1403"/>
      <c r="O13" s="1403"/>
      <c r="P13" s="1403"/>
      <c r="Q13" s="1403"/>
      <c r="R13" s="1403"/>
      <c r="S13" s="1403"/>
      <c r="T13" s="1403"/>
      <c r="U13" s="1403"/>
      <c r="V13" s="1403"/>
      <c r="W13" s="1403"/>
      <c r="X13" s="1403"/>
      <c r="Y13" s="1403"/>
      <c r="Z13" s="1403"/>
      <c r="AA13" s="1403"/>
      <c r="AB13" s="1403"/>
      <c r="AC13" s="1403"/>
      <c r="AD13" s="1403"/>
      <c r="AE13" s="1403"/>
      <c r="AF13" s="1403"/>
      <c r="AG13" s="1403"/>
      <c r="AH13" s="1403"/>
      <c r="AI13" s="1403"/>
      <c r="AJ13" s="1403"/>
      <c r="AK13" s="1403"/>
      <c r="AL13" s="1403"/>
      <c r="AM13" s="1403"/>
      <c r="AN13" s="1403"/>
      <c r="AO13" s="1403"/>
      <c r="AP13" s="1403"/>
      <c r="AQ13" s="1403"/>
      <c r="AR13" s="1403"/>
      <c r="AS13" s="1403"/>
      <c r="AT13" s="1403"/>
      <c r="AU13" s="895"/>
      <c r="AV13" s="895"/>
      <c r="AW13" s="895"/>
      <c r="AX13" s="895"/>
      <c r="AY13" s="895"/>
      <c r="BD13" s="1182" t="s">
        <v>2424</v>
      </c>
      <c r="BE13" s="1183">
        <f>SUMIF($AC$726:$AC$760,"&lt;=60%",$G$726:G$760)-SUM($BE$5:BE12)</f>
        <v>0</v>
      </c>
    </row>
    <row r="14" spans="1:58" ht="12.95" customHeight="1">
      <c r="A14" s="1403"/>
      <c r="B14" s="1403"/>
      <c r="C14" s="1403"/>
      <c r="D14" s="1403"/>
      <c r="E14" s="1403"/>
      <c r="F14" s="1403"/>
      <c r="G14" s="1403"/>
      <c r="H14" s="1403"/>
      <c r="I14" s="1403"/>
      <c r="J14" s="1403"/>
      <c r="K14" s="1403"/>
      <c r="L14" s="1403"/>
      <c r="M14" s="1403"/>
      <c r="N14" s="1403"/>
      <c r="O14" s="1403"/>
      <c r="P14" s="1403"/>
      <c r="Q14" s="1403"/>
      <c r="R14" s="1403"/>
      <c r="S14" s="1403"/>
      <c r="T14" s="1403"/>
      <c r="U14" s="1403"/>
      <c r="V14" s="1403"/>
      <c r="W14" s="1403"/>
      <c r="X14" s="1403"/>
      <c r="Y14" s="1403"/>
      <c r="Z14" s="1403"/>
      <c r="AA14" s="1403"/>
      <c r="AB14" s="1403"/>
      <c r="AC14" s="1403"/>
      <c r="AD14" s="1403"/>
      <c r="AE14" s="1403"/>
      <c r="AF14" s="1403"/>
      <c r="AG14" s="1403"/>
      <c r="AH14" s="1403"/>
      <c r="AI14" s="1403"/>
      <c r="AJ14" s="1403"/>
      <c r="AK14" s="1403"/>
      <c r="AL14" s="1403"/>
      <c r="AM14" s="1403"/>
      <c r="AN14" s="1403"/>
      <c r="AO14" s="1403"/>
      <c r="AP14" s="1403"/>
      <c r="AQ14" s="1403"/>
      <c r="AR14" s="1403"/>
      <c r="AS14" s="1403"/>
      <c r="AT14" s="1403"/>
      <c r="AU14" s="895"/>
      <c r="AV14" s="895"/>
      <c r="AW14" s="895"/>
      <c r="AX14" s="895"/>
      <c r="AY14" s="895"/>
      <c r="BD14" s="1181" t="s">
        <v>2425</v>
      </c>
      <c r="BE14" s="1183">
        <f>SUMIF($AC$726:$AC$760,"&lt;=70%",$G$726:G$760)-SUM($BE$5:BE13)</f>
        <v>39</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2426</v>
      </c>
      <c r="BE15" s="1183">
        <f>SUMIF($AC$726:$AC$760,"&lt;=80%",$G$726:G$760)-SUM($BE$5:BE14)</f>
        <v>0</v>
      </c>
    </row>
    <row r="16" spans="1:58" ht="12.95" customHeight="1">
      <c r="A16" s="57" t="s">
        <v>2034</v>
      </c>
      <c r="C16" s="4"/>
      <c r="D16" s="4"/>
      <c r="E16" s="4"/>
      <c r="F16" s="4"/>
      <c r="G16" s="4"/>
      <c r="H16" s="1399" t="s">
        <v>2751</v>
      </c>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BD16" s="1182" t="s">
        <v>656</v>
      </c>
      <c r="BE16" s="1183" t="str">
        <f>Application!H18</f>
        <v>Calyx</v>
      </c>
    </row>
    <row r="17" spans="1:58" ht="12.95" customHeight="1">
      <c r="BD17" s="1181" t="s">
        <v>2438</v>
      </c>
      <c r="BE17" s="1183">
        <f>Application!AA943</f>
        <v>0</v>
      </c>
    </row>
    <row r="18" spans="1:58" ht="12.95" customHeight="1">
      <c r="A18" s="57" t="s">
        <v>101</v>
      </c>
      <c r="C18" s="4"/>
      <c r="D18" s="4"/>
      <c r="E18" s="4"/>
      <c r="F18" s="4"/>
      <c r="G18" s="4"/>
      <c r="H18" s="1458" t="s">
        <v>2685</v>
      </c>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BD18" s="1182" t="s">
        <v>2439</v>
      </c>
      <c r="BE18" s="1183">
        <f>AA943</f>
        <v>0</v>
      </c>
    </row>
    <row r="19" spans="1:58" ht="12.95" customHeight="1">
      <c r="BD19" s="1181" t="s">
        <v>2440</v>
      </c>
      <c r="BE19" s="1183">
        <f>Application!M26</f>
        <v>1015069</v>
      </c>
    </row>
    <row r="20" spans="1:58" ht="12.95" customHeight="1">
      <c r="A20" s="1453" t="s">
        <v>873</v>
      </c>
      <c r="B20" s="1453"/>
      <c r="C20" s="1453"/>
      <c r="D20" s="1453"/>
      <c r="E20" s="1453"/>
      <c r="F20" s="1453"/>
      <c r="G20" s="1453"/>
      <c r="H20" s="1453"/>
      <c r="I20" s="1453"/>
      <c r="J20" s="1453"/>
      <c r="K20" s="1453"/>
      <c r="L20" s="1453"/>
      <c r="M20" s="1453"/>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c r="AL20" s="1453"/>
      <c r="AM20" s="1453"/>
      <c r="AN20" s="1453"/>
      <c r="AO20" s="1453"/>
      <c r="AP20" s="1453"/>
      <c r="AQ20" s="1453"/>
      <c r="AR20" s="1453"/>
      <c r="AS20" s="1453"/>
      <c r="AT20" s="1453"/>
      <c r="AU20" s="896"/>
      <c r="AV20" s="896"/>
      <c r="AW20" s="896"/>
      <c r="AX20" s="896"/>
      <c r="AY20" s="896"/>
      <c r="BD20" s="1182" t="s">
        <v>2441</v>
      </c>
      <c r="BE20" s="1183">
        <f>Application!M27</f>
        <v>1356167</v>
      </c>
    </row>
    <row r="21" spans="1:58" ht="12.95" customHeight="1">
      <c r="A21" s="1401" t="s">
        <v>1009</v>
      </c>
      <c r="B21" s="1401"/>
      <c r="C21" s="1401"/>
      <c r="D21" s="1401"/>
      <c r="E21" s="1401"/>
      <c r="F21" s="1401"/>
      <c r="G21" s="1401"/>
      <c r="H21" s="1401"/>
      <c r="I21" s="1401"/>
      <c r="J21" s="1401"/>
      <c r="K21" s="1401"/>
      <c r="L21" s="1401"/>
      <c r="M21" s="1401"/>
      <c r="N21" s="1401"/>
      <c r="O21" s="1401"/>
      <c r="P21" s="1401"/>
      <c r="Q21" s="1401"/>
      <c r="R21" s="1401"/>
      <c r="S21" s="1401"/>
      <c r="T21" s="1401"/>
      <c r="U21" s="1401"/>
      <c r="V21" s="1401"/>
      <c r="W21" s="1401"/>
      <c r="X21" s="1401"/>
      <c r="Y21" s="1401"/>
      <c r="Z21" s="1401"/>
      <c r="AA21" s="1401"/>
      <c r="AB21" s="1401"/>
      <c r="AC21" s="1401"/>
      <c r="AD21" s="1401"/>
      <c r="AE21" s="1401"/>
      <c r="AF21" s="1401"/>
      <c r="AG21" s="1401"/>
      <c r="AH21" s="1401"/>
      <c r="AI21" s="1401"/>
      <c r="AJ21" s="1401"/>
      <c r="AK21" s="1401"/>
      <c r="AL21" s="1401"/>
      <c r="AM21" s="897"/>
      <c r="AN21" s="897"/>
      <c r="AO21" s="897"/>
      <c r="AP21" s="897"/>
      <c r="AQ21" s="897"/>
      <c r="AR21" s="897"/>
      <c r="AS21" s="897"/>
      <c r="AT21" s="897"/>
      <c r="AU21" s="897"/>
      <c r="AV21" s="897"/>
      <c r="AW21" s="897"/>
      <c r="AX21" s="897"/>
      <c r="AY21" s="897"/>
      <c r="BD21" s="1181" t="s">
        <v>2442</v>
      </c>
      <c r="BE21" s="1183">
        <f>Application!AM562</f>
        <v>5423153</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21607387</v>
      </c>
      <c r="BF22" s="3" t="s">
        <v>2513</v>
      </c>
    </row>
    <row r="23" spans="1:58" ht="12.95" customHeight="1">
      <c r="A23" s="1273" t="s">
        <v>2100</v>
      </c>
      <c r="B23" s="1273"/>
      <c r="C23" s="1273"/>
      <c r="D23" s="1273"/>
      <c r="E23" s="1273"/>
      <c r="F23" s="1273"/>
      <c r="G23" s="1273"/>
      <c r="H23" s="1273"/>
      <c r="I23" s="1273"/>
      <c r="J23" s="1273"/>
      <c r="K23" s="1273"/>
      <c r="L23" s="1273"/>
      <c r="M23" s="1273"/>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c r="AL23" s="1273"/>
      <c r="AM23" s="1273"/>
      <c r="AN23" s="1273"/>
      <c r="AO23" s="1273"/>
      <c r="AP23" s="1273"/>
      <c r="AQ23" s="1273"/>
      <c r="AR23" s="1273"/>
      <c r="AS23" s="1273"/>
      <c r="AT23" s="1273"/>
      <c r="AU23" s="18"/>
      <c r="AV23" s="18"/>
      <c r="AW23" s="18"/>
      <c r="AX23" s="18"/>
      <c r="AY23" s="18"/>
      <c r="AZ23" s="18"/>
      <c r="BD23" s="1181" t="s">
        <v>2443</v>
      </c>
      <c r="BE23" s="1183">
        <f>'Sources and Uses Budget'!B4</f>
        <v>0</v>
      </c>
    </row>
    <row r="24" spans="1:58" ht="12.95" customHeight="1">
      <c r="A24" s="1273"/>
      <c r="B24" s="1273"/>
      <c r="C24" s="1273"/>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c r="AL24" s="1273"/>
      <c r="AM24" s="1273"/>
      <c r="AN24" s="1273"/>
      <c r="AO24" s="1273"/>
      <c r="AP24" s="1273"/>
      <c r="AQ24" s="1273"/>
      <c r="AR24" s="1273"/>
      <c r="AS24" s="1273"/>
      <c r="AT24" s="1273"/>
      <c r="AU24" s="18"/>
      <c r="AV24" s="18"/>
      <c r="AW24" s="18"/>
      <c r="AX24" s="18"/>
      <c r="AY24" s="18"/>
      <c r="AZ24" s="18"/>
      <c r="BD24" s="1182" t="s">
        <v>2444</v>
      </c>
      <c r="BE24" s="1183">
        <f>Application!AG459</f>
        <v>38899</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2445</v>
      </c>
      <c r="BE25" s="1183" t="str">
        <f>Application!D208</f>
        <v>40%/60% Average Income</v>
      </c>
    </row>
    <row r="26" spans="1:58" ht="12.95" customHeight="1">
      <c r="A26" s="4"/>
      <c r="C26" s="4"/>
      <c r="D26" s="4"/>
      <c r="E26" s="4"/>
      <c r="F26" s="4"/>
      <c r="G26" s="4"/>
      <c r="H26" s="4"/>
      <c r="I26" s="4"/>
      <c r="J26" s="4"/>
      <c r="K26" s="4"/>
      <c r="L26" s="4"/>
      <c r="M26" s="1460">
        <f>'Basis &amp; Credits'!AB56</f>
        <v>1015069</v>
      </c>
      <c r="N26" s="1460"/>
      <c r="O26" s="1460"/>
      <c r="P26" s="1460"/>
      <c r="Q26" s="1460"/>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402">
        <f>'Basis &amp; Credits'!AB78</f>
        <v>1356167</v>
      </c>
      <c r="N27" s="1402"/>
      <c r="O27" s="1402"/>
      <c r="P27" s="1402"/>
      <c r="Q27" s="1402"/>
      <c r="R27" s="3" t="s">
        <v>1267</v>
      </c>
      <c r="S27" s="4"/>
      <c r="T27" s="4"/>
      <c r="U27" s="4"/>
      <c r="V27" s="4"/>
      <c r="W27" s="4"/>
      <c r="X27" s="4"/>
      <c r="Y27" s="4"/>
      <c r="Z27" s="4"/>
      <c r="AF27" s="4"/>
      <c r="AG27" s="4"/>
      <c r="AH27" s="4"/>
      <c r="AI27" s="4"/>
      <c r="AJ27" s="4"/>
      <c r="AK27" s="4"/>
      <c r="BD27" s="1181" t="s">
        <v>2053</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2446</v>
      </c>
      <c r="BE28" s="1183" t="b">
        <f>Application!M366="Yes"</f>
        <v>0</v>
      </c>
    </row>
    <row r="29" spans="1:58" ht="12.95" customHeight="1">
      <c r="A29" s="1454" t="s">
        <v>2101</v>
      </c>
      <c r="B29" s="1454"/>
      <c r="C29" s="1454"/>
      <c r="D29" s="1454"/>
      <c r="E29" s="1454"/>
      <c r="F29" s="1454"/>
      <c r="G29" s="1454"/>
      <c r="H29" s="1454"/>
      <c r="I29" s="1454"/>
      <c r="J29" s="1454"/>
      <c r="K29" s="1454"/>
      <c r="L29" s="1454"/>
      <c r="M29" s="1454"/>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c r="AL29" s="1454"/>
      <c r="AM29" s="1454"/>
      <c r="AN29" s="1454"/>
      <c r="AO29" s="1454"/>
      <c r="AP29" s="1454"/>
      <c r="AQ29" s="1454"/>
      <c r="AR29" s="1454"/>
      <c r="AS29" s="1454"/>
      <c r="AT29" s="1454"/>
      <c r="BD29" s="1181" t="s">
        <v>2447</v>
      </c>
      <c r="BE29" s="1183" t="b">
        <f>Application!M367="Yes"</f>
        <v>0</v>
      </c>
    </row>
    <row r="30" spans="1:58" ht="12.95" customHeight="1">
      <c r="A30" s="1454"/>
      <c r="B30" s="1454"/>
      <c r="C30" s="1454"/>
      <c r="D30" s="1454"/>
      <c r="E30" s="1454"/>
      <c r="F30" s="1454"/>
      <c r="G30" s="1454"/>
      <c r="H30" s="1454"/>
      <c r="I30" s="1454"/>
      <c r="J30" s="1454"/>
      <c r="K30" s="1454"/>
      <c r="L30" s="1454"/>
      <c r="M30" s="1454"/>
      <c r="N30" s="1454"/>
      <c r="O30" s="1454"/>
      <c r="P30" s="1454"/>
      <c r="Q30" s="1454"/>
      <c r="R30" s="1454"/>
      <c r="S30" s="1454"/>
      <c r="T30" s="1454"/>
      <c r="U30" s="1454"/>
      <c r="V30" s="1454"/>
      <c r="W30" s="1454"/>
      <c r="X30" s="1454"/>
      <c r="Y30" s="1454"/>
      <c r="Z30" s="1454"/>
      <c r="AA30" s="1454"/>
      <c r="AB30" s="1454"/>
      <c r="AC30" s="1454"/>
      <c r="AD30" s="1454"/>
      <c r="AE30" s="1454"/>
      <c r="AF30" s="1454"/>
      <c r="AG30" s="1454"/>
      <c r="AH30" s="1454"/>
      <c r="AI30" s="1454"/>
      <c r="AJ30" s="1454"/>
      <c r="AK30" s="1454"/>
      <c r="AL30" s="1454"/>
      <c r="AM30" s="1454"/>
      <c r="AN30" s="1454"/>
      <c r="AO30" s="1454"/>
      <c r="AP30" s="1454"/>
      <c r="AQ30" s="1454"/>
      <c r="AR30" s="1454"/>
      <c r="AS30" s="1454"/>
      <c r="AT30" s="1454"/>
      <c r="AZ30" s="20"/>
      <c r="BD30" s="1182" t="s">
        <v>28</v>
      </c>
      <c r="BE30" s="1183" t="b">
        <f>Application!AJ364="Yes"</f>
        <v>0</v>
      </c>
    </row>
    <row r="31" spans="1:58" ht="12.95" customHeight="1">
      <c r="A31" s="1454"/>
      <c r="B31" s="1454"/>
      <c r="C31" s="1454"/>
      <c r="D31" s="1454"/>
      <c r="E31" s="1454"/>
      <c r="F31" s="1454"/>
      <c r="G31" s="1454"/>
      <c r="H31" s="1454"/>
      <c r="I31" s="1454"/>
      <c r="J31" s="1454"/>
      <c r="K31" s="1454"/>
      <c r="L31" s="1454"/>
      <c r="M31" s="1454"/>
      <c r="N31" s="1454"/>
      <c r="O31" s="1454"/>
      <c r="P31" s="1454"/>
      <c r="Q31" s="1454"/>
      <c r="R31" s="1454"/>
      <c r="S31" s="1454"/>
      <c r="T31" s="1454"/>
      <c r="U31" s="1454"/>
      <c r="V31" s="1454"/>
      <c r="W31" s="1454"/>
      <c r="X31" s="1454"/>
      <c r="Y31" s="1454"/>
      <c r="Z31" s="1454"/>
      <c r="AA31" s="1454"/>
      <c r="AB31" s="1454"/>
      <c r="AC31" s="1454"/>
      <c r="AD31" s="1454"/>
      <c r="AE31" s="1454"/>
      <c r="AF31" s="1454"/>
      <c r="AG31" s="1454"/>
      <c r="AH31" s="1454"/>
      <c r="AI31" s="1454"/>
      <c r="AJ31" s="1454"/>
      <c r="AK31" s="1454"/>
      <c r="AL31" s="1454"/>
      <c r="AM31" s="1454"/>
      <c r="AN31" s="1454"/>
      <c r="AO31" s="1454"/>
      <c r="AP31" s="1454"/>
      <c r="AQ31" s="1454"/>
      <c r="AR31" s="1454"/>
      <c r="AS31" s="1454"/>
      <c r="AT31" s="1454"/>
      <c r="AU31" s="20"/>
      <c r="AV31" s="20"/>
      <c r="AW31" s="20"/>
      <c r="AX31" s="20"/>
      <c r="AY31" s="20"/>
      <c r="AZ31" s="20"/>
      <c r="BD31" s="1181" t="s">
        <v>2448</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2449</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266" t="s">
        <v>669</v>
      </c>
      <c r="P33" s="1266"/>
      <c r="Q33" s="1455" t="s">
        <v>2102</v>
      </c>
      <c r="R33" s="1455"/>
      <c r="S33" s="1455"/>
      <c r="T33" s="1455"/>
      <c r="U33" s="1455"/>
      <c r="V33" s="1455"/>
      <c r="W33" s="1455"/>
      <c r="X33" s="1455"/>
      <c r="Y33" s="1455"/>
      <c r="Z33" s="1455"/>
      <c r="AA33" s="1455"/>
      <c r="AB33" s="1455"/>
      <c r="AC33" s="1455"/>
      <c r="AD33" s="1455"/>
      <c r="AE33" s="1455"/>
      <c r="AF33" s="1455"/>
      <c r="AG33" s="1455"/>
      <c r="AH33" s="1455"/>
      <c r="AI33" s="1455"/>
      <c r="AJ33" s="1455"/>
      <c r="AK33" s="1455"/>
      <c r="AL33" s="1455"/>
      <c r="AM33" s="1455"/>
      <c r="AN33" s="1455"/>
      <c r="AO33" s="1455"/>
      <c r="AP33" s="1455"/>
      <c r="AQ33" s="1455"/>
      <c r="AR33" s="1455"/>
      <c r="AS33" s="1455"/>
      <c r="AT33" s="1455"/>
      <c r="AU33" s="20"/>
      <c r="AV33" s="20"/>
      <c r="AW33" s="20"/>
      <c r="AX33" s="20"/>
      <c r="AY33" s="20"/>
      <c r="BD33" s="1181" t="s">
        <v>2514</v>
      </c>
      <c r="BE33" s="1183" t="str">
        <f>Application!D220</f>
        <v>City of Los Angeles</v>
      </c>
    </row>
    <row r="34" spans="1:57" ht="12.95" hidden="1" customHeight="1">
      <c r="A34" s="1454" t="s">
        <v>2103</v>
      </c>
      <c r="B34" s="1454"/>
      <c r="C34" s="1454"/>
      <c r="D34" s="1454"/>
      <c r="E34" s="1454"/>
      <c r="F34" s="1454"/>
      <c r="G34" s="1454"/>
      <c r="H34" s="1454"/>
      <c r="I34" s="1454"/>
      <c r="J34" s="1454"/>
      <c r="K34" s="1454"/>
      <c r="L34" s="1454"/>
      <c r="M34" s="1454"/>
      <c r="N34" s="1454"/>
      <c r="O34" s="1454"/>
      <c r="P34" s="1454"/>
      <c r="Q34" s="1454"/>
      <c r="R34" s="1454"/>
      <c r="S34" s="1454"/>
      <c r="T34" s="1454"/>
      <c r="U34" s="1454"/>
      <c r="V34" s="1454"/>
      <c r="W34" s="1454"/>
      <c r="X34" s="1454"/>
      <c r="Y34" s="1454"/>
      <c r="Z34" s="1454"/>
      <c r="AA34" s="1454"/>
      <c r="AB34" s="1454"/>
      <c r="AC34" s="1454"/>
      <c r="AD34" s="1454"/>
      <c r="AE34" s="1454"/>
      <c r="AF34" s="1454"/>
      <c r="AG34" s="1454"/>
      <c r="AH34" s="1454"/>
      <c r="AI34" s="1454"/>
      <c r="AJ34" s="1454"/>
      <c r="AK34" s="1454"/>
      <c r="AL34" s="1454"/>
      <c r="AM34" s="1454"/>
      <c r="AN34" s="1454"/>
      <c r="AO34" s="1454"/>
      <c r="AP34" s="1454"/>
      <c r="AQ34" s="1454"/>
      <c r="AR34" s="1454"/>
      <c r="AS34" s="1454"/>
      <c r="AT34" s="1454"/>
      <c r="AU34" s="20"/>
      <c r="AV34" s="20"/>
      <c r="AW34" s="20"/>
      <c r="AX34" s="20"/>
      <c r="AY34" s="20"/>
      <c r="AZ34" s="20"/>
      <c r="BD34" s="1182" t="s">
        <v>2450</v>
      </c>
      <c r="BE34" s="1183" t="str">
        <f>Application!I185</f>
        <v>544 S Mariposa Avenue</v>
      </c>
    </row>
    <row r="35" spans="1:57" ht="12.95" hidden="1" customHeight="1">
      <c r="A35" s="1454"/>
      <c r="B35" s="1454"/>
      <c r="C35" s="1454"/>
      <c r="D35" s="1454"/>
      <c r="E35" s="1454"/>
      <c r="F35" s="1454"/>
      <c r="G35" s="1454"/>
      <c r="H35" s="1454"/>
      <c r="I35" s="1454"/>
      <c r="J35" s="1454"/>
      <c r="K35" s="1454"/>
      <c r="L35" s="1454"/>
      <c r="M35" s="1454"/>
      <c r="N35" s="1454"/>
      <c r="O35" s="1454"/>
      <c r="P35" s="1454"/>
      <c r="Q35" s="1454"/>
      <c r="R35" s="1454"/>
      <c r="S35" s="1454"/>
      <c r="T35" s="1454"/>
      <c r="U35" s="1454"/>
      <c r="V35" s="1454"/>
      <c r="W35" s="1454"/>
      <c r="X35" s="1454"/>
      <c r="Y35" s="1454"/>
      <c r="Z35" s="1454"/>
      <c r="AA35" s="1454"/>
      <c r="AB35" s="1454"/>
      <c r="AC35" s="1454"/>
      <c r="AD35" s="1454"/>
      <c r="AE35" s="1454"/>
      <c r="AF35" s="1454"/>
      <c r="AG35" s="1454"/>
      <c r="AH35" s="1454"/>
      <c r="AI35" s="1454"/>
      <c r="AJ35" s="1454"/>
      <c r="AK35" s="1454"/>
      <c r="AL35" s="1454"/>
      <c r="AM35" s="1454"/>
      <c r="AN35" s="1454"/>
      <c r="AO35" s="1454"/>
      <c r="AP35" s="1454"/>
      <c r="AQ35" s="1454"/>
      <c r="AR35" s="1454"/>
      <c r="AS35" s="1454"/>
      <c r="AT35" s="1454"/>
      <c r="AU35" s="20"/>
      <c r="AV35" s="20"/>
      <c r="AW35" s="20"/>
      <c r="AX35" s="20"/>
      <c r="AY35" s="20"/>
      <c r="AZ35" s="20"/>
      <c r="BD35" s="1181" t="s">
        <v>2451</v>
      </c>
      <c r="BE35" s="1183" t="str">
        <f>IF(Application!E187="","",Application!E187)</f>
        <v/>
      </c>
    </row>
    <row r="36" spans="1:57" ht="12.95" hidden="1" customHeight="1">
      <c r="A36" s="1454"/>
      <c r="B36" s="1454"/>
      <c r="C36" s="1454"/>
      <c r="D36" s="1454"/>
      <c r="E36" s="1454"/>
      <c r="F36" s="1454"/>
      <c r="G36" s="1454"/>
      <c r="H36" s="1454"/>
      <c r="I36" s="1454"/>
      <c r="J36" s="1454"/>
      <c r="K36" s="1454"/>
      <c r="L36" s="1454"/>
      <c r="M36" s="1454"/>
      <c r="N36" s="1454"/>
      <c r="O36" s="1454"/>
      <c r="P36" s="1454"/>
      <c r="Q36" s="1454"/>
      <c r="R36" s="1454"/>
      <c r="S36" s="1454"/>
      <c r="T36" s="1454"/>
      <c r="U36" s="1454"/>
      <c r="V36" s="1454"/>
      <c r="W36" s="1454"/>
      <c r="X36" s="1454"/>
      <c r="Y36" s="1454"/>
      <c r="Z36" s="1454"/>
      <c r="AA36" s="1454"/>
      <c r="AB36" s="1454"/>
      <c r="AC36" s="1454"/>
      <c r="AD36" s="1454"/>
      <c r="AE36" s="1454"/>
      <c r="AF36" s="1454"/>
      <c r="AG36" s="1454"/>
      <c r="AH36" s="1454"/>
      <c r="AI36" s="1454"/>
      <c r="AJ36" s="1454"/>
      <c r="AK36" s="1454"/>
      <c r="AL36" s="1454"/>
      <c r="AM36" s="1454"/>
      <c r="AN36" s="1454"/>
      <c r="AO36" s="1454"/>
      <c r="AP36" s="1454"/>
      <c r="AQ36" s="1454"/>
      <c r="AR36" s="1454"/>
      <c r="AS36" s="1454"/>
      <c r="AT36" s="1454"/>
      <c r="AU36" s="20"/>
      <c r="AV36" s="20"/>
      <c r="AW36" s="20"/>
      <c r="AX36" s="20"/>
      <c r="AY36" s="20"/>
      <c r="AZ36" s="20"/>
      <c r="BD36" s="1182" t="s">
        <v>2452</v>
      </c>
      <c r="BE36" s="1183" t="str">
        <f>Application!I189</f>
        <v xml:space="preserve">Los Angeles </v>
      </c>
    </row>
    <row r="37" spans="1:57" ht="12.95" hidden="1" customHeight="1">
      <c r="A37" s="1454"/>
      <c r="B37" s="1454"/>
      <c r="C37" s="1454"/>
      <c r="D37" s="1454"/>
      <c r="E37" s="1454"/>
      <c r="F37" s="1454"/>
      <c r="G37" s="1454"/>
      <c r="H37" s="1454"/>
      <c r="I37" s="1454"/>
      <c r="J37" s="1454"/>
      <c r="K37" s="1454"/>
      <c r="L37" s="1454"/>
      <c r="M37" s="1454"/>
      <c r="N37" s="1454"/>
      <c r="O37" s="1454"/>
      <c r="P37" s="1454"/>
      <c r="Q37" s="1454"/>
      <c r="R37" s="1454"/>
      <c r="S37" s="1454"/>
      <c r="T37" s="1454"/>
      <c r="U37" s="1454"/>
      <c r="V37" s="1454"/>
      <c r="W37" s="1454"/>
      <c r="X37" s="1454"/>
      <c r="Y37" s="1454"/>
      <c r="Z37" s="1454"/>
      <c r="AA37" s="1454"/>
      <c r="AB37" s="1454"/>
      <c r="AC37" s="1454"/>
      <c r="AD37" s="1454"/>
      <c r="AE37" s="1454"/>
      <c r="AF37" s="1454"/>
      <c r="AG37" s="1454"/>
      <c r="AH37" s="1454"/>
      <c r="AI37" s="1454"/>
      <c r="AJ37" s="1454"/>
      <c r="AK37" s="1454"/>
      <c r="AL37" s="1454"/>
      <c r="AM37" s="1454"/>
      <c r="AN37" s="1454"/>
      <c r="AO37" s="1454"/>
      <c r="AP37" s="1454"/>
      <c r="AQ37" s="1454"/>
      <c r="AR37" s="1454"/>
      <c r="AS37" s="1454"/>
      <c r="AT37" s="1454"/>
      <c r="AZ37" s="20"/>
      <c r="BD37" s="1181" t="s">
        <v>2453</v>
      </c>
      <c r="BE37" s="1183" t="str">
        <f>Application!T189</f>
        <v>Los Angeles</v>
      </c>
    </row>
    <row r="38" spans="1:57" ht="12.95" hidden="1" customHeight="1">
      <c r="A38" s="3"/>
      <c r="AZ38" s="20"/>
      <c r="BD38" s="1182" t="s">
        <v>2454</v>
      </c>
      <c r="BE38" s="1183">
        <f>Application!I190</f>
        <v>90020</v>
      </c>
    </row>
    <row r="39" spans="1:57" ht="12.95" customHeight="1">
      <c r="A39" s="1456" t="s">
        <v>2104</v>
      </c>
      <c r="B39" s="1456"/>
      <c r="C39" s="1456"/>
      <c r="D39" s="1456"/>
      <c r="E39" s="1456"/>
      <c r="F39" s="1456"/>
      <c r="G39" s="1456"/>
      <c r="H39" s="1456"/>
      <c r="I39" s="1456"/>
      <c r="J39" s="1456"/>
      <c r="K39" s="1456"/>
      <c r="L39" s="1456"/>
      <c r="M39" s="1456"/>
      <c r="N39" s="1456"/>
      <c r="O39" s="1456"/>
      <c r="P39" s="1456"/>
      <c r="Q39" s="1456"/>
      <c r="R39" s="1456"/>
      <c r="S39" s="1456"/>
      <c r="T39" s="1456"/>
      <c r="U39" s="1456"/>
      <c r="V39" s="1456"/>
      <c r="W39" s="1456"/>
      <c r="X39" s="1456"/>
      <c r="Y39" s="1456"/>
      <c r="Z39" s="1456"/>
      <c r="AA39" s="1456"/>
      <c r="AB39" s="1456"/>
      <c r="AC39" s="1456"/>
      <c r="AD39" s="1456"/>
      <c r="AE39" s="1456"/>
      <c r="AF39" s="1456"/>
      <c r="AG39" s="1456"/>
      <c r="AH39" s="1456"/>
      <c r="AI39" s="1456"/>
      <c r="AJ39" s="1456"/>
      <c r="AK39" s="1456"/>
      <c r="AL39" s="1456"/>
      <c r="AM39" s="1456"/>
      <c r="AN39" s="1456"/>
      <c r="AO39" s="1456"/>
      <c r="AP39" s="1456"/>
      <c r="AQ39" s="1456"/>
      <c r="AR39" s="1456"/>
      <c r="AS39" s="1456"/>
      <c r="AT39" s="1456"/>
      <c r="AZ39" s="20"/>
      <c r="BD39" s="1181" t="s">
        <v>2455</v>
      </c>
      <c r="BE39" s="1183">
        <f>Application!AG446</f>
        <v>59</v>
      </c>
    </row>
    <row r="40" spans="1:57" ht="12.95" customHeight="1">
      <c r="A40" s="1456"/>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6"/>
      <c r="AA40" s="1456"/>
      <c r="AB40" s="1456"/>
      <c r="AC40" s="1456"/>
      <c r="AD40" s="1456"/>
      <c r="AE40" s="1456"/>
      <c r="AF40" s="1456"/>
      <c r="AG40" s="1456"/>
      <c r="AH40" s="1456"/>
      <c r="AI40" s="1456"/>
      <c r="AJ40" s="1456"/>
      <c r="AK40" s="1456"/>
      <c r="AL40" s="1456"/>
      <c r="AM40" s="1456"/>
      <c r="AN40" s="1456"/>
      <c r="AO40" s="1456"/>
      <c r="AP40" s="1456"/>
      <c r="AQ40" s="1456"/>
      <c r="AR40" s="1456"/>
      <c r="AS40" s="1456"/>
      <c r="AT40" s="1456"/>
      <c r="AU40" s="20"/>
      <c r="AV40" s="20"/>
      <c r="AW40" s="20"/>
      <c r="AX40" s="20"/>
      <c r="AY40" s="20"/>
      <c r="AZ40" s="20"/>
      <c r="BD40" s="1182" t="s">
        <v>384</v>
      </c>
      <c r="BE40" s="1183">
        <f>Application!AG449</f>
        <v>58</v>
      </c>
    </row>
    <row r="41" spans="1:57" ht="12.95" customHeight="1">
      <c r="A41" s="1456"/>
      <c r="B41" s="1456"/>
      <c r="C41" s="1456"/>
      <c r="D41" s="1456"/>
      <c r="E41" s="1456"/>
      <c r="F41" s="1456"/>
      <c r="G41" s="1456"/>
      <c r="H41" s="1456"/>
      <c r="I41" s="1456"/>
      <c r="J41" s="1456"/>
      <c r="K41" s="1456"/>
      <c r="L41" s="1456"/>
      <c r="M41" s="1456"/>
      <c r="N41" s="1456"/>
      <c r="O41" s="1456"/>
      <c r="P41" s="1456"/>
      <c r="Q41" s="1456"/>
      <c r="R41" s="1456"/>
      <c r="S41" s="1456"/>
      <c r="T41" s="1456"/>
      <c r="U41" s="1456"/>
      <c r="V41" s="1456"/>
      <c r="W41" s="1456"/>
      <c r="X41" s="1456"/>
      <c r="Y41" s="1456"/>
      <c r="Z41" s="1456"/>
      <c r="AA41" s="1456"/>
      <c r="AB41" s="1456"/>
      <c r="AC41" s="1456"/>
      <c r="AD41" s="1456"/>
      <c r="AE41" s="1456"/>
      <c r="AF41" s="1456"/>
      <c r="AG41" s="1456"/>
      <c r="AH41" s="1456"/>
      <c r="AI41" s="1456"/>
      <c r="AJ41" s="1456"/>
      <c r="AK41" s="1456"/>
      <c r="AL41" s="1456"/>
      <c r="AM41" s="1456"/>
      <c r="AN41" s="1456"/>
      <c r="AO41" s="1456"/>
      <c r="AP41" s="1456"/>
      <c r="AQ41" s="1456"/>
      <c r="AR41" s="1456"/>
      <c r="AS41" s="1456"/>
      <c r="AT41" s="1456"/>
      <c r="AU41" s="20"/>
      <c r="AV41" s="20"/>
      <c r="AW41" s="20"/>
      <c r="AX41" s="20"/>
      <c r="AY41" s="20"/>
      <c r="AZ41" s="20"/>
      <c r="BD41" s="1181" t="s">
        <v>287</v>
      </c>
      <c r="BE41" s="1183">
        <f>Application!AG447</f>
        <v>0</v>
      </c>
    </row>
    <row r="42" spans="1:57" ht="12.95" customHeight="1">
      <c r="A42" s="1456"/>
      <c r="B42" s="1456"/>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6"/>
      <c r="AA42" s="1456"/>
      <c r="AB42" s="1456"/>
      <c r="AC42" s="1456"/>
      <c r="AD42" s="1456"/>
      <c r="AE42" s="1456"/>
      <c r="AF42" s="1456"/>
      <c r="AG42" s="1456"/>
      <c r="AH42" s="1456"/>
      <c r="AI42" s="1456"/>
      <c r="AJ42" s="1456"/>
      <c r="AK42" s="1456"/>
      <c r="AL42" s="1456"/>
      <c r="AM42" s="1456"/>
      <c r="AN42" s="1456"/>
      <c r="AO42" s="1456"/>
      <c r="AP42" s="1456"/>
      <c r="AQ42" s="1456"/>
      <c r="AR42" s="1456"/>
      <c r="AS42" s="1456"/>
      <c r="AT42" s="1456"/>
      <c r="AZ42" s="20"/>
      <c r="BD42" s="1182" t="s">
        <v>2456</v>
      </c>
      <c r="BE42" s="1185">
        <f>Application!AC761</f>
        <v>0.59999999999999987</v>
      </c>
    </row>
    <row r="43" spans="1:57" ht="12.95" customHeight="1">
      <c r="A43" s="1456"/>
      <c r="B43" s="1456"/>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6"/>
      <c r="AA43" s="1456"/>
      <c r="AB43" s="1456"/>
      <c r="AC43" s="1456"/>
      <c r="AD43" s="1456"/>
      <c r="AE43" s="1456"/>
      <c r="AF43" s="1456"/>
      <c r="AG43" s="1456"/>
      <c r="AH43" s="1456"/>
      <c r="AI43" s="1456"/>
      <c r="AJ43" s="1456"/>
      <c r="AK43" s="1456"/>
      <c r="AL43" s="1456"/>
      <c r="AM43" s="1456"/>
      <c r="AN43" s="1456"/>
      <c r="AO43" s="1456"/>
      <c r="AP43" s="1456"/>
      <c r="AQ43" s="1456"/>
      <c r="AR43" s="1456"/>
      <c r="AS43" s="1456"/>
      <c r="AT43" s="1456"/>
      <c r="AU43" s="20"/>
      <c r="AV43" s="20"/>
      <c r="AW43" s="20"/>
      <c r="AX43" s="20"/>
      <c r="AY43" s="20"/>
      <c r="AZ43" s="20"/>
      <c r="BD43" s="1181" t="s">
        <v>2457</v>
      </c>
      <c r="BE43" s="1185">
        <f>Application!AH761</f>
        <v>0.60002126065563799</v>
      </c>
    </row>
    <row r="44" spans="1:57" ht="12.95" customHeight="1">
      <c r="A44" s="1456"/>
      <c r="B44" s="1456"/>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6"/>
      <c r="AA44" s="1456"/>
      <c r="AB44" s="1456"/>
      <c r="AC44" s="1456"/>
      <c r="AD44" s="1456"/>
      <c r="AE44" s="1456"/>
      <c r="AF44" s="1456"/>
      <c r="AG44" s="1456"/>
      <c r="AH44" s="1456"/>
      <c r="AI44" s="1456"/>
      <c r="AJ44" s="1456"/>
      <c r="AK44" s="1456"/>
      <c r="AL44" s="1456"/>
      <c r="AM44" s="1456"/>
      <c r="AN44" s="1456"/>
      <c r="AO44" s="1456"/>
      <c r="AP44" s="1456"/>
      <c r="AQ44" s="1456"/>
      <c r="AR44" s="1456"/>
      <c r="AS44" s="1456"/>
      <c r="AT44" s="1456"/>
      <c r="AU44" s="20"/>
      <c r="AV44" s="20"/>
      <c r="AW44" s="20"/>
      <c r="AX44" s="20"/>
      <c r="AY44" s="20"/>
      <c r="AZ44" s="20"/>
      <c r="BD44" s="1182" t="s">
        <v>2458</v>
      </c>
      <c r="BE44" s="1183">
        <f>Application!AC463</f>
        <v>366226.89830508473</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2459</v>
      </c>
      <c r="BE45" s="1183">
        <f>Application!AE433</f>
        <v>1</v>
      </c>
    </row>
    <row r="46" spans="1:57" ht="12.95" customHeight="1">
      <c r="A46" s="1273" t="s">
        <v>2105</v>
      </c>
      <c r="B46" s="1273"/>
      <c r="C46" s="1273"/>
      <c r="D46" s="1273"/>
      <c r="E46" s="1273"/>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c r="AM46" s="1273"/>
      <c r="AN46" s="1273"/>
      <c r="AO46" s="1273"/>
      <c r="AP46" s="1273"/>
      <c r="AQ46" s="1273"/>
      <c r="AR46" s="1273"/>
      <c r="AS46" s="1273"/>
      <c r="AT46" s="1273"/>
      <c r="AU46" s="20"/>
      <c r="AV46" s="20"/>
      <c r="AW46" s="20"/>
      <c r="AX46" s="20"/>
      <c r="AY46" s="20"/>
      <c r="AZ46" s="20"/>
      <c r="BD46" s="1182" t="s">
        <v>2460</v>
      </c>
      <c r="BE46" s="1183" t="b">
        <f>Application!T195="Yes"</f>
        <v>0</v>
      </c>
    </row>
    <row r="47" spans="1:57" ht="12.95" customHeight="1">
      <c r="A47" s="1273"/>
      <c r="B47" s="1273"/>
      <c r="C47" s="1273"/>
      <c r="D47" s="1273"/>
      <c r="E47" s="1273"/>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c r="AM47" s="1273"/>
      <c r="AN47" s="1273"/>
      <c r="AO47" s="1273"/>
      <c r="AP47" s="1273"/>
      <c r="AQ47" s="1273"/>
      <c r="AR47" s="1273"/>
      <c r="AS47" s="1273"/>
      <c r="AT47" s="1273"/>
      <c r="AU47" s="20"/>
      <c r="AV47" s="20"/>
      <c r="AW47" s="20"/>
      <c r="AX47" s="20"/>
      <c r="AY47" s="20"/>
      <c r="AZ47" s="20"/>
      <c r="BD47" s="1181" t="s">
        <v>2461</v>
      </c>
      <c r="BE47" s="1183" t="b">
        <f>Application!T196="Yes"</f>
        <v>1</v>
      </c>
    </row>
    <row r="48" spans="1:57" ht="12.95" customHeight="1">
      <c r="A48" s="1273"/>
      <c r="B48" s="1273"/>
      <c r="C48" s="1273"/>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c r="AF48" s="1273"/>
      <c r="AG48" s="1273"/>
      <c r="AH48" s="1273"/>
      <c r="AI48" s="1273"/>
      <c r="AJ48" s="1273"/>
      <c r="AK48" s="1273"/>
      <c r="AL48" s="1273"/>
      <c r="AM48" s="1273"/>
      <c r="AN48" s="1273"/>
      <c r="AO48" s="1273"/>
      <c r="AP48" s="1273"/>
      <c r="AQ48" s="1273"/>
      <c r="AR48" s="1273"/>
      <c r="AS48" s="1273"/>
      <c r="AT48" s="1273"/>
      <c r="AU48" s="20"/>
      <c r="AV48" s="20"/>
      <c r="AW48" s="20"/>
      <c r="AX48" s="20"/>
      <c r="AY48" s="20"/>
      <c r="AZ48" s="20"/>
      <c r="BD48" s="1182" t="s">
        <v>2462</v>
      </c>
      <c r="BE48" s="1183" t="str">
        <f>Application!M252</f>
        <v>Calyx 544 Mariposa AGP, LLC</v>
      </c>
    </row>
    <row r="49" spans="1:57" ht="12.95" customHeight="1">
      <c r="A49" s="1273"/>
      <c r="B49" s="1273"/>
      <c r="C49" s="1273"/>
      <c r="D49" s="1273"/>
      <c r="E49" s="1273"/>
      <c r="F49" s="1273"/>
      <c r="G49" s="1273"/>
      <c r="H49" s="1273"/>
      <c r="I49" s="1273"/>
      <c r="J49" s="1273"/>
      <c r="K49" s="1273"/>
      <c r="L49" s="1273"/>
      <c r="M49" s="1273"/>
      <c r="N49" s="1273"/>
      <c r="O49" s="1273"/>
      <c r="P49" s="1273"/>
      <c r="Q49" s="1273"/>
      <c r="R49" s="1273"/>
      <c r="S49" s="1273"/>
      <c r="T49" s="1273"/>
      <c r="U49" s="1273"/>
      <c r="V49" s="1273"/>
      <c r="W49" s="1273"/>
      <c r="X49" s="1273"/>
      <c r="Y49" s="1273"/>
      <c r="Z49" s="1273"/>
      <c r="AA49" s="1273"/>
      <c r="AB49" s="1273"/>
      <c r="AC49" s="1273"/>
      <c r="AD49" s="1273"/>
      <c r="AE49" s="1273"/>
      <c r="AF49" s="1273"/>
      <c r="AG49" s="1273"/>
      <c r="AH49" s="1273"/>
      <c r="AI49" s="1273"/>
      <c r="AJ49" s="1273"/>
      <c r="AK49" s="1273"/>
      <c r="AL49" s="1273"/>
      <c r="AM49" s="1273"/>
      <c r="AN49" s="1273"/>
      <c r="AO49" s="1273"/>
      <c r="AP49" s="1273"/>
      <c r="AQ49" s="1273"/>
      <c r="AR49" s="1273"/>
      <c r="AS49" s="1273"/>
      <c r="AT49" s="1273"/>
      <c r="AU49" s="20"/>
      <c r="AV49" s="20"/>
      <c r="AW49" s="20"/>
      <c r="AX49" s="20"/>
      <c r="AY49" s="20"/>
      <c r="AZ49" s="20"/>
      <c r="BD49" s="1181" t="s">
        <v>2463</v>
      </c>
      <c r="BE49" s="1183" t="str">
        <f>Application!M255</f>
        <v>Hyun Shin</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2464</v>
      </c>
      <c r="BE50" s="1183" t="str">
        <f>Application!AA258</f>
        <v>Calyx Holdings, LLC</v>
      </c>
    </row>
    <row r="51" spans="1:57" ht="12.95" customHeight="1">
      <c r="A51" s="1456" t="s">
        <v>2106</v>
      </c>
      <c r="B51" s="1456"/>
      <c r="C51" s="1456"/>
      <c r="D51" s="1456"/>
      <c r="E51" s="1456"/>
      <c r="F51" s="1456"/>
      <c r="G51" s="1456"/>
      <c r="H51" s="1456"/>
      <c r="I51" s="1456"/>
      <c r="J51" s="1456"/>
      <c r="K51" s="1456"/>
      <c r="L51" s="1456"/>
      <c r="M51" s="1456"/>
      <c r="N51" s="1456"/>
      <c r="O51" s="1456"/>
      <c r="P51" s="1456"/>
      <c r="Q51" s="1456"/>
      <c r="R51" s="1456"/>
      <c r="S51" s="1456"/>
      <c r="T51" s="1456"/>
      <c r="U51" s="1456"/>
      <c r="V51" s="1456"/>
      <c r="W51" s="1456"/>
      <c r="X51" s="1456"/>
      <c r="Y51" s="1456"/>
      <c r="Z51" s="1456"/>
      <c r="AA51" s="1456"/>
      <c r="AB51" s="1456"/>
      <c r="AC51" s="1456"/>
      <c r="AD51" s="1456"/>
      <c r="AE51" s="1456"/>
      <c r="AF51" s="1456"/>
      <c r="AG51" s="1456"/>
      <c r="AH51" s="1456"/>
      <c r="AI51" s="1456"/>
      <c r="AJ51" s="1456"/>
      <c r="AK51" s="1456"/>
      <c r="AL51" s="1456"/>
      <c r="AM51" s="1456"/>
      <c r="AN51" s="1456"/>
      <c r="AO51" s="1456"/>
      <c r="AP51" s="1456"/>
      <c r="AQ51" s="1456"/>
      <c r="AR51" s="1456"/>
      <c r="AS51" s="1456"/>
      <c r="AT51" s="1456"/>
      <c r="AU51" s="20"/>
      <c r="AV51" s="20"/>
      <c r="AW51" s="20"/>
      <c r="AX51" s="20"/>
      <c r="AY51" s="20"/>
      <c r="AZ51" s="20"/>
      <c r="BD51" s="1181" t="s">
        <v>2465</v>
      </c>
      <c r="BE51" s="1183" t="str">
        <f>Application!M260</f>
        <v>Kingdom BN LLC</v>
      </c>
    </row>
    <row r="52" spans="1:57" ht="12.95" customHeight="1">
      <c r="A52" s="1456"/>
      <c r="B52" s="1456"/>
      <c r="C52" s="1456"/>
      <c r="D52" s="1456"/>
      <c r="E52" s="1456"/>
      <c r="F52" s="1456"/>
      <c r="G52" s="1456"/>
      <c r="H52" s="1456"/>
      <c r="I52" s="1456"/>
      <c r="J52" s="1456"/>
      <c r="K52" s="1456"/>
      <c r="L52" s="1456"/>
      <c r="M52" s="1456"/>
      <c r="N52" s="1456"/>
      <c r="O52" s="1456"/>
      <c r="P52" s="1456"/>
      <c r="Q52" s="1456"/>
      <c r="R52" s="1456"/>
      <c r="S52" s="1456"/>
      <c r="T52" s="1456"/>
      <c r="U52" s="1456"/>
      <c r="V52" s="1456"/>
      <c r="W52" s="1456"/>
      <c r="X52" s="1456"/>
      <c r="Y52" s="1456"/>
      <c r="Z52" s="1456"/>
      <c r="AA52" s="1456"/>
      <c r="AB52" s="1456"/>
      <c r="AC52" s="1456"/>
      <c r="AD52" s="1456"/>
      <c r="AE52" s="1456"/>
      <c r="AF52" s="1456"/>
      <c r="AG52" s="1456"/>
      <c r="AH52" s="1456"/>
      <c r="AI52" s="1456"/>
      <c r="AJ52" s="1456"/>
      <c r="AK52" s="1456"/>
      <c r="AL52" s="1456"/>
      <c r="AM52" s="1456"/>
      <c r="AN52" s="1456"/>
      <c r="AO52" s="1456"/>
      <c r="AP52" s="1456"/>
      <c r="AQ52" s="1456"/>
      <c r="AR52" s="1456"/>
      <c r="AS52" s="1456"/>
      <c r="AT52" s="1456"/>
      <c r="AU52" s="20"/>
      <c r="AV52" s="20"/>
      <c r="AW52" s="20"/>
      <c r="AX52" s="20"/>
      <c r="AY52" s="20"/>
      <c r="AZ52" s="20"/>
      <c r="BD52" s="1182" t="s">
        <v>2466</v>
      </c>
      <c r="BE52" s="1183" t="str">
        <f>Application!M263</f>
        <v>William Leach</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2467</v>
      </c>
      <c r="BE53" s="1183" t="str">
        <f>Application!AA266</f>
        <v xml:space="preserve">Kingdom Development, Inc. </v>
      </c>
    </row>
    <row r="54" spans="1:57" ht="12.95" customHeight="1">
      <c r="A54" s="1456" t="s">
        <v>2107</v>
      </c>
      <c r="B54" s="1456"/>
      <c r="C54" s="1456"/>
      <c r="D54" s="1456"/>
      <c r="E54" s="1456"/>
      <c r="F54" s="1456"/>
      <c r="G54" s="1456"/>
      <c r="H54" s="1456"/>
      <c r="I54" s="1456"/>
      <c r="J54" s="1456"/>
      <c r="K54" s="1456"/>
      <c r="L54" s="1456"/>
      <c r="M54" s="1456"/>
      <c r="N54" s="1456"/>
      <c r="O54" s="1456"/>
      <c r="P54" s="1456"/>
      <c r="Q54" s="1456"/>
      <c r="R54" s="1456"/>
      <c r="S54" s="1456"/>
      <c r="T54" s="1456"/>
      <c r="U54" s="1456"/>
      <c r="V54" s="1456"/>
      <c r="W54" s="1456"/>
      <c r="X54" s="1456"/>
      <c r="Y54" s="1456"/>
      <c r="Z54" s="1456"/>
      <c r="AA54" s="1456"/>
      <c r="AB54" s="1456"/>
      <c r="AC54" s="1456"/>
      <c r="AD54" s="1456"/>
      <c r="AE54" s="1456"/>
      <c r="AF54" s="1456"/>
      <c r="AG54" s="1456"/>
      <c r="AH54" s="1456"/>
      <c r="AI54" s="1456"/>
      <c r="AJ54" s="1456"/>
      <c r="AK54" s="1456"/>
      <c r="AL54" s="1456"/>
      <c r="AM54" s="1456"/>
      <c r="AN54" s="1456"/>
      <c r="AO54" s="1456"/>
      <c r="AP54" s="1456"/>
      <c r="AQ54" s="1456"/>
      <c r="AR54" s="1456"/>
      <c r="AS54" s="1456"/>
      <c r="AT54" s="1456"/>
      <c r="AU54" s="20"/>
      <c r="AV54" s="20"/>
      <c r="AW54" s="20"/>
      <c r="AX54" s="20"/>
      <c r="AY54" s="20"/>
      <c r="AZ54" s="21"/>
      <c r="BD54" s="1182" t="s">
        <v>2468</v>
      </c>
      <c r="BE54" s="1183" t="str">
        <f>Application!M268</f>
        <v>Spada Development LLC</v>
      </c>
    </row>
    <row r="55" spans="1:57" ht="12.95" customHeight="1">
      <c r="A55" s="1456"/>
      <c r="B55" s="1456"/>
      <c r="C55" s="1456"/>
      <c r="D55" s="1456"/>
      <c r="E55" s="1456"/>
      <c r="F55" s="1456"/>
      <c r="G55" s="1456"/>
      <c r="H55" s="1456"/>
      <c r="I55" s="1456"/>
      <c r="J55" s="1456"/>
      <c r="K55" s="1456"/>
      <c r="L55" s="1456"/>
      <c r="M55" s="1456"/>
      <c r="N55" s="1456"/>
      <c r="O55" s="1456"/>
      <c r="P55" s="1456"/>
      <c r="Q55" s="1456"/>
      <c r="R55" s="1456"/>
      <c r="S55" s="1456"/>
      <c r="T55" s="1456"/>
      <c r="U55" s="1456"/>
      <c r="V55" s="1456"/>
      <c r="W55" s="1456"/>
      <c r="X55" s="1456"/>
      <c r="Y55" s="1456"/>
      <c r="Z55" s="1456"/>
      <c r="AA55" s="1456"/>
      <c r="AB55" s="1456"/>
      <c r="AC55" s="1456"/>
      <c r="AD55" s="1456"/>
      <c r="AE55" s="1456"/>
      <c r="AF55" s="1456"/>
      <c r="AG55" s="1456"/>
      <c r="AH55" s="1456"/>
      <c r="AI55" s="1456"/>
      <c r="AJ55" s="1456"/>
      <c r="AK55" s="1456"/>
      <c r="AL55" s="1456"/>
      <c r="AM55" s="1456"/>
      <c r="AN55" s="1456"/>
      <c r="AO55" s="1456"/>
      <c r="AP55" s="1456"/>
      <c r="AQ55" s="1456"/>
      <c r="AR55" s="1456"/>
      <c r="AS55" s="1456"/>
      <c r="AT55" s="1456"/>
      <c r="AZ55" s="21"/>
      <c r="BD55" s="1181" t="s">
        <v>2469</v>
      </c>
      <c r="BE55" s="1183" t="str">
        <f>Application!M271</f>
        <v>Mihkel S Garcia</v>
      </c>
    </row>
    <row r="56" spans="1:57" ht="12.95" customHeight="1">
      <c r="A56" s="1456"/>
      <c r="B56" s="1456"/>
      <c r="C56" s="1456"/>
      <c r="D56" s="1456"/>
      <c r="E56" s="1456"/>
      <c r="F56" s="1456"/>
      <c r="G56" s="1456"/>
      <c r="H56" s="1456"/>
      <c r="I56" s="1456"/>
      <c r="J56" s="1456"/>
      <c r="K56" s="1456"/>
      <c r="L56" s="1456"/>
      <c r="M56" s="1456"/>
      <c r="N56" s="1456"/>
      <c r="O56" s="1456"/>
      <c r="P56" s="1456"/>
      <c r="Q56" s="1456"/>
      <c r="R56" s="1456"/>
      <c r="S56" s="1456"/>
      <c r="T56" s="1456"/>
      <c r="U56" s="1456"/>
      <c r="V56" s="1456"/>
      <c r="W56" s="1456"/>
      <c r="X56" s="1456"/>
      <c r="Y56" s="1456"/>
      <c r="Z56" s="1456"/>
      <c r="AA56" s="1456"/>
      <c r="AB56" s="1456"/>
      <c r="AC56" s="1456"/>
      <c r="AD56" s="1456"/>
      <c r="AE56" s="1456"/>
      <c r="AF56" s="1456"/>
      <c r="AG56" s="1456"/>
      <c r="AH56" s="1456"/>
      <c r="AI56" s="1456"/>
      <c r="AJ56" s="1456"/>
      <c r="AK56" s="1456"/>
      <c r="AL56" s="1456"/>
      <c r="AM56" s="1456"/>
      <c r="AN56" s="1456"/>
      <c r="AO56" s="1456"/>
      <c r="AP56" s="1456"/>
      <c r="AQ56" s="1456"/>
      <c r="AR56" s="1456"/>
      <c r="AS56" s="1456"/>
      <c r="AT56" s="1456"/>
      <c r="BD56" s="1182" t="s">
        <v>2470</v>
      </c>
      <c r="BE56" s="1183">
        <f>Application!AA274</f>
        <v>0</v>
      </c>
    </row>
    <row r="57" spans="1:57" ht="12.95" customHeight="1">
      <c r="A57" s="1456"/>
      <c r="B57" s="1456"/>
      <c r="C57" s="1456"/>
      <c r="D57" s="1456"/>
      <c r="E57" s="1456"/>
      <c r="F57" s="1456"/>
      <c r="G57" s="1456"/>
      <c r="H57" s="1456"/>
      <c r="I57" s="1456"/>
      <c r="J57" s="1456"/>
      <c r="K57" s="1456"/>
      <c r="L57" s="1456"/>
      <c r="M57" s="1456"/>
      <c r="N57" s="1456"/>
      <c r="O57" s="1456"/>
      <c r="P57" s="1456"/>
      <c r="Q57" s="1456"/>
      <c r="R57" s="1456"/>
      <c r="S57" s="1456"/>
      <c r="T57" s="1456"/>
      <c r="U57" s="1456"/>
      <c r="V57" s="1456"/>
      <c r="W57" s="1456"/>
      <c r="X57" s="1456"/>
      <c r="Y57" s="1456"/>
      <c r="Z57" s="1456"/>
      <c r="AA57" s="1456"/>
      <c r="AB57" s="1456"/>
      <c r="AC57" s="1456"/>
      <c r="AD57" s="1456"/>
      <c r="AE57" s="1456"/>
      <c r="AF57" s="1456"/>
      <c r="AG57" s="1456"/>
      <c r="AH57" s="1456"/>
      <c r="AI57" s="1456"/>
      <c r="AJ57" s="1456"/>
      <c r="AK57" s="1456"/>
      <c r="AL57" s="1456"/>
      <c r="AM57" s="1456"/>
      <c r="AN57" s="1456"/>
      <c r="AO57" s="1456"/>
      <c r="AP57" s="1456"/>
      <c r="AQ57" s="1456"/>
      <c r="AR57" s="1456"/>
      <c r="AS57" s="1456"/>
      <c r="AT57" s="1456"/>
      <c r="BD57" s="1181" t="s">
        <v>2471</v>
      </c>
      <c r="BE57" s="1183" t="str">
        <f>Application!H296</f>
        <v>Calyx Development, LLC</v>
      </c>
    </row>
    <row r="58" spans="1:57" ht="12.95" customHeight="1">
      <c r="A58" s="1456"/>
      <c r="B58" s="1456"/>
      <c r="C58" s="1456"/>
      <c r="D58" s="1456"/>
      <c r="E58" s="1456"/>
      <c r="F58" s="1456"/>
      <c r="G58" s="1456"/>
      <c r="H58" s="1456"/>
      <c r="I58" s="1456"/>
      <c r="J58" s="1456"/>
      <c r="K58" s="1456"/>
      <c r="L58" s="1456"/>
      <c r="M58" s="1456"/>
      <c r="N58" s="1456"/>
      <c r="O58" s="1456"/>
      <c r="P58" s="1456"/>
      <c r="Q58" s="1456"/>
      <c r="R58" s="1456"/>
      <c r="S58" s="1456"/>
      <c r="T58" s="1456"/>
      <c r="U58" s="1456"/>
      <c r="V58" s="1456"/>
      <c r="W58" s="1456"/>
      <c r="X58" s="1456"/>
      <c r="Y58" s="1456"/>
      <c r="Z58" s="1456"/>
      <c r="AA58" s="1456"/>
      <c r="AB58" s="1456"/>
      <c r="AC58" s="1456"/>
      <c r="AD58" s="1456"/>
      <c r="AE58" s="1456"/>
      <c r="AF58" s="1456"/>
      <c r="AG58" s="1456"/>
      <c r="AH58" s="1456"/>
      <c r="AI58" s="1456"/>
      <c r="AJ58" s="1456"/>
      <c r="AK58" s="1456"/>
      <c r="AL58" s="1456"/>
      <c r="AM58" s="1456"/>
      <c r="AN58" s="1456"/>
      <c r="AO58" s="1456"/>
      <c r="AP58" s="1456"/>
      <c r="AQ58" s="1456"/>
      <c r="AR58" s="1456"/>
      <c r="AS58" s="1456"/>
      <c r="AT58" s="1456"/>
      <c r="BD58" s="1182" t="s">
        <v>2472</v>
      </c>
      <c r="BE58" s="1183" t="str">
        <f>Application!H297</f>
        <v>3580 Wilshire Blvd. Suite 900-16</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2473</v>
      </c>
      <c r="BE59" s="1183" t="str">
        <f>Application!H298</f>
        <v>Los Angeles, CA 90010</v>
      </c>
    </row>
    <row r="60" spans="1:57" ht="12.95" customHeight="1">
      <c r="A60" s="1456" t="s">
        <v>2108</v>
      </c>
      <c r="B60" s="1456"/>
      <c r="C60" s="1456"/>
      <c r="D60" s="1456"/>
      <c r="E60" s="1456"/>
      <c r="F60" s="1456"/>
      <c r="G60" s="1456"/>
      <c r="H60" s="1456"/>
      <c r="I60" s="1456"/>
      <c r="J60" s="1456"/>
      <c r="K60" s="1456"/>
      <c r="L60" s="1456"/>
      <c r="M60" s="1456"/>
      <c r="N60" s="1456"/>
      <c r="O60" s="1456"/>
      <c r="P60" s="1456"/>
      <c r="Q60" s="1456"/>
      <c r="R60" s="1456"/>
      <c r="S60" s="1456"/>
      <c r="T60" s="1456"/>
      <c r="U60" s="1456"/>
      <c r="V60" s="1456"/>
      <c r="W60" s="1456"/>
      <c r="X60" s="1456"/>
      <c r="Y60" s="1456"/>
      <c r="Z60" s="1456"/>
      <c r="AA60" s="1456"/>
      <c r="AB60" s="1456"/>
      <c r="AC60" s="1456"/>
      <c r="AD60" s="1456"/>
      <c r="AE60" s="1456"/>
      <c r="AF60" s="1456"/>
      <c r="AG60" s="1456"/>
      <c r="AH60" s="1456"/>
      <c r="AI60" s="1456"/>
      <c r="AJ60" s="1456"/>
      <c r="AK60" s="1456"/>
      <c r="AL60" s="1456"/>
      <c r="AM60" s="1456"/>
      <c r="AN60" s="1456"/>
      <c r="AO60" s="1456"/>
      <c r="AP60" s="1456"/>
      <c r="AQ60" s="1456"/>
      <c r="AR60" s="1456"/>
      <c r="AS60" s="1456"/>
      <c r="AT60" s="1456"/>
      <c r="AU60" s="20"/>
      <c r="AV60" s="20"/>
      <c r="AW60" s="20"/>
      <c r="AX60" s="20"/>
      <c r="AY60" s="20"/>
      <c r="AZ60" s="20"/>
      <c r="BD60" s="1182" t="s">
        <v>2474</v>
      </c>
      <c r="BE60" s="1183" t="str">
        <f>Application!H299</f>
        <v>Hyun Shin</v>
      </c>
    </row>
    <row r="61" spans="1:57" ht="12.95" customHeight="1">
      <c r="A61" s="1456"/>
      <c r="B61" s="1456"/>
      <c r="C61" s="1456"/>
      <c r="D61" s="1456"/>
      <c r="E61" s="1456"/>
      <c r="F61" s="1456"/>
      <c r="G61" s="1456"/>
      <c r="H61" s="1456"/>
      <c r="I61" s="1456"/>
      <c r="J61" s="1456"/>
      <c r="K61" s="1456"/>
      <c r="L61" s="1456"/>
      <c r="M61" s="1456"/>
      <c r="N61" s="1456"/>
      <c r="O61" s="1456"/>
      <c r="P61" s="1456"/>
      <c r="Q61" s="1456"/>
      <c r="R61" s="1456"/>
      <c r="S61" s="1456"/>
      <c r="T61" s="1456"/>
      <c r="U61" s="1456"/>
      <c r="V61" s="1456"/>
      <c r="W61" s="1456"/>
      <c r="X61" s="1456"/>
      <c r="Y61" s="1456"/>
      <c r="Z61" s="1456"/>
      <c r="AA61" s="1456"/>
      <c r="AB61" s="1456"/>
      <c r="AC61" s="1456"/>
      <c r="AD61" s="1456"/>
      <c r="AE61" s="1456"/>
      <c r="AF61" s="1456"/>
      <c r="AG61" s="1456"/>
      <c r="AH61" s="1456"/>
      <c r="AI61" s="1456"/>
      <c r="AJ61" s="1456"/>
      <c r="AK61" s="1456"/>
      <c r="AL61" s="1456"/>
      <c r="AM61" s="1456"/>
      <c r="AN61" s="1456"/>
      <c r="AO61" s="1456"/>
      <c r="AP61" s="1456"/>
      <c r="AQ61" s="1456"/>
      <c r="AR61" s="1456"/>
      <c r="AS61" s="1456"/>
      <c r="AT61" s="1456"/>
      <c r="AU61" s="20"/>
      <c r="AV61" s="20"/>
      <c r="AW61" s="20"/>
      <c r="AX61" s="20"/>
      <c r="AY61" s="20"/>
      <c r="AZ61" s="20"/>
      <c r="BD61" s="1181" t="s">
        <v>2475</v>
      </c>
      <c r="BE61" s="1183" t="str">
        <f>Application!H302</f>
        <v>pshin.summitbuilders@gmail.com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2476</v>
      </c>
      <c r="BE62" s="1186">
        <f>'Basis &amp; Credits'!AB50</f>
        <v>0.80991903013489719</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0.79991992136661638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2477</v>
      </c>
      <c r="BE64" s="1183" t="b">
        <f>Application!X180="Yes"</f>
        <v>0</v>
      </c>
    </row>
    <row r="65" spans="1:57" ht="12.95" customHeight="1">
      <c r="A65" s="1457" t="s">
        <v>2110</v>
      </c>
      <c r="B65" s="1457"/>
      <c r="C65" s="1457"/>
      <c r="D65" s="1457"/>
      <c r="E65" s="1457"/>
      <c r="F65" s="1457"/>
      <c r="G65" s="1457"/>
      <c r="H65" s="1457"/>
      <c r="I65" s="1457"/>
      <c r="J65" s="1457"/>
      <c r="K65" s="1457"/>
      <c r="L65" s="1457"/>
      <c r="M65" s="1457"/>
      <c r="N65" s="1457"/>
      <c r="O65" s="1457"/>
      <c r="P65" s="1457"/>
      <c r="Q65" s="1457"/>
      <c r="R65" s="1457"/>
      <c r="S65" s="1457"/>
      <c r="T65" s="1457"/>
      <c r="U65" s="1457"/>
      <c r="V65" s="1457"/>
      <c r="W65" s="1457"/>
      <c r="X65" s="1457"/>
      <c r="Y65" s="1457"/>
      <c r="Z65" s="1457"/>
      <c r="AA65" s="1457"/>
      <c r="AB65" s="1457"/>
      <c r="AC65" s="1457"/>
      <c r="AD65" s="1457"/>
      <c r="AE65" s="1457"/>
      <c r="AF65" s="1457"/>
      <c r="AG65" s="1457"/>
      <c r="AH65" s="1457"/>
      <c r="AI65" s="1457"/>
      <c r="AJ65" s="1457"/>
      <c r="AK65" s="1457"/>
      <c r="AL65" s="1457"/>
      <c r="AM65" s="1457"/>
      <c r="AN65" s="1457"/>
      <c r="AO65" s="1457"/>
      <c r="AP65" s="1457"/>
      <c r="AQ65" s="1457"/>
      <c r="AR65" s="1457"/>
      <c r="AS65" s="1457"/>
      <c r="AT65" s="1457"/>
      <c r="AU65" s="21"/>
      <c r="AV65" s="21"/>
      <c r="AW65" s="21"/>
      <c r="AX65" s="21"/>
      <c r="AY65" s="21"/>
      <c r="AZ65" s="20"/>
      <c r="BD65" s="1181" t="s">
        <v>2511</v>
      </c>
      <c r="BE65" s="1183" t="str">
        <f>Z205</f>
        <v>$500M</v>
      </c>
    </row>
    <row r="66" spans="1:57" ht="12.95" customHeight="1">
      <c r="A66" s="1457"/>
      <c r="B66" s="1457"/>
      <c r="C66" s="1457"/>
      <c r="D66" s="1457"/>
      <c r="E66" s="1457"/>
      <c r="F66" s="1457"/>
      <c r="G66" s="1457"/>
      <c r="H66" s="1457"/>
      <c r="I66" s="1457"/>
      <c r="J66" s="1457"/>
      <c r="K66" s="1457"/>
      <c r="L66" s="1457"/>
      <c r="M66" s="1457"/>
      <c r="N66" s="1457"/>
      <c r="O66" s="1457"/>
      <c r="P66" s="1457"/>
      <c r="Q66" s="1457"/>
      <c r="R66" s="1457"/>
      <c r="S66" s="1457"/>
      <c r="T66" s="1457"/>
      <c r="U66" s="1457"/>
      <c r="V66" s="1457"/>
      <c r="W66" s="1457"/>
      <c r="X66" s="1457"/>
      <c r="Y66" s="1457"/>
      <c r="Z66" s="1457"/>
      <c r="AA66" s="1457"/>
      <c r="AB66" s="1457"/>
      <c r="AC66" s="1457"/>
      <c r="AD66" s="1457"/>
      <c r="AE66" s="1457"/>
      <c r="AF66" s="1457"/>
      <c r="AG66" s="1457"/>
      <c r="AH66" s="1457"/>
      <c r="AI66" s="1457"/>
      <c r="AJ66" s="1457"/>
      <c r="AK66" s="1457"/>
      <c r="AL66" s="1457"/>
      <c r="AM66" s="1457"/>
      <c r="AN66" s="1457"/>
      <c r="AO66" s="1457"/>
      <c r="AP66" s="1457"/>
      <c r="AQ66" s="1457"/>
      <c r="AR66" s="1457"/>
      <c r="AS66" s="1457"/>
      <c r="AT66" s="1457"/>
      <c r="AU66" s="21"/>
      <c r="AV66" s="21"/>
      <c r="AW66" s="21"/>
      <c r="AX66" s="21"/>
      <c r="AY66" s="21"/>
      <c r="AZ66" s="20"/>
      <c r="BD66" s="1182" t="s">
        <v>2478</v>
      </c>
      <c r="BE66" s="1183" t="b">
        <f>Application!Z205="State Farmworker Credit"</f>
        <v>0</v>
      </c>
    </row>
    <row r="67" spans="1:57" ht="12.95" customHeight="1">
      <c r="A67" s="1457"/>
      <c r="B67" s="1457"/>
      <c r="C67" s="1457"/>
      <c r="D67" s="1457"/>
      <c r="E67" s="1457"/>
      <c r="F67" s="1457"/>
      <c r="G67" s="1457"/>
      <c r="H67" s="1457"/>
      <c r="I67" s="1457"/>
      <c r="J67" s="1457"/>
      <c r="K67" s="1457"/>
      <c r="L67" s="1457"/>
      <c r="M67" s="1457"/>
      <c r="N67" s="1457"/>
      <c r="O67" s="1457"/>
      <c r="P67" s="1457"/>
      <c r="Q67" s="1457"/>
      <c r="R67" s="1457"/>
      <c r="S67" s="1457"/>
      <c r="T67" s="1457"/>
      <c r="U67" s="1457"/>
      <c r="V67" s="1457"/>
      <c r="W67" s="1457"/>
      <c r="X67" s="1457"/>
      <c r="Y67" s="1457"/>
      <c r="Z67" s="1457"/>
      <c r="AA67" s="1457"/>
      <c r="AB67" s="1457"/>
      <c r="AC67" s="1457"/>
      <c r="AD67" s="1457"/>
      <c r="AE67" s="1457"/>
      <c r="AF67" s="1457"/>
      <c r="AG67" s="1457"/>
      <c r="AH67" s="1457"/>
      <c r="AI67" s="1457"/>
      <c r="AJ67" s="1457"/>
      <c r="AK67" s="1457"/>
      <c r="AL67" s="1457"/>
      <c r="AM67" s="1457"/>
      <c r="AN67" s="1457"/>
      <c r="AO67" s="1457"/>
      <c r="AP67" s="1457"/>
      <c r="AQ67" s="1457"/>
      <c r="AR67" s="1457"/>
      <c r="AS67" s="1457"/>
      <c r="AT67" s="1457"/>
      <c r="AZ67" s="20"/>
      <c r="BD67" s="1181" t="s">
        <v>2479</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2480</v>
      </c>
      <c r="BE68" s="1183">
        <f>'Sources and Uses Budget'!D105</f>
        <v>0</v>
      </c>
    </row>
    <row r="69" spans="1:57" ht="12.95" customHeight="1">
      <c r="A69" s="1457" t="s">
        <v>2111</v>
      </c>
      <c r="B69" s="1457"/>
      <c r="C69" s="1457"/>
      <c r="D69" s="1457"/>
      <c r="E69" s="1457"/>
      <c r="F69" s="1457"/>
      <c r="G69" s="1457"/>
      <c r="H69" s="1457"/>
      <c r="I69" s="1457"/>
      <c r="J69" s="1457"/>
      <c r="K69" s="1457"/>
      <c r="L69" s="1457"/>
      <c r="M69" s="1457"/>
      <c r="N69" s="1457"/>
      <c r="O69" s="1457"/>
      <c r="P69" s="1457"/>
      <c r="Q69" s="1457"/>
      <c r="R69" s="1457"/>
      <c r="S69" s="1457"/>
      <c r="T69" s="1457"/>
      <c r="U69" s="1457"/>
      <c r="V69" s="1457"/>
      <c r="W69" s="1457"/>
      <c r="X69" s="1457"/>
      <c r="Y69" s="1457"/>
      <c r="Z69" s="1457"/>
      <c r="AA69" s="1457"/>
      <c r="AB69" s="1457"/>
      <c r="AC69" s="1457"/>
      <c r="AD69" s="1457"/>
      <c r="AE69" s="1457"/>
      <c r="AF69" s="1457"/>
      <c r="AG69" s="1457"/>
      <c r="AH69" s="1457"/>
      <c r="AI69" s="1457"/>
      <c r="AJ69" s="1457"/>
      <c r="AK69" s="1457"/>
      <c r="AL69" s="1457"/>
      <c r="AM69" s="1457"/>
      <c r="AN69" s="1457"/>
      <c r="AO69" s="1457"/>
      <c r="AP69" s="1457"/>
      <c r="AQ69" s="1457"/>
      <c r="AR69" s="1457"/>
      <c r="AS69" s="1457"/>
      <c r="AT69" s="1457"/>
      <c r="AZ69" s="20"/>
      <c r="BD69" s="1181" t="s">
        <v>2481</v>
      </c>
      <c r="BE69" s="1183" t="str">
        <f>Application!W708</f>
        <v>California Municipal Finance Authority</v>
      </c>
    </row>
    <row r="70" spans="1:57" ht="12.95" customHeight="1">
      <c r="A70" s="1457"/>
      <c r="B70" s="1457"/>
      <c r="C70" s="1457"/>
      <c r="D70" s="1457"/>
      <c r="E70" s="1457"/>
      <c r="F70" s="1457"/>
      <c r="G70" s="1457"/>
      <c r="H70" s="1457"/>
      <c r="I70" s="1457"/>
      <c r="J70" s="1457"/>
      <c r="K70" s="1457"/>
      <c r="L70" s="1457"/>
      <c r="M70" s="1457"/>
      <c r="N70" s="1457"/>
      <c r="O70" s="1457"/>
      <c r="P70" s="1457"/>
      <c r="Q70" s="1457"/>
      <c r="R70" s="1457"/>
      <c r="S70" s="1457"/>
      <c r="T70" s="1457"/>
      <c r="U70" s="1457"/>
      <c r="V70" s="1457"/>
      <c r="W70" s="1457"/>
      <c r="X70" s="1457"/>
      <c r="Y70" s="1457"/>
      <c r="Z70" s="1457"/>
      <c r="AA70" s="1457"/>
      <c r="AB70" s="1457"/>
      <c r="AC70" s="1457"/>
      <c r="AD70" s="1457"/>
      <c r="AE70" s="1457"/>
      <c r="AF70" s="1457"/>
      <c r="AG70" s="1457"/>
      <c r="AH70" s="1457"/>
      <c r="AI70" s="1457"/>
      <c r="AJ70" s="1457"/>
      <c r="AK70" s="1457"/>
      <c r="AL70" s="1457"/>
      <c r="AM70" s="1457"/>
      <c r="AN70" s="1457"/>
      <c r="AO70" s="1457"/>
      <c r="AP70" s="1457"/>
      <c r="AQ70" s="1457"/>
      <c r="AR70" s="1457"/>
      <c r="AS70" s="1457"/>
      <c r="AT70" s="1457"/>
      <c r="AU70" s="20"/>
      <c r="AV70" s="20"/>
      <c r="AW70" s="20"/>
      <c r="AX70" s="20"/>
      <c r="AY70" s="20"/>
      <c r="AZ70" s="20"/>
      <c r="BD70" s="1182" t="s">
        <v>2482</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2603</v>
      </c>
      <c r="BE71" s="1183">
        <f>'Points System'!AF826</f>
        <v>0</v>
      </c>
    </row>
    <row r="72" spans="1:57" ht="12.95" customHeight="1">
      <c r="A72" s="1454" t="s">
        <v>2112</v>
      </c>
      <c r="B72" s="1454"/>
      <c r="C72" s="1454"/>
      <c r="D72" s="1454"/>
      <c r="E72" s="1454"/>
      <c r="F72" s="1454"/>
      <c r="G72" s="1454"/>
      <c r="H72" s="1454"/>
      <c r="I72" s="1454"/>
      <c r="J72" s="1454"/>
      <c r="K72" s="1454"/>
      <c r="L72" s="1454"/>
      <c r="M72" s="1454"/>
      <c r="N72" s="1454"/>
      <c r="O72" s="1454"/>
      <c r="P72" s="1454"/>
      <c r="Q72" s="1454"/>
      <c r="R72" s="1454"/>
      <c r="S72" s="1454"/>
      <c r="T72" s="1454"/>
      <c r="U72" s="1454"/>
      <c r="V72" s="1454"/>
      <c r="W72" s="1454"/>
      <c r="X72" s="1454"/>
      <c r="Y72" s="1454"/>
      <c r="Z72" s="1454"/>
      <c r="AA72" s="1454"/>
      <c r="AB72" s="1454"/>
      <c r="AC72" s="1454"/>
      <c r="AD72" s="1454"/>
      <c r="AE72" s="1454"/>
      <c r="AF72" s="1454"/>
      <c r="AG72" s="1454"/>
      <c r="AH72" s="1454"/>
      <c r="AI72" s="1454"/>
      <c r="AJ72" s="1454"/>
      <c r="AK72" s="1454"/>
      <c r="AL72" s="1454"/>
      <c r="AM72" s="1454"/>
      <c r="AN72" s="1454"/>
      <c r="AO72" s="1454"/>
      <c r="AP72" s="1454"/>
      <c r="AQ72" s="1454"/>
      <c r="AR72" s="1454"/>
      <c r="AS72" s="1454"/>
      <c r="AT72" s="1454"/>
      <c r="AU72" s="20"/>
      <c r="AV72" s="20"/>
      <c r="AW72" s="20"/>
      <c r="AX72" s="20"/>
      <c r="AY72" s="20"/>
      <c r="AZ72" s="20"/>
      <c r="BD72" s="1182" t="s">
        <v>2483</v>
      </c>
      <c r="BE72" s="1183">
        <f>'Points System'!AF827</f>
        <v>10</v>
      </c>
    </row>
    <row r="73" spans="1:57" ht="12.95" customHeight="1">
      <c r="A73" s="1454"/>
      <c r="B73" s="1454"/>
      <c r="C73" s="1454"/>
      <c r="D73" s="1454"/>
      <c r="E73" s="1454"/>
      <c r="F73" s="1454"/>
      <c r="G73" s="1454"/>
      <c r="H73" s="1454"/>
      <c r="I73" s="1454"/>
      <c r="J73" s="1454"/>
      <c r="K73" s="1454"/>
      <c r="L73" s="1454"/>
      <c r="M73" s="1454"/>
      <c r="N73" s="1454"/>
      <c r="O73" s="1454"/>
      <c r="P73" s="1454"/>
      <c r="Q73" s="1454"/>
      <c r="R73" s="1454"/>
      <c r="S73" s="1454"/>
      <c r="T73" s="1454"/>
      <c r="U73" s="1454"/>
      <c r="V73" s="1454"/>
      <c r="W73" s="1454"/>
      <c r="X73" s="1454"/>
      <c r="Y73" s="1454"/>
      <c r="Z73" s="1454"/>
      <c r="AA73" s="1454"/>
      <c r="AB73" s="1454"/>
      <c r="AC73" s="1454"/>
      <c r="AD73" s="1454"/>
      <c r="AE73" s="1454"/>
      <c r="AF73" s="1454"/>
      <c r="AG73" s="1454"/>
      <c r="AH73" s="1454"/>
      <c r="AI73" s="1454"/>
      <c r="AJ73" s="1454"/>
      <c r="AK73" s="1454"/>
      <c r="AL73" s="1454"/>
      <c r="AM73" s="1454"/>
      <c r="AN73" s="1454"/>
      <c r="AO73" s="1454"/>
      <c r="AP73" s="1454"/>
      <c r="AQ73" s="1454"/>
      <c r="AR73" s="1454"/>
      <c r="AS73" s="1454"/>
      <c r="AT73" s="1454"/>
      <c r="AU73" s="20"/>
      <c r="AV73" s="20"/>
      <c r="AW73" s="20"/>
      <c r="AX73" s="20"/>
      <c r="AY73" s="20"/>
      <c r="AZ73" s="20"/>
      <c r="BD73" s="1181" t="s">
        <v>2484</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2485</v>
      </c>
      <c r="BE74" s="1183">
        <f>'Points System'!AF829</f>
        <v>10</v>
      </c>
    </row>
    <row r="75" spans="1:57" ht="12.95" customHeight="1">
      <c r="A75" s="1703" t="s">
        <v>2113</v>
      </c>
      <c r="B75" s="1703"/>
      <c r="C75" s="1703"/>
      <c r="D75" s="1703"/>
      <c r="E75" s="1703"/>
      <c r="F75" s="1703"/>
      <c r="G75" s="1703"/>
      <c r="H75" s="1703"/>
      <c r="I75" s="1703"/>
      <c r="J75" s="1703"/>
      <c r="K75" s="1703"/>
      <c r="L75" s="1703"/>
      <c r="M75" s="1703"/>
      <c r="N75" s="1703"/>
      <c r="O75" s="1703"/>
      <c r="P75" s="1703"/>
      <c r="Q75" s="1703"/>
      <c r="R75" s="1703"/>
      <c r="S75" s="1703"/>
      <c r="T75" s="1703"/>
      <c r="U75" s="1703"/>
      <c r="V75" s="1703"/>
      <c r="W75" s="1703"/>
      <c r="X75" s="1703"/>
      <c r="Y75" s="1703"/>
      <c r="Z75" s="1703"/>
      <c r="AA75" s="1703"/>
      <c r="AB75" s="1703"/>
      <c r="AC75" s="1703"/>
      <c r="AD75" s="1703"/>
      <c r="AE75" s="1703"/>
      <c r="AF75" s="1703"/>
      <c r="AG75" s="1703"/>
      <c r="AH75" s="1703"/>
      <c r="AI75" s="1703"/>
      <c r="AJ75" s="1703"/>
      <c r="AK75" s="1703"/>
      <c r="AL75" s="1703"/>
      <c r="AM75" s="1703"/>
      <c r="AN75" s="1703"/>
      <c r="AO75" s="1703"/>
      <c r="AP75" s="1703"/>
      <c r="AQ75" s="1703"/>
      <c r="AR75" s="1703"/>
      <c r="AS75" s="1703"/>
      <c r="AT75" s="1703"/>
      <c r="AU75" s="20"/>
      <c r="AV75" s="20"/>
      <c r="AW75" s="20"/>
      <c r="AX75" s="20"/>
      <c r="AY75" s="20"/>
      <c r="AZ75" s="20"/>
      <c r="BD75" s="1181" t="s">
        <v>2486</v>
      </c>
      <c r="BE75" s="1183">
        <f>'Points System'!AF830</f>
        <v>10</v>
      </c>
    </row>
    <row r="76" spans="1:57" ht="12.95" customHeight="1">
      <c r="A76" s="1703"/>
      <c r="B76" s="1703"/>
      <c r="C76" s="1703"/>
      <c r="D76" s="1703"/>
      <c r="E76" s="1703"/>
      <c r="F76" s="1703"/>
      <c r="G76" s="1703"/>
      <c r="H76" s="1703"/>
      <c r="I76" s="1703"/>
      <c r="J76" s="1703"/>
      <c r="K76" s="1703"/>
      <c r="L76" s="1703"/>
      <c r="M76" s="1703"/>
      <c r="N76" s="1703"/>
      <c r="O76" s="1703"/>
      <c r="P76" s="1703"/>
      <c r="Q76" s="1703"/>
      <c r="R76" s="1703"/>
      <c r="S76" s="1703"/>
      <c r="T76" s="1703"/>
      <c r="U76" s="1703"/>
      <c r="V76" s="1703"/>
      <c r="W76" s="1703"/>
      <c r="X76" s="1703"/>
      <c r="Y76" s="1703"/>
      <c r="Z76" s="1703"/>
      <c r="AA76" s="1703"/>
      <c r="AB76" s="1703"/>
      <c r="AC76" s="1703"/>
      <c r="AD76" s="1703"/>
      <c r="AE76" s="1703"/>
      <c r="AF76" s="1703"/>
      <c r="AG76" s="1703"/>
      <c r="AH76" s="1703"/>
      <c r="AI76" s="1703"/>
      <c r="AJ76" s="1703"/>
      <c r="AK76" s="1703"/>
      <c r="AL76" s="1703"/>
      <c r="AM76" s="1703"/>
      <c r="AN76" s="1703"/>
      <c r="AO76" s="1703"/>
      <c r="AP76" s="1703"/>
      <c r="AQ76" s="1703"/>
      <c r="AR76" s="1703"/>
      <c r="AS76" s="1703"/>
      <c r="AT76" s="1703"/>
      <c r="AU76" s="20"/>
      <c r="AV76" s="20"/>
      <c r="AW76" s="20"/>
      <c r="AX76" s="20"/>
      <c r="AY76" s="20"/>
      <c r="AZ76" s="17"/>
      <c r="BD76" s="1182" t="s">
        <v>2487</v>
      </c>
      <c r="BE76" s="1183">
        <f>'Points System'!AF833</f>
        <v>10</v>
      </c>
    </row>
    <row r="77" spans="1:57" ht="12.95" customHeight="1">
      <c r="A77" s="1703"/>
      <c r="B77" s="1703"/>
      <c r="C77" s="1703"/>
      <c r="D77" s="1703"/>
      <c r="E77" s="1703"/>
      <c r="F77" s="1703"/>
      <c r="G77" s="1703"/>
      <c r="H77" s="1703"/>
      <c r="I77" s="1703"/>
      <c r="J77" s="1703"/>
      <c r="K77" s="1703"/>
      <c r="L77" s="1703"/>
      <c r="M77" s="1703"/>
      <c r="N77" s="1703"/>
      <c r="O77" s="1703"/>
      <c r="P77" s="1703"/>
      <c r="Q77" s="1703"/>
      <c r="R77" s="1703"/>
      <c r="S77" s="1703"/>
      <c r="T77" s="1703"/>
      <c r="U77" s="1703"/>
      <c r="V77" s="1703"/>
      <c r="W77" s="1703"/>
      <c r="X77" s="1703"/>
      <c r="Y77" s="1703"/>
      <c r="Z77" s="1703"/>
      <c r="AA77" s="1703"/>
      <c r="AB77" s="1703"/>
      <c r="AC77" s="1703"/>
      <c r="AD77" s="1703"/>
      <c r="AE77" s="1703"/>
      <c r="AF77" s="1703"/>
      <c r="AG77" s="1703"/>
      <c r="AH77" s="1703"/>
      <c r="AI77" s="1703"/>
      <c r="AJ77" s="1703"/>
      <c r="AK77" s="1703"/>
      <c r="AL77" s="1703"/>
      <c r="AM77" s="1703"/>
      <c r="AN77" s="1703"/>
      <c r="AO77" s="1703"/>
      <c r="AP77" s="1703"/>
      <c r="AQ77" s="1703"/>
      <c r="AR77" s="1703"/>
      <c r="AS77" s="1703"/>
      <c r="AT77" s="1703"/>
      <c r="AU77" s="20"/>
      <c r="AV77" s="20"/>
      <c r="AW77" s="20"/>
      <c r="AX77" s="20"/>
      <c r="AY77" s="20"/>
      <c r="AZ77" s="17"/>
      <c r="BD77" s="1181" t="s">
        <v>2488</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2489</v>
      </c>
      <c r="BE78" s="1183">
        <f>'Points System'!AF836</f>
        <v>10</v>
      </c>
    </row>
    <row r="79" spans="1:57" ht="12.95" customHeight="1">
      <c r="A79" s="1457" t="s">
        <v>2114</v>
      </c>
      <c r="B79" s="1457"/>
      <c r="C79" s="1457"/>
      <c r="D79" s="1457"/>
      <c r="E79" s="1457"/>
      <c r="F79" s="1457"/>
      <c r="G79" s="1457"/>
      <c r="H79" s="1457"/>
      <c r="I79" s="1457"/>
      <c r="J79" s="1457"/>
      <c r="K79" s="1457"/>
      <c r="L79" s="1457"/>
      <c r="M79" s="1457"/>
      <c r="N79" s="1457"/>
      <c r="O79" s="1457"/>
      <c r="P79" s="1457"/>
      <c r="Q79" s="1457"/>
      <c r="R79" s="1457"/>
      <c r="S79" s="1457"/>
      <c r="T79" s="1457"/>
      <c r="U79" s="1457"/>
      <c r="V79" s="1457"/>
      <c r="W79" s="1457"/>
      <c r="X79" s="1457"/>
      <c r="Y79" s="1457"/>
      <c r="Z79" s="1457"/>
      <c r="AA79" s="1457"/>
      <c r="AB79" s="1457"/>
      <c r="AC79" s="1457"/>
      <c r="AD79" s="1457"/>
      <c r="AE79" s="1457"/>
      <c r="AF79" s="1457"/>
      <c r="AG79" s="1457"/>
      <c r="AH79" s="1457"/>
      <c r="AI79" s="1457"/>
      <c r="AJ79" s="1457"/>
      <c r="AK79" s="1457"/>
      <c r="AL79" s="1457"/>
      <c r="AM79" s="1457"/>
      <c r="AN79" s="1457"/>
      <c r="AO79" s="1457"/>
      <c r="AP79" s="1457"/>
      <c r="AQ79" s="1457"/>
      <c r="AR79" s="1457"/>
      <c r="AS79" s="1457"/>
      <c r="AT79" s="1457"/>
      <c r="AU79" s="20"/>
      <c r="AV79" s="20"/>
      <c r="AW79" s="20"/>
      <c r="AX79" s="20"/>
      <c r="AY79" s="20"/>
      <c r="AZ79" s="20"/>
      <c r="BD79" s="1181" t="s">
        <v>2604</v>
      </c>
      <c r="BE79" s="1183">
        <f>'Points System'!AF837</f>
        <v>9</v>
      </c>
    </row>
    <row r="80" spans="1:57" ht="12.95" customHeight="1">
      <c r="A80" s="1457"/>
      <c r="B80" s="1457"/>
      <c r="C80" s="1457"/>
      <c r="D80" s="1457"/>
      <c r="E80" s="1457"/>
      <c r="F80" s="1457"/>
      <c r="G80" s="1457"/>
      <c r="H80" s="1457"/>
      <c r="I80" s="1457"/>
      <c r="J80" s="1457"/>
      <c r="K80" s="1457"/>
      <c r="L80" s="1457"/>
      <c r="M80" s="1457"/>
      <c r="N80" s="1457"/>
      <c r="O80" s="1457"/>
      <c r="P80" s="1457"/>
      <c r="Q80" s="1457"/>
      <c r="R80" s="1457"/>
      <c r="S80" s="1457"/>
      <c r="T80" s="1457"/>
      <c r="U80" s="1457"/>
      <c r="V80" s="1457"/>
      <c r="W80" s="1457"/>
      <c r="X80" s="1457"/>
      <c r="Y80" s="1457"/>
      <c r="Z80" s="1457"/>
      <c r="AA80" s="1457"/>
      <c r="AB80" s="1457"/>
      <c r="AC80" s="1457"/>
      <c r="AD80" s="1457"/>
      <c r="AE80" s="1457"/>
      <c r="AF80" s="1457"/>
      <c r="AG80" s="1457"/>
      <c r="AH80" s="1457"/>
      <c r="AI80" s="1457"/>
      <c r="AJ80" s="1457"/>
      <c r="AK80" s="1457"/>
      <c r="AL80" s="1457"/>
      <c r="AM80" s="1457"/>
      <c r="AN80" s="1457"/>
      <c r="AO80" s="1457"/>
      <c r="AP80" s="1457"/>
      <c r="AQ80" s="1457"/>
      <c r="AR80" s="1457"/>
      <c r="AS80" s="1457"/>
      <c r="AT80" s="1457"/>
      <c r="AU80" s="20"/>
      <c r="AV80" s="20"/>
      <c r="AW80" s="20"/>
      <c r="AX80" s="20"/>
      <c r="AY80" s="20"/>
      <c r="AZ80" s="20"/>
      <c r="BD80" s="1182" t="s">
        <v>2490</v>
      </c>
      <c r="BE80" s="1183">
        <f>'Points System'!AF839</f>
        <v>10</v>
      </c>
    </row>
    <row r="81" spans="1:57" ht="12.95" customHeight="1">
      <c r="A81" s="1457"/>
      <c r="B81" s="1457"/>
      <c r="C81" s="1457"/>
      <c r="D81" s="1457"/>
      <c r="E81" s="1457"/>
      <c r="F81" s="1457"/>
      <c r="G81" s="1457"/>
      <c r="H81" s="1457"/>
      <c r="I81" s="1457"/>
      <c r="J81" s="1457"/>
      <c r="K81" s="1457"/>
      <c r="L81" s="1457"/>
      <c r="M81" s="1457"/>
      <c r="N81" s="1457"/>
      <c r="O81" s="1457"/>
      <c r="P81" s="1457"/>
      <c r="Q81" s="1457"/>
      <c r="R81" s="1457"/>
      <c r="S81" s="1457"/>
      <c r="T81" s="1457"/>
      <c r="U81" s="1457"/>
      <c r="V81" s="1457"/>
      <c r="W81" s="1457"/>
      <c r="X81" s="1457"/>
      <c r="Y81" s="1457"/>
      <c r="Z81" s="1457"/>
      <c r="AA81" s="1457"/>
      <c r="AB81" s="1457"/>
      <c r="AC81" s="1457"/>
      <c r="AD81" s="1457"/>
      <c r="AE81" s="1457"/>
      <c r="AF81" s="1457"/>
      <c r="AG81" s="1457"/>
      <c r="AH81" s="1457"/>
      <c r="AI81" s="1457"/>
      <c r="AJ81" s="1457"/>
      <c r="AK81" s="1457"/>
      <c r="AL81" s="1457"/>
      <c r="AM81" s="1457"/>
      <c r="AN81" s="1457"/>
      <c r="AO81" s="1457"/>
      <c r="AP81" s="1457"/>
      <c r="AQ81" s="1457"/>
      <c r="AR81" s="1457"/>
      <c r="AS81" s="1457"/>
      <c r="AT81" s="1457"/>
      <c r="AU81" s="20"/>
      <c r="AV81" s="20"/>
      <c r="AW81" s="20"/>
      <c r="AX81" s="20"/>
      <c r="AY81" s="20"/>
      <c r="AZ81" s="20"/>
      <c r="BD81" s="1181" t="s">
        <v>2491</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2492</v>
      </c>
      <c r="BE82" s="1183">
        <f>'Points System'!AF841</f>
        <v>10</v>
      </c>
    </row>
    <row r="83" spans="1:57" ht="12.95" customHeight="1">
      <c r="A83" s="1456" t="s">
        <v>2115</v>
      </c>
      <c r="B83" s="1456"/>
      <c r="C83" s="1456"/>
      <c r="D83" s="1456"/>
      <c r="E83" s="1456"/>
      <c r="F83" s="1456"/>
      <c r="G83" s="1456"/>
      <c r="H83" s="1456"/>
      <c r="I83" s="1456"/>
      <c r="J83" s="1456"/>
      <c r="K83" s="1456"/>
      <c r="L83" s="1456"/>
      <c r="M83" s="1456"/>
      <c r="N83" s="1456"/>
      <c r="O83" s="1456"/>
      <c r="P83" s="1456"/>
      <c r="Q83" s="1456"/>
      <c r="R83" s="1456"/>
      <c r="S83" s="1456"/>
      <c r="T83" s="1456"/>
      <c r="U83" s="1456"/>
      <c r="V83" s="1456"/>
      <c r="W83" s="1456"/>
      <c r="X83" s="1456"/>
      <c r="Y83" s="1456"/>
      <c r="Z83" s="1456"/>
      <c r="AA83" s="1456"/>
      <c r="AB83" s="1456"/>
      <c r="AC83" s="1456"/>
      <c r="AD83" s="1456"/>
      <c r="AE83" s="1456"/>
      <c r="AF83" s="1456"/>
      <c r="AG83" s="1456"/>
      <c r="AH83" s="1456"/>
      <c r="AI83" s="1456"/>
      <c r="AJ83" s="1456"/>
      <c r="AK83" s="1456"/>
      <c r="AL83" s="1456"/>
      <c r="AM83" s="1456"/>
      <c r="AN83" s="1456"/>
      <c r="AO83" s="1456"/>
      <c r="AP83" s="1456"/>
      <c r="AQ83" s="1456"/>
      <c r="AR83" s="1456"/>
      <c r="AS83" s="1456"/>
      <c r="AT83" s="1456"/>
      <c r="AU83" s="20"/>
      <c r="AV83" s="20"/>
      <c r="AW83" s="20"/>
      <c r="AX83" s="20"/>
      <c r="AY83" s="20"/>
      <c r="AZ83" s="20"/>
      <c r="BD83" s="1181" t="s">
        <v>2493</v>
      </c>
      <c r="BE83" s="1187">
        <f>'Tie Breaker'!H5</f>
        <v>2.3074135865475953</v>
      </c>
    </row>
    <row r="84" spans="1:57" ht="12.95" customHeight="1">
      <c r="A84" s="1456"/>
      <c r="B84" s="1456"/>
      <c r="C84" s="1456"/>
      <c r="D84" s="1456"/>
      <c r="E84" s="1456"/>
      <c r="F84" s="1456"/>
      <c r="G84" s="1456"/>
      <c r="H84" s="1456"/>
      <c r="I84" s="1456"/>
      <c r="J84" s="1456"/>
      <c r="K84" s="1456"/>
      <c r="L84" s="1456"/>
      <c r="M84" s="1456"/>
      <c r="N84" s="1456"/>
      <c r="O84" s="1456"/>
      <c r="P84" s="1456"/>
      <c r="Q84" s="1456"/>
      <c r="R84" s="1456"/>
      <c r="S84" s="1456"/>
      <c r="T84" s="1456"/>
      <c r="U84" s="1456"/>
      <c r="V84" s="1456"/>
      <c r="W84" s="1456"/>
      <c r="X84" s="1456"/>
      <c r="Y84" s="1456"/>
      <c r="Z84" s="1456"/>
      <c r="AA84" s="1456"/>
      <c r="AB84" s="1456"/>
      <c r="AC84" s="1456"/>
      <c r="AD84" s="1456"/>
      <c r="AE84" s="1456"/>
      <c r="AF84" s="1456"/>
      <c r="AG84" s="1456"/>
      <c r="AH84" s="1456"/>
      <c r="AI84" s="1456"/>
      <c r="AJ84" s="1456"/>
      <c r="AK84" s="1456"/>
      <c r="AL84" s="1456"/>
      <c r="AM84" s="1456"/>
      <c r="AN84" s="1456"/>
      <c r="AO84" s="1456"/>
      <c r="AP84" s="1456"/>
      <c r="AQ84" s="1456"/>
      <c r="AR84" s="1456"/>
      <c r="AS84" s="1456"/>
      <c r="AT84" s="1456"/>
      <c r="AU84" s="20"/>
      <c r="AV84" s="20"/>
      <c r="AW84" s="20"/>
      <c r="AX84" s="20"/>
      <c r="AY84" s="20"/>
      <c r="AZ84" s="20"/>
      <c r="BD84" s="1182" t="s">
        <v>2494</v>
      </c>
      <c r="BE84" s="1183"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2495</v>
      </c>
      <c r="BE85" s="1183" t="str">
        <f>Application!O154</f>
        <v>Timothy Elliot</v>
      </c>
    </row>
    <row r="86" spans="1:57" ht="12.95" customHeight="1">
      <c r="A86" s="1456" t="s">
        <v>2116</v>
      </c>
      <c r="B86" s="1456"/>
      <c r="C86" s="1456"/>
      <c r="D86" s="1456"/>
      <c r="E86" s="1456"/>
      <c r="F86" s="1456"/>
      <c r="G86" s="1456"/>
      <c r="H86" s="1456"/>
      <c r="I86" s="1456"/>
      <c r="J86" s="1456"/>
      <c r="K86" s="1456"/>
      <c r="L86" s="1456"/>
      <c r="M86" s="1456"/>
      <c r="N86" s="1456"/>
      <c r="O86" s="1456"/>
      <c r="P86" s="1456"/>
      <c r="Q86" s="1456"/>
      <c r="R86" s="1456"/>
      <c r="S86" s="1456"/>
      <c r="T86" s="1456"/>
      <c r="U86" s="1456"/>
      <c r="V86" s="1456"/>
      <c r="W86" s="1456"/>
      <c r="X86" s="1456"/>
      <c r="Y86" s="1456"/>
      <c r="Z86" s="1456"/>
      <c r="AA86" s="1456"/>
      <c r="AB86" s="1456"/>
      <c r="AC86" s="1456"/>
      <c r="AD86" s="1456"/>
      <c r="AE86" s="1456"/>
      <c r="AF86" s="1456"/>
      <c r="AG86" s="1456"/>
      <c r="AH86" s="1456"/>
      <c r="AI86" s="1456"/>
      <c r="AJ86" s="1456"/>
      <c r="AK86" s="1456"/>
      <c r="AL86" s="1456"/>
      <c r="AM86" s="1456"/>
      <c r="AN86" s="1456"/>
      <c r="AO86" s="1456"/>
      <c r="AP86" s="1456"/>
      <c r="AQ86" s="1456"/>
      <c r="AR86" s="1456"/>
      <c r="AS86" s="1456"/>
      <c r="AT86" s="1456"/>
      <c r="AU86" s="20"/>
      <c r="AV86" s="20"/>
      <c r="AW86" s="20"/>
      <c r="AX86" s="20"/>
      <c r="AY86" s="20"/>
      <c r="AZ86" s="20"/>
      <c r="BD86" s="1182" t="s">
        <v>2496</v>
      </c>
      <c r="BE86" s="1183" t="str">
        <f>Application!O155</f>
        <v>City Manager</v>
      </c>
    </row>
    <row r="87" spans="1:57" ht="12.95" customHeight="1">
      <c r="A87" s="1456"/>
      <c r="B87" s="1456"/>
      <c r="C87" s="1456"/>
      <c r="D87" s="1456"/>
      <c r="E87" s="1456"/>
      <c r="F87" s="1456"/>
      <c r="G87" s="1456"/>
      <c r="H87" s="1456"/>
      <c r="I87" s="1456"/>
      <c r="J87" s="1456"/>
      <c r="K87" s="1456"/>
      <c r="L87" s="1456"/>
      <c r="M87" s="1456"/>
      <c r="N87" s="1456"/>
      <c r="O87" s="1456"/>
      <c r="P87" s="1456"/>
      <c r="Q87" s="1456"/>
      <c r="R87" s="1456"/>
      <c r="S87" s="1456"/>
      <c r="T87" s="1456"/>
      <c r="U87" s="1456"/>
      <c r="V87" s="1456"/>
      <c r="W87" s="1456"/>
      <c r="X87" s="1456"/>
      <c r="Y87" s="1456"/>
      <c r="Z87" s="1456"/>
      <c r="AA87" s="1456"/>
      <c r="AB87" s="1456"/>
      <c r="AC87" s="1456"/>
      <c r="AD87" s="1456"/>
      <c r="AE87" s="1456"/>
      <c r="AF87" s="1456"/>
      <c r="AG87" s="1456"/>
      <c r="AH87" s="1456"/>
      <c r="AI87" s="1456"/>
      <c r="AJ87" s="1456"/>
      <c r="AK87" s="1456"/>
      <c r="AL87" s="1456"/>
      <c r="AM87" s="1456"/>
      <c r="AN87" s="1456"/>
      <c r="AO87" s="1456"/>
      <c r="AP87" s="1456"/>
      <c r="AQ87" s="1456"/>
      <c r="AR87" s="1456"/>
      <c r="AS87" s="1456"/>
      <c r="AT87" s="1456"/>
      <c r="AU87" s="20"/>
      <c r="AV87" s="20"/>
      <c r="AW87" s="20"/>
      <c r="AX87" s="20"/>
      <c r="AY87" s="20"/>
      <c r="AZ87" s="20"/>
      <c r="BD87" s="1181" t="s">
        <v>2497</v>
      </c>
      <c r="BE87" s="1183"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2498</v>
      </c>
      <c r="BE88" s="1183" t="str">
        <f>Application!O157</f>
        <v>Los Angeles</v>
      </c>
    </row>
    <row r="89" spans="1:57" ht="12.95" customHeight="1">
      <c r="A89" s="1711" t="s">
        <v>2117</v>
      </c>
      <c r="B89" s="1711"/>
      <c r="C89" s="1711"/>
      <c r="D89" s="1711"/>
      <c r="E89" s="1711"/>
      <c r="F89" s="1711"/>
      <c r="G89" s="1711"/>
      <c r="H89" s="1711"/>
      <c r="I89" s="1711"/>
      <c r="J89" s="1711"/>
      <c r="K89" s="1711"/>
      <c r="L89" s="1711"/>
      <c r="M89" s="1711"/>
      <c r="N89" s="1711"/>
      <c r="O89" s="1711"/>
      <c r="P89" s="1711"/>
      <c r="Q89" s="1711"/>
      <c r="R89" s="1711"/>
      <c r="S89" s="1711"/>
      <c r="T89" s="1711"/>
      <c r="U89" s="1711"/>
      <c r="V89" s="1711"/>
      <c r="W89" s="1711"/>
      <c r="X89" s="1711"/>
      <c r="Y89" s="1711"/>
      <c r="Z89" s="1711"/>
      <c r="AA89" s="1711"/>
      <c r="AB89" s="1711"/>
      <c r="AC89" s="1711"/>
      <c r="AD89" s="1711"/>
      <c r="AE89" s="1711"/>
      <c r="AF89" s="1711"/>
      <c r="AG89" s="1711"/>
      <c r="AH89" s="1711"/>
      <c r="AI89" s="1711"/>
      <c r="AJ89" s="1711"/>
      <c r="AK89" s="1711"/>
      <c r="AL89" s="1711"/>
      <c r="AM89" s="1711"/>
      <c r="AN89" s="1711"/>
      <c r="AO89" s="1711"/>
      <c r="AP89" s="1711"/>
      <c r="AQ89" s="1711"/>
      <c r="AR89" s="1711"/>
      <c r="AS89" s="1711"/>
      <c r="AT89" s="1711"/>
      <c r="AU89" s="17"/>
      <c r="AV89" s="17"/>
      <c r="AW89" s="17"/>
      <c r="AX89" s="17"/>
      <c r="AY89" s="17"/>
      <c r="AZ89" s="20"/>
      <c r="BD89" s="1181" t="s">
        <v>2499</v>
      </c>
      <c r="BE89" s="1183">
        <f>Application!O158</f>
        <v>90017</v>
      </c>
    </row>
    <row r="90" spans="1:57" ht="12.95" customHeight="1">
      <c r="A90" s="1711"/>
      <c r="B90" s="1711"/>
      <c r="C90" s="1711"/>
      <c r="D90" s="1711"/>
      <c r="E90" s="1711"/>
      <c r="F90" s="1711"/>
      <c r="G90" s="1711"/>
      <c r="H90" s="1711"/>
      <c r="I90" s="1711"/>
      <c r="J90" s="1711"/>
      <c r="K90" s="1711"/>
      <c r="L90" s="1711"/>
      <c r="M90" s="1711"/>
      <c r="N90" s="1711"/>
      <c r="O90" s="1711"/>
      <c r="P90" s="1711"/>
      <c r="Q90" s="1711"/>
      <c r="R90" s="1711"/>
      <c r="S90" s="1711"/>
      <c r="T90" s="1711"/>
      <c r="U90" s="1711"/>
      <c r="V90" s="1711"/>
      <c r="W90" s="1711"/>
      <c r="X90" s="1711"/>
      <c r="Y90" s="1711"/>
      <c r="Z90" s="1711"/>
      <c r="AA90" s="1711"/>
      <c r="AB90" s="1711"/>
      <c r="AC90" s="1711"/>
      <c r="AD90" s="1711"/>
      <c r="AE90" s="1711"/>
      <c r="AF90" s="1711"/>
      <c r="AG90" s="1711"/>
      <c r="AH90" s="1711"/>
      <c r="AI90" s="1711"/>
      <c r="AJ90" s="1711"/>
      <c r="AK90" s="1711"/>
      <c r="AL90" s="1711"/>
      <c r="AM90" s="1711"/>
      <c r="AN90" s="1711"/>
      <c r="AO90" s="1711"/>
      <c r="AP90" s="1711"/>
      <c r="AQ90" s="1711"/>
      <c r="AR90" s="1711"/>
      <c r="AS90" s="1711"/>
      <c r="AT90" s="1711"/>
      <c r="AU90" s="17"/>
      <c r="AV90" s="17"/>
      <c r="AW90" s="17"/>
      <c r="AX90" s="17"/>
      <c r="AY90" s="17"/>
      <c r="AZ90" s="20"/>
      <c r="BD90" s="1182" t="s">
        <v>2500</v>
      </c>
      <c r="BE90" s="1183" t="str">
        <f>Application!H16</f>
        <v>Calyx 544 Mariposa,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2501</v>
      </c>
      <c r="BE91" s="1183" t="str">
        <f>Application!M242</f>
        <v>3580 Wilshire Blvd. Suite 900-16</v>
      </c>
    </row>
    <row r="92" spans="1:57" ht="12.95" customHeight="1">
      <c r="A92" s="1703" t="s">
        <v>2118</v>
      </c>
      <c r="B92" s="1703"/>
      <c r="C92" s="1703"/>
      <c r="D92" s="1703"/>
      <c r="E92" s="1703"/>
      <c r="F92" s="1703"/>
      <c r="G92" s="1703"/>
      <c r="H92" s="1703"/>
      <c r="I92" s="1703"/>
      <c r="J92" s="1703"/>
      <c r="K92" s="1703"/>
      <c r="L92" s="1703"/>
      <c r="M92" s="1703"/>
      <c r="N92" s="1703"/>
      <c r="O92" s="1703"/>
      <c r="P92" s="1703"/>
      <c r="Q92" s="1703"/>
      <c r="R92" s="1703"/>
      <c r="S92" s="1703"/>
      <c r="T92" s="1703"/>
      <c r="U92" s="1703"/>
      <c r="V92" s="1703"/>
      <c r="W92" s="1703"/>
      <c r="X92" s="1703"/>
      <c r="Y92" s="1703"/>
      <c r="Z92" s="1703"/>
      <c r="AA92" s="1703"/>
      <c r="AB92" s="1703"/>
      <c r="AC92" s="1703"/>
      <c r="AD92" s="1703"/>
      <c r="AE92" s="1703"/>
      <c r="AF92" s="1703"/>
      <c r="AG92" s="1703"/>
      <c r="AH92" s="1703"/>
      <c r="AI92" s="1703"/>
      <c r="AJ92" s="1703"/>
      <c r="AK92" s="1703"/>
      <c r="AL92" s="1703"/>
      <c r="AM92" s="1703"/>
      <c r="AN92" s="1703"/>
      <c r="AO92" s="1703"/>
      <c r="AP92" s="1703"/>
      <c r="AQ92" s="1703"/>
      <c r="AR92" s="1703"/>
      <c r="AS92" s="1703"/>
      <c r="AT92" s="1703"/>
      <c r="AU92" s="20"/>
      <c r="AV92" s="20"/>
      <c r="AW92" s="20"/>
      <c r="AX92" s="20"/>
      <c r="AY92" s="20"/>
      <c r="AZ92" s="20"/>
      <c r="BD92" s="1182" t="s">
        <v>2502</v>
      </c>
      <c r="BE92" s="1183" t="str">
        <f>Application!M243</f>
        <v>Los Angeles</v>
      </c>
    </row>
    <row r="93" spans="1:57" ht="12.95" customHeight="1">
      <c r="A93" s="1703"/>
      <c r="B93" s="1703"/>
      <c r="C93" s="1703"/>
      <c r="D93" s="1703"/>
      <c r="E93" s="1703"/>
      <c r="F93" s="1703"/>
      <c r="G93" s="1703"/>
      <c r="H93" s="1703"/>
      <c r="I93" s="1703"/>
      <c r="J93" s="1703"/>
      <c r="K93" s="1703"/>
      <c r="L93" s="1703"/>
      <c r="M93" s="1703"/>
      <c r="N93" s="1703"/>
      <c r="O93" s="1703"/>
      <c r="P93" s="1703"/>
      <c r="Q93" s="1703"/>
      <c r="R93" s="1703"/>
      <c r="S93" s="1703"/>
      <c r="T93" s="1703"/>
      <c r="U93" s="1703"/>
      <c r="V93" s="1703"/>
      <c r="W93" s="1703"/>
      <c r="X93" s="1703"/>
      <c r="Y93" s="1703"/>
      <c r="Z93" s="1703"/>
      <c r="AA93" s="1703"/>
      <c r="AB93" s="1703"/>
      <c r="AC93" s="1703"/>
      <c r="AD93" s="1703"/>
      <c r="AE93" s="1703"/>
      <c r="AF93" s="1703"/>
      <c r="AG93" s="1703"/>
      <c r="AH93" s="1703"/>
      <c r="AI93" s="1703"/>
      <c r="AJ93" s="1703"/>
      <c r="AK93" s="1703"/>
      <c r="AL93" s="1703"/>
      <c r="AM93" s="1703"/>
      <c r="AN93" s="1703"/>
      <c r="AO93" s="1703"/>
      <c r="AP93" s="1703"/>
      <c r="AQ93" s="1703"/>
      <c r="AR93" s="1703"/>
      <c r="AS93" s="1703"/>
      <c r="AT93" s="1703"/>
      <c r="AU93" s="20"/>
      <c r="AV93" s="20"/>
      <c r="AW93" s="20"/>
      <c r="AX93" s="20"/>
      <c r="AY93" s="20"/>
      <c r="AZ93" s="20"/>
      <c r="BD93" s="1181" t="s">
        <v>2503</v>
      </c>
      <c r="BE93" s="1183" t="str">
        <f>Application!W243</f>
        <v>CA</v>
      </c>
    </row>
    <row r="94" spans="1:57" ht="12.95" customHeight="1">
      <c r="A94" s="1703"/>
      <c r="B94" s="1703"/>
      <c r="C94" s="1703"/>
      <c r="D94" s="1703"/>
      <c r="E94" s="1703"/>
      <c r="F94" s="1703"/>
      <c r="G94" s="1703"/>
      <c r="H94" s="1703"/>
      <c r="I94" s="1703"/>
      <c r="J94" s="1703"/>
      <c r="K94" s="1703"/>
      <c r="L94" s="1703"/>
      <c r="M94" s="1703"/>
      <c r="N94" s="1703"/>
      <c r="O94" s="1703"/>
      <c r="P94" s="1703"/>
      <c r="Q94" s="1703"/>
      <c r="R94" s="1703"/>
      <c r="S94" s="1703"/>
      <c r="T94" s="1703"/>
      <c r="U94" s="1703"/>
      <c r="V94" s="1703"/>
      <c r="W94" s="1703"/>
      <c r="X94" s="1703"/>
      <c r="Y94" s="1703"/>
      <c r="Z94" s="1703"/>
      <c r="AA94" s="1703"/>
      <c r="AB94" s="1703"/>
      <c r="AC94" s="1703"/>
      <c r="AD94" s="1703"/>
      <c r="AE94" s="1703"/>
      <c r="AF94" s="1703"/>
      <c r="AG94" s="1703"/>
      <c r="AH94" s="1703"/>
      <c r="AI94" s="1703"/>
      <c r="AJ94" s="1703"/>
      <c r="AK94" s="1703"/>
      <c r="AL94" s="1703"/>
      <c r="AM94" s="1703"/>
      <c r="AN94" s="1703"/>
      <c r="AO94" s="1703"/>
      <c r="AP94" s="1703"/>
      <c r="AQ94" s="1703"/>
      <c r="AR94" s="1703"/>
      <c r="AS94" s="1703"/>
      <c r="AT94" s="1703"/>
      <c r="AU94" s="20"/>
      <c r="AV94" s="20"/>
      <c r="AW94" s="20"/>
      <c r="AX94" s="20"/>
      <c r="AY94" s="20"/>
      <c r="AZ94" s="20"/>
      <c r="BD94" s="1182" t="s">
        <v>2504</v>
      </c>
      <c r="BE94" s="1183">
        <f>Application!AC243</f>
        <v>90010</v>
      </c>
    </row>
    <row r="95" spans="1:57" ht="12.95" customHeight="1">
      <c r="A95" s="1703"/>
      <c r="B95" s="1703"/>
      <c r="C95" s="1703"/>
      <c r="D95" s="1703"/>
      <c r="E95" s="1703"/>
      <c r="F95" s="1703"/>
      <c r="G95" s="1703"/>
      <c r="H95" s="1703"/>
      <c r="I95" s="1703"/>
      <c r="J95" s="1703"/>
      <c r="K95" s="1703"/>
      <c r="L95" s="1703"/>
      <c r="M95" s="1703"/>
      <c r="N95" s="1703"/>
      <c r="O95" s="1703"/>
      <c r="P95" s="1703"/>
      <c r="Q95" s="1703"/>
      <c r="R95" s="1703"/>
      <c r="S95" s="1703"/>
      <c r="T95" s="1703"/>
      <c r="U95" s="1703"/>
      <c r="V95" s="1703"/>
      <c r="W95" s="1703"/>
      <c r="X95" s="1703"/>
      <c r="Y95" s="1703"/>
      <c r="Z95" s="1703"/>
      <c r="AA95" s="1703"/>
      <c r="AB95" s="1703"/>
      <c r="AC95" s="1703"/>
      <c r="AD95" s="1703"/>
      <c r="AE95" s="1703"/>
      <c r="AF95" s="1703"/>
      <c r="AG95" s="1703"/>
      <c r="AH95" s="1703"/>
      <c r="AI95" s="1703"/>
      <c r="AJ95" s="1703"/>
      <c r="AK95" s="1703"/>
      <c r="AL95" s="1703"/>
      <c r="AM95" s="1703"/>
      <c r="AN95" s="1703"/>
      <c r="AO95" s="1703"/>
      <c r="AP95" s="1703"/>
      <c r="AQ95" s="1703"/>
      <c r="AR95" s="1703"/>
      <c r="AS95" s="1703"/>
      <c r="AT95" s="1703"/>
      <c r="AU95" s="20"/>
      <c r="AV95" s="20"/>
      <c r="AW95" s="20"/>
      <c r="AX95" s="20"/>
      <c r="AY95" s="20"/>
      <c r="AZ95" s="20"/>
      <c r="BD95" s="1181" t="s">
        <v>2505</v>
      </c>
      <c r="BE95" s="1183" t="str">
        <f>Application!M244</f>
        <v>Hyun Shin</v>
      </c>
    </row>
    <row r="96" spans="1:57" ht="12.95" customHeight="1">
      <c r="A96" s="1703"/>
      <c r="B96" s="1703"/>
      <c r="C96" s="1703"/>
      <c r="D96" s="1703"/>
      <c r="E96" s="1703"/>
      <c r="F96" s="1703"/>
      <c r="G96" s="1703"/>
      <c r="H96" s="1703"/>
      <c r="I96" s="1703"/>
      <c r="J96" s="1703"/>
      <c r="K96" s="1703"/>
      <c r="L96" s="1703"/>
      <c r="M96" s="1703"/>
      <c r="N96" s="1703"/>
      <c r="O96" s="1703"/>
      <c r="P96" s="1703"/>
      <c r="Q96" s="1703"/>
      <c r="R96" s="1703"/>
      <c r="S96" s="1703"/>
      <c r="T96" s="1703"/>
      <c r="U96" s="1703"/>
      <c r="V96" s="1703"/>
      <c r="W96" s="1703"/>
      <c r="X96" s="1703"/>
      <c r="Y96" s="1703"/>
      <c r="Z96" s="1703"/>
      <c r="AA96" s="1703"/>
      <c r="AB96" s="1703"/>
      <c r="AC96" s="1703"/>
      <c r="AD96" s="1703"/>
      <c r="AE96" s="1703"/>
      <c r="AF96" s="1703"/>
      <c r="AG96" s="1703"/>
      <c r="AH96" s="1703"/>
      <c r="AI96" s="1703"/>
      <c r="AJ96" s="1703"/>
      <c r="AK96" s="1703"/>
      <c r="AL96" s="1703"/>
      <c r="AM96" s="1703"/>
      <c r="AN96" s="1703"/>
      <c r="AO96" s="1703"/>
      <c r="AP96" s="1703"/>
      <c r="AQ96" s="1703"/>
      <c r="AR96" s="1703"/>
      <c r="AS96" s="1703"/>
      <c r="AT96" s="1703"/>
      <c r="AU96" s="20"/>
      <c r="AV96" s="20"/>
      <c r="AW96" s="20"/>
      <c r="AX96" s="20"/>
      <c r="AY96" s="20"/>
      <c r="AZ96" s="20"/>
      <c r="BD96" s="1182" t="s">
        <v>2506</v>
      </c>
      <c r="BE96" s="1183" t="str">
        <f>Application!M246</f>
        <v>pshin.summitbuilders@gmail.com</v>
      </c>
    </row>
    <row r="97" spans="1:57" ht="12.95" customHeight="1">
      <c r="A97" s="1703"/>
      <c r="B97" s="1703"/>
      <c r="C97" s="1703"/>
      <c r="D97" s="1703"/>
      <c r="E97" s="1703"/>
      <c r="F97" s="1703"/>
      <c r="G97" s="1703"/>
      <c r="H97" s="1703"/>
      <c r="I97" s="1703"/>
      <c r="J97" s="1703"/>
      <c r="K97" s="1703"/>
      <c r="L97" s="1703"/>
      <c r="M97" s="1703"/>
      <c r="N97" s="1703"/>
      <c r="O97" s="1703"/>
      <c r="P97" s="1703"/>
      <c r="Q97" s="1703"/>
      <c r="R97" s="1703"/>
      <c r="S97" s="1703"/>
      <c r="T97" s="1703"/>
      <c r="U97" s="1703"/>
      <c r="V97" s="1703"/>
      <c r="W97" s="1703"/>
      <c r="X97" s="1703"/>
      <c r="Y97" s="1703"/>
      <c r="Z97" s="1703"/>
      <c r="AA97" s="1703"/>
      <c r="AB97" s="1703"/>
      <c r="AC97" s="1703"/>
      <c r="AD97" s="1703"/>
      <c r="AE97" s="1703"/>
      <c r="AF97" s="1703"/>
      <c r="AG97" s="1703"/>
      <c r="AH97" s="1703"/>
      <c r="AI97" s="1703"/>
      <c r="AJ97" s="1703"/>
      <c r="AK97" s="1703"/>
      <c r="AL97" s="1703"/>
      <c r="AM97" s="1703"/>
      <c r="AN97" s="1703"/>
      <c r="AO97" s="1703"/>
      <c r="AP97" s="1703"/>
      <c r="AQ97" s="1703"/>
      <c r="AR97" s="1703"/>
      <c r="AS97" s="1703"/>
      <c r="AT97" s="1703"/>
      <c r="AU97" s="20"/>
      <c r="AV97" s="20"/>
      <c r="AW97" s="20"/>
      <c r="AX97" s="20"/>
      <c r="AY97" s="20"/>
      <c r="AZ97" s="20"/>
      <c r="BD97" s="1181" t="s">
        <v>2507</v>
      </c>
      <c r="BE97" s="1183" t="str">
        <f>Application!M257</f>
        <v>pshin.summitbuilders@gmail.com</v>
      </c>
    </row>
    <row r="98" spans="1:57" ht="12.95" customHeight="1">
      <c r="A98" s="1703"/>
      <c r="B98" s="1703"/>
      <c r="C98" s="1703"/>
      <c r="D98" s="1703"/>
      <c r="E98" s="1703"/>
      <c r="F98" s="1703"/>
      <c r="G98" s="1703"/>
      <c r="H98" s="1703"/>
      <c r="I98" s="1703"/>
      <c r="J98" s="1703"/>
      <c r="K98" s="1703"/>
      <c r="L98" s="1703"/>
      <c r="M98" s="1703"/>
      <c r="N98" s="1703"/>
      <c r="O98" s="1703"/>
      <c r="P98" s="1703"/>
      <c r="Q98" s="1703"/>
      <c r="R98" s="1703"/>
      <c r="S98" s="1703"/>
      <c r="T98" s="1703"/>
      <c r="U98" s="1703"/>
      <c r="V98" s="1703"/>
      <c r="W98" s="1703"/>
      <c r="X98" s="1703"/>
      <c r="Y98" s="1703"/>
      <c r="Z98" s="1703"/>
      <c r="AA98" s="1703"/>
      <c r="AB98" s="1703"/>
      <c r="AC98" s="1703"/>
      <c r="AD98" s="1703"/>
      <c r="AE98" s="1703"/>
      <c r="AF98" s="1703"/>
      <c r="AG98" s="1703"/>
      <c r="AH98" s="1703"/>
      <c r="AI98" s="1703"/>
      <c r="AJ98" s="1703"/>
      <c r="AK98" s="1703"/>
      <c r="AL98" s="1703"/>
      <c r="AM98" s="1703"/>
      <c r="AN98" s="1703"/>
      <c r="AO98" s="1703"/>
      <c r="AP98" s="1703"/>
      <c r="AQ98" s="1703"/>
      <c r="AR98" s="1703"/>
      <c r="AS98" s="1703"/>
      <c r="AT98" s="1703"/>
      <c r="AU98" s="20"/>
      <c r="AV98" s="20"/>
      <c r="AW98" s="20"/>
      <c r="AX98" s="20"/>
      <c r="AY98" s="20"/>
      <c r="AZ98" s="20"/>
      <c r="BD98" s="1182" t="s">
        <v>2508</v>
      </c>
      <c r="BE98" s="1183" t="str">
        <f>Application!M265</f>
        <v>william@kingdomdevelopment.net</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2509</v>
      </c>
      <c r="BE99" s="1183" t="str">
        <f>Application!M273</f>
        <v>mgarcia@spadadevelopment.com</v>
      </c>
    </row>
    <row r="100" spans="1:57" ht="12.95" customHeight="1">
      <c r="A100" s="1688" t="s">
        <v>2119</v>
      </c>
      <c r="B100" s="1688"/>
      <c r="C100" s="1688"/>
      <c r="D100" s="1688"/>
      <c r="E100" s="1688"/>
      <c r="F100" s="1688"/>
      <c r="G100" s="1688"/>
      <c r="H100" s="1688"/>
      <c r="I100" s="1688"/>
      <c r="J100" s="1688"/>
      <c r="K100" s="1688"/>
      <c r="L100" s="1688"/>
      <c r="M100" s="1688"/>
      <c r="N100" s="1688"/>
      <c r="O100" s="1688"/>
      <c r="P100" s="1688"/>
      <c r="Q100" s="1688"/>
      <c r="R100" s="1688"/>
      <c r="S100" s="1688"/>
      <c r="T100" s="1688"/>
      <c r="U100" s="1688"/>
      <c r="V100" s="1688"/>
      <c r="W100" s="1688"/>
      <c r="X100" s="1688"/>
      <c r="Y100" s="1688"/>
      <c r="Z100" s="1688"/>
      <c r="AA100" s="1688"/>
      <c r="AB100" s="1688"/>
      <c r="AC100" s="1688"/>
      <c r="AD100" s="1688"/>
      <c r="AE100" s="1688"/>
      <c r="AF100" s="1688"/>
      <c r="AG100" s="1688"/>
      <c r="AH100" s="1688"/>
      <c r="AI100" s="1688"/>
      <c r="AJ100" s="1688"/>
      <c r="AK100" s="1688"/>
      <c r="AL100" s="1688"/>
      <c r="AM100" s="1688"/>
      <c r="AN100" s="1688"/>
      <c r="AO100" s="1688"/>
      <c r="AP100" s="1688"/>
      <c r="AQ100" s="1688"/>
      <c r="AR100" s="1688"/>
      <c r="AS100" s="1688"/>
      <c r="AT100" s="1688"/>
      <c r="AU100" s="20"/>
      <c r="AV100" s="20"/>
      <c r="AW100" s="20"/>
      <c r="AX100" s="20"/>
      <c r="AY100" s="20"/>
      <c r="AZ100" s="20"/>
      <c r="BD100" s="1182" t="s">
        <v>2510</v>
      </c>
      <c r="BE100" s="1183" t="str">
        <f>Application!L288</f>
        <v>william@kingdomdevelopment.net</v>
      </c>
    </row>
    <row r="101" spans="1:57" ht="12.95" customHeight="1">
      <c r="A101" s="1688"/>
      <c r="B101" s="1688"/>
      <c r="C101" s="1688"/>
      <c r="D101" s="1688"/>
      <c r="E101" s="1688"/>
      <c r="F101" s="1688"/>
      <c r="G101" s="1688"/>
      <c r="H101" s="1688"/>
      <c r="I101" s="1688"/>
      <c r="J101" s="1688"/>
      <c r="K101" s="1688"/>
      <c r="L101" s="1688"/>
      <c r="M101" s="1688"/>
      <c r="N101" s="1688"/>
      <c r="O101" s="1688"/>
      <c r="P101" s="1688"/>
      <c r="Q101" s="1688"/>
      <c r="R101" s="1688"/>
      <c r="S101" s="1688"/>
      <c r="T101" s="1688"/>
      <c r="U101" s="1688"/>
      <c r="V101" s="1688"/>
      <c r="W101" s="1688"/>
      <c r="X101" s="1688"/>
      <c r="Y101" s="1688"/>
      <c r="Z101" s="1688"/>
      <c r="AA101" s="1688"/>
      <c r="AB101" s="1688"/>
      <c r="AC101" s="1688"/>
      <c r="AD101" s="1688"/>
      <c r="AE101" s="1688"/>
      <c r="AF101" s="1688"/>
      <c r="AG101" s="1688"/>
      <c r="AH101" s="1688"/>
      <c r="AI101" s="1688"/>
      <c r="AJ101" s="1688"/>
      <c r="AK101" s="1688"/>
      <c r="AL101" s="1688"/>
      <c r="AM101" s="1688"/>
      <c r="AN101" s="1688"/>
      <c r="AO101" s="1688"/>
      <c r="AP101" s="1688"/>
      <c r="AQ101" s="1688"/>
      <c r="AR101" s="1688"/>
      <c r="AS101" s="1688"/>
      <c r="AT101" s="1688"/>
      <c r="AU101" s="20"/>
      <c r="AV101" s="20"/>
      <c r="AW101" s="20"/>
      <c r="AX101" s="20"/>
      <c r="AY101" s="20"/>
      <c r="AZ101" s="20"/>
      <c r="BD101" s="3" t="s">
        <v>2515</v>
      </c>
      <c r="BE101">
        <f>'Sources and Uses Budget'!C105</f>
        <v>21607387</v>
      </c>
    </row>
    <row r="102" spans="1:57" ht="12.95" customHeight="1">
      <c r="A102" s="1688"/>
      <c r="B102" s="1688"/>
      <c r="C102" s="1688"/>
      <c r="D102" s="1688"/>
      <c r="E102" s="1688"/>
      <c r="F102" s="1688"/>
      <c r="G102" s="1688"/>
      <c r="H102" s="1688"/>
      <c r="I102" s="1688"/>
      <c r="J102" s="1688"/>
      <c r="K102" s="1688"/>
      <c r="L102" s="1688"/>
      <c r="M102" s="1688"/>
      <c r="N102" s="1688"/>
      <c r="O102" s="1688"/>
      <c r="P102" s="1688"/>
      <c r="Q102" s="1688"/>
      <c r="R102" s="1688"/>
      <c r="S102" s="1688"/>
      <c r="T102" s="1688"/>
      <c r="U102" s="1688"/>
      <c r="V102" s="1688"/>
      <c r="W102" s="1688"/>
      <c r="X102" s="1688"/>
      <c r="Y102" s="1688"/>
      <c r="Z102" s="1688"/>
      <c r="AA102" s="1688"/>
      <c r="AB102" s="1688"/>
      <c r="AC102" s="1688"/>
      <c r="AD102" s="1688"/>
      <c r="AE102" s="1688"/>
      <c r="AF102" s="1688"/>
      <c r="AG102" s="1688"/>
      <c r="AH102" s="1688"/>
      <c r="AI102" s="1688"/>
      <c r="AJ102" s="1688"/>
      <c r="AK102" s="1688"/>
      <c r="AL102" s="1688"/>
      <c r="AM102" s="1688"/>
      <c r="AN102" s="1688"/>
      <c r="AO102" s="1688"/>
      <c r="AP102" s="1688"/>
      <c r="AQ102" s="1688"/>
      <c r="AR102" s="1688"/>
      <c r="AS102" s="1688"/>
      <c r="AT102" s="1688"/>
      <c r="AU102" s="20"/>
      <c r="AV102" s="20"/>
      <c r="AW102" s="20"/>
      <c r="AX102" s="20"/>
      <c r="AY102" s="20"/>
      <c r="AZ102" s="20"/>
      <c r="BD102" s="3" t="s">
        <v>2516</v>
      </c>
      <c r="BE102" t="b">
        <f>T197="Yes"</f>
        <v>0</v>
      </c>
    </row>
    <row r="103" spans="1:57" ht="12.95" customHeight="1">
      <c r="A103" s="1688"/>
      <c r="B103" s="1688"/>
      <c r="C103" s="1688"/>
      <c r="D103" s="1688"/>
      <c r="E103" s="1688"/>
      <c r="F103" s="1688"/>
      <c r="G103" s="1688"/>
      <c r="H103" s="1688"/>
      <c r="I103" s="1688"/>
      <c r="J103" s="1688"/>
      <c r="K103" s="1688"/>
      <c r="L103" s="1688"/>
      <c r="M103" s="1688"/>
      <c r="N103" s="1688"/>
      <c r="O103" s="1688"/>
      <c r="P103" s="1688"/>
      <c r="Q103" s="1688"/>
      <c r="R103" s="1688"/>
      <c r="S103" s="1688"/>
      <c r="T103" s="1688"/>
      <c r="U103" s="1688"/>
      <c r="V103" s="1688"/>
      <c r="W103" s="1688"/>
      <c r="X103" s="1688"/>
      <c r="Y103" s="1688"/>
      <c r="Z103" s="1688"/>
      <c r="AA103" s="1688"/>
      <c r="AB103" s="1688"/>
      <c r="AC103" s="1688"/>
      <c r="AD103" s="1688"/>
      <c r="AE103" s="1688"/>
      <c r="AF103" s="1688"/>
      <c r="AG103" s="1688"/>
      <c r="AH103" s="1688"/>
      <c r="AI103" s="1688"/>
      <c r="AJ103" s="1688"/>
      <c r="AK103" s="1688"/>
      <c r="AL103" s="1688"/>
      <c r="AM103" s="1688"/>
      <c r="AN103" s="1688"/>
      <c r="AO103" s="1688"/>
      <c r="AP103" s="1688"/>
      <c r="AQ103" s="1688"/>
      <c r="AR103" s="1688"/>
      <c r="AS103" s="1688"/>
      <c r="AT103" s="1688"/>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2527</v>
      </c>
      <c r="BE104" s="1183" t="b">
        <f>T200="Yes"</f>
        <v>0</v>
      </c>
    </row>
    <row r="105" spans="1:57" ht="12.95" customHeight="1">
      <c r="A105" s="1688" t="s">
        <v>2120</v>
      </c>
      <c r="B105" s="1688"/>
      <c r="C105" s="1688"/>
      <c r="D105" s="1688"/>
      <c r="E105" s="1688"/>
      <c r="F105" s="1688"/>
      <c r="G105" s="1688"/>
      <c r="H105" s="1688"/>
      <c r="I105" s="1688"/>
      <c r="J105" s="1688"/>
      <c r="K105" s="1688"/>
      <c r="L105" s="1688"/>
      <c r="M105" s="1688"/>
      <c r="N105" s="1688"/>
      <c r="O105" s="1688"/>
      <c r="P105" s="1688"/>
      <c r="Q105" s="1688"/>
      <c r="R105" s="1688"/>
      <c r="S105" s="1688"/>
      <c r="T105" s="1688"/>
      <c r="U105" s="1688"/>
      <c r="V105" s="1688"/>
      <c r="W105" s="1688"/>
      <c r="X105" s="1688"/>
      <c r="Y105" s="1688"/>
      <c r="Z105" s="1688"/>
      <c r="AA105" s="1688"/>
      <c r="AB105" s="1688"/>
      <c r="AC105" s="1688"/>
      <c r="AD105" s="1688"/>
      <c r="AE105" s="1688"/>
      <c r="AF105" s="1688"/>
      <c r="AG105" s="1688"/>
      <c r="AH105" s="1688"/>
      <c r="AI105" s="1688"/>
      <c r="AJ105" s="1688"/>
      <c r="AK105" s="1688"/>
      <c r="AL105" s="1688"/>
      <c r="AM105" s="1688"/>
      <c r="AN105" s="1688"/>
      <c r="AO105" s="1688"/>
      <c r="AP105" s="1688"/>
      <c r="AQ105" s="1688"/>
      <c r="AR105" s="1688"/>
      <c r="AS105" s="1688"/>
      <c r="AT105" s="1688"/>
      <c r="AU105" s="20"/>
      <c r="AV105" s="20"/>
      <c r="AW105" s="20"/>
      <c r="AX105" s="20"/>
      <c r="AY105" s="20"/>
      <c r="BD105" s="3" t="s">
        <v>2532</v>
      </c>
      <c r="BE105" s="1183" t="b">
        <f>V224="Yes"</f>
        <v>1</v>
      </c>
    </row>
    <row r="106" spans="1:57" ht="12.95" customHeight="1">
      <c r="A106" s="1688"/>
      <c r="B106" s="1688"/>
      <c r="C106" s="1688"/>
      <c r="D106" s="1688"/>
      <c r="E106" s="1688"/>
      <c r="F106" s="1688"/>
      <c r="G106" s="1688"/>
      <c r="H106" s="1688"/>
      <c r="I106" s="1688"/>
      <c r="J106" s="1688"/>
      <c r="K106" s="1688"/>
      <c r="L106" s="1688"/>
      <c r="M106" s="1688"/>
      <c r="N106" s="1688"/>
      <c r="O106" s="1688"/>
      <c r="P106" s="1688"/>
      <c r="Q106" s="1688"/>
      <c r="R106" s="1688"/>
      <c r="S106" s="1688"/>
      <c r="T106" s="1688"/>
      <c r="U106" s="1688"/>
      <c r="V106" s="1688"/>
      <c r="W106" s="1688"/>
      <c r="X106" s="1688"/>
      <c r="Y106" s="1688"/>
      <c r="Z106" s="1688"/>
      <c r="AA106" s="1688"/>
      <c r="AB106" s="1688"/>
      <c r="AC106" s="1688"/>
      <c r="AD106" s="1688"/>
      <c r="AE106" s="1688"/>
      <c r="AF106" s="1688"/>
      <c r="AG106" s="1688"/>
      <c r="AH106" s="1688"/>
      <c r="AI106" s="1688"/>
      <c r="AJ106" s="1688"/>
      <c r="AK106" s="1688"/>
      <c r="AL106" s="1688"/>
      <c r="AM106" s="1688"/>
      <c r="AN106" s="1688"/>
      <c r="AO106" s="1688"/>
      <c r="AP106" s="1688"/>
      <c r="AQ106" s="1688"/>
      <c r="AR106" s="1688"/>
      <c r="AS106" s="1688"/>
      <c r="AT106" s="1688"/>
      <c r="AU106" s="20"/>
      <c r="AV106" s="20"/>
      <c r="AW106" s="20"/>
      <c r="AX106" s="20"/>
      <c r="AY106" s="20"/>
      <c r="BD106" s="3" t="s">
        <v>2533</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2534</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2535</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2536</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2537</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689">
        <v>11</v>
      </c>
      <c r="H113" s="1689"/>
      <c r="I113" s="3" t="s">
        <v>182</v>
      </c>
      <c r="L113" s="1689" t="s">
        <v>2759</v>
      </c>
      <c r="M113" s="1689"/>
      <c r="N113" s="1689"/>
      <c r="O113" s="1689"/>
      <c r="P113" s="1696" t="s">
        <v>2596</v>
      </c>
      <c r="Q113" s="1696"/>
      <c r="R113" s="1696"/>
      <c r="S113" s="16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06" t="s">
        <v>494</v>
      </c>
      <c r="D115" s="1706"/>
      <c r="E115" s="1706"/>
      <c r="F115" s="1706"/>
      <c r="G115" s="1706"/>
      <c r="H115" s="1706"/>
      <c r="I115" s="1706"/>
      <c r="J115" s="1706"/>
      <c r="K115" s="1706"/>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689"/>
      <c r="Z117" s="1689"/>
      <c r="AA117" s="1689"/>
      <c r="AB117" s="1689"/>
      <c r="AC117" s="1689"/>
      <c r="AD117" s="1689"/>
      <c r="AE117" s="1689"/>
      <c r="AF117" s="1689"/>
      <c r="AG117" s="1689"/>
      <c r="AH117" s="1689"/>
      <c r="AI117" s="1689"/>
      <c r="AJ117" s="1689"/>
      <c r="AK117" s="1689"/>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689" t="s">
        <v>2708</v>
      </c>
      <c r="Z120" s="1689"/>
      <c r="AA120" s="1689"/>
      <c r="AB120" s="1689"/>
      <c r="AC120" s="1689"/>
      <c r="AD120" s="1689"/>
      <c r="AE120" s="1689"/>
      <c r="AF120" s="1689"/>
      <c r="AG120" s="1689"/>
      <c r="AH120" s="1689"/>
      <c r="AI120" s="1689"/>
      <c r="AJ120" s="1689"/>
      <c r="AK120" s="168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21" t="s">
        <v>469</v>
      </c>
      <c r="CV122" s="1622"/>
      <c r="CW122" s="14"/>
      <c r="CX122" s="14" t="s">
        <v>634</v>
      </c>
      <c r="CY122" s="14"/>
      <c r="CZ122" s="14"/>
      <c r="DA122" s="14"/>
      <c r="DB122" s="14"/>
      <c r="DC122" s="14"/>
      <c r="DD122" s="14"/>
      <c r="DE122" s="14"/>
      <c r="DF122" s="14"/>
      <c r="DG122" s="1618" t="str">
        <f>T189</f>
        <v>Los Angeles</v>
      </c>
      <c r="DH122" s="1619"/>
      <c r="DI122" s="1619"/>
      <c r="DJ122" s="1619"/>
      <c r="DK122" s="1619"/>
      <c r="DL122" s="1619"/>
      <c r="DM122" s="1620"/>
    </row>
    <row r="123" spans="1:117" ht="12.95" customHeight="1">
      <c r="A123" s="3"/>
      <c r="B123" s="3"/>
      <c r="T123" s="3"/>
      <c r="U123" s="3"/>
      <c r="V123" s="3"/>
      <c r="W123" s="3"/>
      <c r="X123" s="3"/>
      <c r="Y123" s="1689" t="s">
        <v>2711</v>
      </c>
      <c r="Z123" s="1689"/>
      <c r="AA123" s="1689"/>
      <c r="AB123" s="1689"/>
      <c r="AC123" s="1689"/>
      <c r="AD123" s="1689"/>
      <c r="AE123" s="1689"/>
      <c r="AF123" s="1689"/>
      <c r="AG123" s="1689"/>
      <c r="AH123" s="1689"/>
      <c r="AI123" s="1689"/>
      <c r="AJ123" s="1689"/>
      <c r="AK123" s="168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271"/>
      <c r="G150" s="1271"/>
      <c r="H150" s="1271"/>
      <c r="I150" s="1271"/>
      <c r="J150" s="1271"/>
      <c r="K150" s="1271"/>
      <c r="L150" s="1271"/>
      <c r="M150" s="1271"/>
      <c r="N150" s="1271"/>
      <c r="O150" s="1271"/>
      <c r="P150" s="1271"/>
      <c r="Q150" s="1271"/>
      <c r="R150" s="1271"/>
      <c r="S150" s="1271"/>
      <c r="T150" s="127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2386</v>
      </c>
    </row>
    <row r="152" spans="1:108" ht="12.95" customHeight="1">
      <c r="BM152">
        <v>4</v>
      </c>
      <c r="BN152" s="3" t="s">
        <v>2385</v>
      </c>
    </row>
    <row r="153" spans="1:108" ht="12.95" customHeight="1">
      <c r="D153" t="s">
        <v>645</v>
      </c>
      <c r="O153" s="1458" t="s">
        <v>875</v>
      </c>
      <c r="P153" s="1458"/>
      <c r="Q153" s="1458"/>
      <c r="R153" s="1458"/>
      <c r="S153" s="1458"/>
      <c r="T153" s="1458"/>
      <c r="U153" s="1458"/>
      <c r="V153" s="1458"/>
      <c r="W153" s="1458"/>
      <c r="X153" s="1458"/>
      <c r="Y153" s="1458"/>
      <c r="Z153" s="1458"/>
      <c r="AA153" s="1458"/>
      <c r="AB153" s="1458"/>
      <c r="AC153" s="1458"/>
      <c r="AD153" s="1458"/>
      <c r="AE153" s="1458"/>
      <c r="AF153" s="1458"/>
      <c r="AG153" s="1458"/>
      <c r="AH153" s="1458"/>
      <c r="BM153">
        <v>5</v>
      </c>
      <c r="BN153" s="3" t="s">
        <v>2387</v>
      </c>
      <c r="CR153" s="31" t="s">
        <v>2625</v>
      </c>
      <c r="CS153" s="32"/>
      <c r="CT153" s="32"/>
      <c r="CU153" s="32"/>
      <c r="CV153" s="32"/>
      <c r="CW153" s="32"/>
      <c r="CX153" s="14"/>
      <c r="CY153" s="31" t="s">
        <v>2626</v>
      </c>
      <c r="CZ153" s="14"/>
      <c r="DA153" s="14"/>
      <c r="DB153" s="14"/>
      <c r="DC153" s="14"/>
      <c r="DD153" s="14"/>
    </row>
    <row r="154" spans="1:108" ht="12.95" customHeight="1">
      <c r="D154" s="303" t="s">
        <v>439</v>
      </c>
      <c r="O154" s="1583" t="s">
        <v>2635</v>
      </c>
      <c r="P154" s="1583"/>
      <c r="Q154" s="1583"/>
      <c r="R154" s="1583"/>
      <c r="S154" s="1583"/>
      <c r="T154" s="1583"/>
      <c r="U154" s="1583"/>
      <c r="V154" s="1583"/>
      <c r="W154" s="1583"/>
      <c r="X154" s="1583"/>
      <c r="Y154" s="1583"/>
      <c r="Z154" s="1583"/>
      <c r="AA154" s="1583"/>
      <c r="AB154" s="1583"/>
      <c r="AC154" s="1583"/>
      <c r="AD154" s="1583"/>
      <c r="AE154" s="1583"/>
      <c r="AF154" s="1583"/>
      <c r="AG154" s="1583"/>
      <c r="AH154" s="1583"/>
      <c r="BM154">
        <v>6</v>
      </c>
      <c r="BN154" s="3" t="s">
        <v>2388</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701" t="s">
        <v>440</v>
      </c>
      <c r="P155" s="1701"/>
      <c r="Q155" s="1701"/>
      <c r="R155" s="1701"/>
      <c r="S155" s="1701"/>
      <c r="T155" s="1701"/>
      <c r="U155" s="1701"/>
      <c r="V155" s="1701"/>
      <c r="W155" s="1701"/>
      <c r="X155" s="1701"/>
      <c r="Y155" s="1701"/>
      <c r="Z155" s="1701"/>
      <c r="AA155" s="1701"/>
      <c r="AB155" s="1701"/>
      <c r="AC155" s="1701"/>
      <c r="AD155" s="1701"/>
      <c r="AE155" s="1701"/>
      <c r="AF155" s="1701"/>
      <c r="AG155" s="1701"/>
      <c r="AH155" s="1701"/>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17" t="s">
        <v>2636</v>
      </c>
      <c r="P156" s="1417"/>
      <c r="Q156" s="1417"/>
      <c r="R156" s="1417"/>
      <c r="S156" s="1417"/>
      <c r="T156" s="1417"/>
      <c r="U156" s="1417"/>
      <c r="V156" s="1417"/>
      <c r="W156" s="1417"/>
      <c r="X156" s="1417"/>
      <c r="Y156" s="1417"/>
      <c r="Z156" s="1417"/>
      <c r="AA156" s="1417"/>
      <c r="AB156" s="1417"/>
      <c r="AC156" s="1417"/>
      <c r="AD156" s="1417"/>
      <c r="AE156" s="1417"/>
      <c r="AF156" s="1417"/>
      <c r="AG156" s="1417"/>
      <c r="AH156" s="1417"/>
      <c r="BT156" t="s">
        <v>307</v>
      </c>
      <c r="CB156" s="195" t="s">
        <v>2525</v>
      </c>
      <c r="CC156" s="196"/>
      <c r="CD156" s="196"/>
      <c r="CE156" s="196"/>
      <c r="CF156" s="196"/>
      <c r="CG156" s="196"/>
      <c r="CH156" s="196"/>
      <c r="CI156" s="3"/>
      <c r="CJ156" s="195" t="s">
        <v>2523</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58" t="s">
        <v>494</v>
      </c>
      <c r="P157" s="1459"/>
      <c r="Q157" s="1459"/>
      <c r="R157" s="1459"/>
      <c r="S157" s="1459"/>
      <c r="T157" s="1459"/>
      <c r="U157" s="1459"/>
      <c r="V157" s="1459"/>
      <c r="W157" s="1459"/>
      <c r="X157" s="1459"/>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692">
        <v>90017</v>
      </c>
      <c r="P158" s="1692"/>
      <c r="Q158" s="1692"/>
      <c r="R158" s="1692"/>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02">
        <v>2138088596</v>
      </c>
      <c r="P159" s="1702"/>
      <c r="Q159" s="1702"/>
      <c r="R159" s="1702"/>
      <c r="S159" s="1702"/>
      <c r="T159" s="1702"/>
      <c r="V159" s="97" t="s">
        <v>271</v>
      </c>
      <c r="W159" s="1693"/>
      <c r="X159" s="1693"/>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02">
        <v>2138088910</v>
      </c>
      <c r="P160" s="1702"/>
      <c r="Q160" s="1702"/>
      <c r="R160" s="1702"/>
      <c r="S160" s="1702"/>
      <c r="T160" s="1702"/>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686" t="s">
        <v>2637</v>
      </c>
      <c r="P161" s="1686"/>
      <c r="Q161" s="1686"/>
      <c r="R161" s="1686"/>
      <c r="S161" s="1686"/>
      <c r="T161" s="1686"/>
      <c r="U161" s="1686"/>
      <c r="V161" s="1686"/>
      <c r="W161" s="1686"/>
      <c r="X161" s="1686"/>
      <c r="Y161" s="1686"/>
      <c r="Z161" s="1686"/>
      <c r="AA161" s="1686"/>
      <c r="AB161" s="1686"/>
      <c r="AC161" s="1686"/>
      <c r="AD161" s="1686"/>
      <c r="AE161" s="1686"/>
      <c r="AF161" s="1686"/>
      <c r="AG161" s="1686"/>
      <c r="AH161" s="1686"/>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707" t="s">
        <v>2170</v>
      </c>
      <c r="E164" s="1707"/>
      <c r="F164" s="1707"/>
      <c r="G164" s="1707"/>
      <c r="H164" s="1707"/>
      <c r="I164" s="1707"/>
      <c r="J164" s="1707"/>
      <c r="K164" s="1707"/>
      <c r="L164" s="1707"/>
      <c r="M164" s="1707"/>
      <c r="N164" s="1707"/>
      <c r="O164" s="1707"/>
      <c r="P164" s="1707"/>
      <c r="Q164" s="1707"/>
      <c r="R164" s="1707"/>
      <c r="S164" s="1707"/>
      <c r="T164" s="1707"/>
      <c r="U164" s="1707"/>
      <c r="V164" s="1707"/>
      <c r="W164" s="1707"/>
      <c r="X164" s="1707"/>
      <c r="Y164" s="1707"/>
      <c r="Z164" s="1707"/>
      <c r="AA164" s="1707"/>
      <c r="AB164" s="1707"/>
      <c r="AC164" s="1707"/>
      <c r="AD164" s="1707"/>
      <c r="AE164" s="1707"/>
      <c r="AF164" s="1707"/>
      <c r="AG164" s="1707"/>
      <c r="AH164" s="1707"/>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380" t="s">
        <v>539</v>
      </c>
      <c r="B169" s="1380"/>
      <c r="C169" s="1380"/>
      <c r="D169" s="1380"/>
      <c r="E169" s="1380"/>
      <c r="F169" s="1380"/>
      <c r="G169" s="1380"/>
      <c r="H169" s="1380"/>
      <c r="I169" s="1380"/>
      <c r="J169" s="1380"/>
      <c r="K169" s="1380"/>
      <c r="L169" s="1380"/>
      <c r="M169" s="1380"/>
      <c r="N169" s="1380"/>
      <c r="O169" s="1380"/>
      <c r="P169" s="1380"/>
      <c r="Q169" s="1380"/>
      <c r="R169" s="1380"/>
      <c r="S169" s="1380"/>
      <c r="T169" s="1380"/>
      <c r="U169" s="1380"/>
      <c r="V169" s="1380"/>
      <c r="W169" s="1380"/>
      <c r="X169" s="1380"/>
      <c r="Y169" s="1380"/>
      <c r="Z169" s="1380"/>
      <c r="AA169" s="1380"/>
      <c r="AB169" s="1380"/>
      <c r="AC169" s="1380"/>
      <c r="AD169" s="1380"/>
      <c r="AE169" s="1380"/>
      <c r="AF169" s="1380"/>
      <c r="AG169" s="1380"/>
      <c r="AH169" s="1380"/>
      <c r="AI169" s="1380"/>
      <c r="AJ169" s="1380"/>
      <c r="AK169" s="1380"/>
      <c r="AL169" s="1380"/>
      <c r="AM169" s="1380"/>
      <c r="AN169" s="1380"/>
      <c r="AO169" s="1380"/>
      <c r="AP169" s="1380"/>
      <c r="AQ169" s="1380"/>
      <c r="AR169" s="1380"/>
      <c r="AS169" s="1380"/>
      <c r="AT169" s="1380"/>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380"/>
      <c r="B170" s="1380"/>
      <c r="C170" s="1380"/>
      <c r="D170" s="1380"/>
      <c r="E170" s="1380"/>
      <c r="F170" s="1380"/>
      <c r="G170" s="1380"/>
      <c r="H170" s="1380"/>
      <c r="I170" s="1380"/>
      <c r="J170" s="1380"/>
      <c r="K170" s="1380"/>
      <c r="L170" s="1380"/>
      <c r="M170" s="1380"/>
      <c r="N170" s="1380"/>
      <c r="O170" s="1380"/>
      <c r="P170" s="1380"/>
      <c r="Q170" s="1380"/>
      <c r="R170" s="1380"/>
      <c r="S170" s="1380"/>
      <c r="T170" s="1380"/>
      <c r="U170" s="1380"/>
      <c r="V170" s="1380"/>
      <c r="W170" s="1380"/>
      <c r="X170" s="1380"/>
      <c r="Y170" s="1380"/>
      <c r="Z170" s="1380"/>
      <c r="AA170" s="1380"/>
      <c r="AB170" s="1380"/>
      <c r="AC170" s="1380"/>
      <c r="AD170" s="1380"/>
      <c r="AE170" s="1380"/>
      <c r="AF170" s="1380"/>
      <c r="AG170" s="1380"/>
      <c r="AH170" s="1380"/>
      <c r="AI170" s="1380"/>
      <c r="AJ170" s="1380"/>
      <c r="AK170" s="1380"/>
      <c r="AL170" s="1380"/>
      <c r="AM170" s="1380"/>
      <c r="AN170" s="1380"/>
      <c r="AO170" s="1380"/>
      <c r="AP170" s="1380"/>
      <c r="AQ170" s="1380"/>
      <c r="AR170" s="1380"/>
      <c r="AS170" s="1380"/>
      <c r="AT170" s="1380"/>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698" t="s">
        <v>371</v>
      </c>
      <c r="K173" s="1698"/>
      <c r="L173" s="1698"/>
      <c r="M173" s="1698"/>
      <c r="N173" s="1698"/>
      <c r="O173" s="1698"/>
      <c r="P173" s="1698"/>
      <c r="Q173" s="1698"/>
      <c r="R173" s="1698"/>
      <c r="S173" s="1698"/>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17" t="s">
        <v>2056</v>
      </c>
      <c r="K174" s="1417"/>
      <c r="L174" s="1417"/>
      <c r="M174" s="1417"/>
      <c r="N174" s="1417"/>
      <c r="O174" s="1417"/>
      <c r="P174" s="1417"/>
      <c r="Q174" s="1417"/>
      <c r="R174" s="1417"/>
      <c r="S174" s="1417"/>
      <c r="T174" s="1417"/>
      <c r="U174" s="1417"/>
      <c r="V174" s="1417"/>
      <c r="W174" s="1417"/>
      <c r="X174" s="1417"/>
      <c r="Y174" s="1417"/>
      <c r="Z174" s="1417"/>
      <c r="AA174" s="1417"/>
      <c r="AB174" s="1417"/>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266" t="s">
        <v>669</v>
      </c>
      <c r="V175" s="1266"/>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430"/>
      <c r="V176" s="1430"/>
      <c r="W176" s="1" t="s">
        <v>306</v>
      </c>
      <c r="X176" s="1710"/>
      <c r="Y176" s="1710"/>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266" t="s">
        <v>669</v>
      </c>
      <c r="S177" s="1266"/>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2035</v>
      </c>
      <c r="AE178" s="27" t="s">
        <v>305</v>
      </c>
      <c r="AF178" s="1709"/>
      <c r="AG178" s="1709"/>
      <c r="AH178" s="1" t="s">
        <v>306</v>
      </c>
      <c r="AI178" s="1697"/>
      <c r="AJ178" s="1697"/>
      <c r="AK178" s="1697"/>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2621</v>
      </c>
      <c r="X180" s="1266" t="s">
        <v>669</v>
      </c>
      <c r="Y180" s="1266"/>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16" t="str">
        <f>H18</f>
        <v>Calyx</v>
      </c>
      <c r="J184" s="1416"/>
      <c r="K184" s="1416"/>
      <c r="L184" s="1416"/>
      <c r="M184" s="1416"/>
      <c r="N184" s="1416"/>
      <c r="O184" s="1416"/>
      <c r="P184" s="1416"/>
      <c r="Q184" s="1416"/>
      <c r="R184" s="1416"/>
      <c r="S184" s="1416"/>
      <c r="T184" s="1416"/>
      <c r="U184" s="1416"/>
      <c r="V184" s="1416"/>
      <c r="W184" s="1416"/>
      <c r="X184" s="1416"/>
      <c r="Y184" s="1416"/>
      <c r="Z184" s="1416"/>
      <c r="AA184" s="1416"/>
      <c r="AB184" s="1416"/>
      <c r="AC184" s="1416"/>
      <c r="AD184" s="1416"/>
      <c r="AE184" s="1416"/>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419" t="s">
        <v>2638</v>
      </c>
      <c r="J185" s="1419"/>
      <c r="K185" s="1419"/>
      <c r="L185" s="1419"/>
      <c r="M185" s="1419"/>
      <c r="N185" s="1419"/>
      <c r="O185" s="1419"/>
      <c r="P185" s="1419"/>
      <c r="Q185" s="1419"/>
      <c r="R185" s="1419"/>
      <c r="S185" s="1419"/>
      <c r="T185" s="1419"/>
      <c r="U185" s="1419"/>
      <c r="V185" s="1419"/>
      <c r="W185" s="1419"/>
      <c r="X185" s="1419"/>
      <c r="Y185" s="1419"/>
      <c r="Z185" s="1419"/>
      <c r="AA185" s="1419"/>
      <c r="AB185" s="1419"/>
      <c r="AC185" s="1419"/>
      <c r="AD185" s="1419"/>
      <c r="AE185" s="1419"/>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699"/>
      <c r="F187" s="1699"/>
      <c r="G187" s="1699"/>
      <c r="H187" s="1699"/>
      <c r="I187" s="1699"/>
      <c r="J187" s="1699"/>
      <c r="K187" s="1699"/>
      <c r="L187" s="1699"/>
      <c r="M187" s="1699"/>
      <c r="N187" s="1699"/>
      <c r="O187" s="1699"/>
      <c r="P187" s="1699"/>
      <c r="Q187" s="1699"/>
      <c r="R187" s="1699"/>
      <c r="S187" s="1699"/>
      <c r="T187" s="1699"/>
      <c r="U187" s="1699"/>
      <c r="V187" s="1699"/>
      <c r="W187" s="1699"/>
      <c r="X187" s="1699"/>
      <c r="Y187" s="1699"/>
      <c r="Z187" s="1699"/>
      <c r="AA187" s="1699"/>
      <c r="AB187" s="1699"/>
      <c r="AC187" s="1699"/>
      <c r="AD187" s="1699"/>
      <c r="AE187" s="1699"/>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00"/>
      <c r="F188" s="1700"/>
      <c r="G188" s="1700"/>
      <c r="H188" s="1700"/>
      <c r="I188" s="1700"/>
      <c r="J188" s="1700"/>
      <c r="K188" s="1700"/>
      <c r="L188" s="1700"/>
      <c r="M188" s="1700"/>
      <c r="N188" s="1700"/>
      <c r="O188" s="1700"/>
      <c r="P188" s="1700"/>
      <c r="Q188" s="1700"/>
      <c r="R188" s="1700"/>
      <c r="S188" s="1700"/>
      <c r="T188" s="1700"/>
      <c r="U188" s="1700"/>
      <c r="V188" s="1700"/>
      <c r="W188" s="1700"/>
      <c r="X188" s="1700"/>
      <c r="Y188" s="1700"/>
      <c r="Z188" s="1700"/>
      <c r="AA188" s="1700"/>
      <c r="AB188" s="1700"/>
      <c r="AC188" s="1700"/>
      <c r="AD188" s="1700"/>
      <c r="AE188" s="1700"/>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58" t="s">
        <v>2639</v>
      </c>
      <c r="J189" s="1417"/>
      <c r="K189" s="1417"/>
      <c r="L189" s="1417"/>
      <c r="M189" s="1417"/>
      <c r="N189" s="1417"/>
      <c r="O189" s="1417"/>
      <c r="P189" s="1417"/>
      <c r="Q189" t="s">
        <v>582</v>
      </c>
      <c r="T189" s="1417" t="s">
        <v>494</v>
      </c>
      <c r="U189" s="1417"/>
      <c r="V189" s="1417"/>
      <c r="W189" s="1417"/>
      <c r="X189" s="1417"/>
      <c r="Y189" s="1417"/>
      <c r="Z189" s="1417"/>
      <c r="AA189" s="1417"/>
      <c r="AB189" s="1417"/>
      <c r="AC189" s="1417"/>
      <c r="AD189" s="1417"/>
      <c r="AE189" s="1417"/>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19">
        <v>90020</v>
      </c>
      <c r="J190" s="1419"/>
      <c r="K190" s="1419"/>
      <c r="L190" s="1419"/>
      <c r="M190" s="1419"/>
      <c r="N190" s="1419"/>
      <c r="O190" t="s">
        <v>585</v>
      </c>
      <c r="T190" s="1690">
        <v>6037212102</v>
      </c>
      <c r="U190" s="1690"/>
      <c r="V190" s="1690"/>
      <c r="W190" s="1690"/>
      <c r="X190" s="1690"/>
      <c r="Y190" s="1690"/>
      <c r="Z190" s="1690"/>
      <c r="AA190" s="1690"/>
      <c r="AB190" s="1690"/>
      <c r="AC190" s="1690"/>
      <c r="AD190" s="1690"/>
      <c r="AE190" s="1690"/>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699" t="s">
        <v>2640</v>
      </c>
      <c r="O191" s="1699"/>
      <c r="P191" s="1699"/>
      <c r="Q191" s="1699"/>
      <c r="R191" s="1699"/>
      <c r="S191" s="1699"/>
      <c r="T191" s="1699"/>
      <c r="U191" s="1699"/>
      <c r="V191" s="1699"/>
      <c r="W191" s="1699"/>
      <c r="X191" s="1699"/>
      <c r="Y191" s="1699"/>
      <c r="Z191" s="1699"/>
      <c r="AA191" s="1699"/>
      <c r="AB191" s="1699"/>
      <c r="AC191" s="1699"/>
      <c r="AD191" s="1699"/>
      <c r="AE191" s="1699"/>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00"/>
      <c r="O192" s="1700"/>
      <c r="P192" s="1700"/>
      <c r="Q192" s="1700"/>
      <c r="R192" s="1700"/>
      <c r="S192" s="1700"/>
      <c r="T192" s="1700"/>
      <c r="U192" s="1700"/>
      <c r="V192" s="1700"/>
      <c r="W192" s="1700"/>
      <c r="X192" s="1700"/>
      <c r="Y192" s="1700"/>
      <c r="Z192" s="1700"/>
      <c r="AA192" s="1700"/>
      <c r="AB192" s="1700"/>
      <c r="AC192" s="1700"/>
      <c r="AD192" s="1700"/>
      <c r="AE192" s="1700"/>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713" t="s">
        <v>2167</v>
      </c>
      <c r="U193" s="1713"/>
      <c r="V193" s="1713"/>
      <c r="W193" s="1713"/>
      <c r="X193" s="1713"/>
      <c r="Y193" s="1713"/>
      <c r="Z193" s="1713"/>
      <c r="AA193" s="1713"/>
      <c r="AB193" s="1713"/>
      <c r="AC193" s="1713"/>
      <c r="AD193" s="1713"/>
      <c r="AE193" s="1713"/>
      <c r="AF193" s="1713"/>
      <c r="AG193" s="1713"/>
      <c r="AH193" s="1713"/>
      <c r="AI193" s="1713"/>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266" t="s">
        <v>669</v>
      </c>
      <c r="AI194" s="1266"/>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266" t="s">
        <v>669</v>
      </c>
      <c r="U195" s="1266"/>
      <c r="W195" t="s">
        <v>684</v>
      </c>
      <c r="AH195" s="1266">
        <v>34</v>
      </c>
      <c r="AI195" s="1266"/>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292" t="s">
        <v>545</v>
      </c>
      <c r="U196" s="1292"/>
      <c r="W196" t="s">
        <v>685</v>
      </c>
      <c r="AH196" s="1266">
        <v>54</v>
      </c>
      <c r="AI196" s="1266"/>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292" t="s">
        <v>669</v>
      </c>
      <c r="U197" s="1292"/>
      <c r="W197" t="s">
        <v>686</v>
      </c>
      <c r="AH197" s="1266">
        <v>26</v>
      </c>
      <c r="AI197" s="1266"/>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292">
        <v>0</v>
      </c>
      <c r="U198" s="1292"/>
      <c r="V198"/>
      <c r="X198" s="1454" t="s">
        <v>2434</v>
      </c>
      <c r="Y198" s="1454"/>
      <c r="Z198" s="1454"/>
      <c r="AA198" s="1454"/>
      <c r="AB198" s="1454"/>
      <c r="AC198" s="1454"/>
      <c r="AD198" s="1454"/>
      <c r="AE198" s="1454"/>
      <c r="AF198" s="1454"/>
      <c r="AG198" s="1454"/>
      <c r="AH198" s="1454"/>
      <c r="AI198" s="1454"/>
      <c r="AJ198" s="1454"/>
      <c r="AK198" s="1454"/>
      <c r="AL198" s="1454"/>
      <c r="AM198" s="1454"/>
      <c r="AN198" s="1454"/>
      <c r="AO198" s="1454"/>
      <c r="AP198" s="1454"/>
      <c r="AQ198" s="1454"/>
      <c r="AR198" s="1454"/>
      <c r="AS198" s="1454"/>
      <c r="AT198" s="1454"/>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2437</v>
      </c>
      <c r="E199"/>
      <c r="F199"/>
      <c r="G199"/>
      <c r="H199"/>
      <c r="I199"/>
      <c r="J199"/>
      <c r="K199"/>
      <c r="L199"/>
      <c r="M199"/>
      <c r="N199"/>
      <c r="O199"/>
      <c r="P199"/>
      <c r="Q199"/>
      <c r="R199"/>
      <c r="S199"/>
      <c r="T199" s="1266" t="s">
        <v>669</v>
      </c>
      <c r="U199" s="1266"/>
      <c r="V199"/>
      <c r="W199"/>
      <c r="X199" s="1454"/>
      <c r="Y199" s="1454"/>
      <c r="Z199" s="1454"/>
      <c r="AA199" s="1454"/>
      <c r="AB199" s="1454"/>
      <c r="AC199" s="1454"/>
      <c r="AD199" s="1454"/>
      <c r="AE199" s="1454"/>
      <c r="AF199" s="1454"/>
      <c r="AG199" s="1454"/>
      <c r="AH199" s="1454"/>
      <c r="AI199" s="1454"/>
      <c r="AJ199" s="1454"/>
      <c r="AK199" s="1454"/>
      <c r="AL199" s="1454"/>
      <c r="AM199" s="1454"/>
      <c r="AN199" s="1454"/>
      <c r="AO199" s="1454"/>
      <c r="AP199" s="1454"/>
      <c r="AQ199" s="1454"/>
      <c r="AR199" s="1454"/>
      <c r="AS199" s="1454"/>
      <c r="AT199" s="1454"/>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2435</v>
      </c>
      <c r="T200" s="1266" t="s">
        <v>669</v>
      </c>
      <c r="U200" s="1266"/>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2436</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16" t="s">
        <v>385</v>
      </c>
      <c r="E204" s="1416"/>
      <c r="F204" s="1416"/>
      <c r="G204" s="1416"/>
      <c r="H204" s="1416"/>
      <c r="I204" s="1416"/>
      <c r="J204" s="1416"/>
      <c r="K204" s="1416"/>
      <c r="L204" s="1416"/>
      <c r="M204" s="1416"/>
      <c r="P204" s="1708">
        <f>M26</f>
        <v>1015069</v>
      </c>
      <c r="Q204" s="1694"/>
      <c r="R204" s="1694"/>
      <c r="S204" s="1694"/>
      <c r="T204" s="1694"/>
      <c r="U204" s="1694"/>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716" t="s">
        <v>1247</v>
      </c>
      <c r="E205" s="1416"/>
      <c r="F205" s="1416"/>
      <c r="G205" s="1416"/>
      <c r="H205" s="1416"/>
      <c r="I205" s="1416"/>
      <c r="J205" s="1416"/>
      <c r="K205" s="1416"/>
      <c r="L205" s="1416"/>
      <c r="M205" s="1416"/>
      <c r="P205" s="1694">
        <f>M27</f>
        <v>1356167</v>
      </c>
      <c r="Q205" s="1694"/>
      <c r="R205" s="1694"/>
      <c r="S205" s="1694"/>
      <c r="T205" s="1694"/>
      <c r="U205" s="1694"/>
      <c r="V205" s="28"/>
      <c r="W205" s="3" t="s">
        <v>1709</v>
      </c>
      <c r="Z205" s="1714" t="s">
        <v>2173</v>
      </c>
      <c r="AA205" s="1714"/>
      <c r="AB205" s="1714"/>
      <c r="AC205" s="1714"/>
      <c r="AD205" s="1714"/>
      <c r="AE205" s="1714"/>
      <c r="AF205" s="1714"/>
      <c r="AG205" s="1714"/>
      <c r="AH205" s="1714"/>
      <c r="AI205" s="1714"/>
      <c r="AJ205" s="1714"/>
      <c r="AK205" s="1714"/>
      <c r="AL205" s="1714"/>
      <c r="AM205" s="1714"/>
      <c r="AN205" s="1714"/>
      <c r="AP205" s="1271"/>
      <c r="AQ205" s="1271"/>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459" t="s">
        <v>2641</v>
      </c>
      <c r="E208" s="1459"/>
      <c r="F208" s="1459"/>
      <c r="G208" s="1459"/>
      <c r="H208" s="1459"/>
      <c r="I208" s="1459"/>
      <c r="J208" s="1459"/>
      <c r="K208" s="1459"/>
      <c r="L208" s="1459"/>
      <c r="M208" s="1459"/>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59" t="s">
        <v>1831</v>
      </c>
      <c r="E211" s="1459"/>
      <c r="F211" s="1459"/>
      <c r="G211" s="1459"/>
      <c r="H211" s="1459"/>
      <c r="I211" s="1459"/>
      <c r="J211" s="1459"/>
      <c r="K211" s="1459"/>
      <c r="L211" s="1459"/>
      <c r="M211" s="1459"/>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266">
        <v>0</v>
      </c>
      <c r="R212" s="1266"/>
      <c r="T212" s="1717">
        <f>IFERROR(Q212/AG449,0)</f>
        <v>0</v>
      </c>
      <c r="U212" s="1718"/>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2394</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705" t="s">
        <v>591</v>
      </c>
      <c r="E214" s="1705"/>
      <c r="F214" s="1705"/>
      <c r="G214" s="1705"/>
      <c r="H214" s="1705"/>
      <c r="I214" s="1705"/>
      <c r="J214" s="1705"/>
      <c r="K214" s="1705"/>
      <c r="L214" s="1705"/>
      <c r="M214" s="1705"/>
      <c r="N214" s="1705"/>
      <c r="O214" s="1705"/>
      <c r="P214" s="1705"/>
      <c r="Q214" s="1705"/>
      <c r="R214" s="1705"/>
      <c r="S214" s="1705"/>
      <c r="T214" s="1705"/>
      <c r="U214" s="1705"/>
      <c r="V214" s="1705"/>
      <c r="W214" s="1705"/>
      <c r="X214" s="1705"/>
      <c r="Y214" s="1705"/>
      <c r="Z214" s="1705"/>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704"/>
      <c r="AC215" s="1704"/>
      <c r="AD215" s="1704"/>
      <c r="AE215" s="1704"/>
      <c r="AF215" s="1704"/>
      <c r="AG215" s="1704"/>
      <c r="AH215" s="1704"/>
      <c r="AI215" s="1704"/>
      <c r="AJ215" s="1704"/>
      <c r="AK215" s="1704"/>
      <c r="AL215" s="1704"/>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704"/>
      <c r="AC216" s="1704"/>
      <c r="AD216" s="1704"/>
      <c r="AE216" s="1704"/>
      <c r="AF216" s="1704"/>
      <c r="AG216" s="1704"/>
      <c r="AH216" s="1704"/>
      <c r="AI216" s="1704"/>
      <c r="AJ216" s="1704"/>
      <c r="AK216" s="1704"/>
      <c r="AL216" s="1704"/>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2187</v>
      </c>
      <c r="D218" s="28"/>
      <c r="AC218" s="2" t="s">
        <v>2383</v>
      </c>
      <c r="BC218" t="s">
        <v>529</v>
      </c>
    </row>
    <row r="219" spans="1:108" ht="12.95" customHeight="1">
      <c r="A219" s="2"/>
      <c r="C219" s="2"/>
      <c r="D219" s="3" t="s">
        <v>2384</v>
      </c>
      <c r="AZ219" s="3"/>
      <c r="BA219" s="3"/>
      <c r="BC219" t="s">
        <v>377</v>
      </c>
    </row>
    <row r="220" spans="1:108" ht="12.95" customHeight="1">
      <c r="A220" s="2"/>
      <c r="C220" s="2"/>
      <c r="D220" s="1459" t="s">
        <v>875</v>
      </c>
      <c r="E220" s="1459"/>
      <c r="F220" s="1459"/>
      <c r="G220" s="1459"/>
      <c r="H220" s="1459"/>
      <c r="I220" s="1459"/>
      <c r="J220" s="1459"/>
      <c r="K220" s="1459"/>
      <c r="L220" s="1459"/>
      <c r="M220" s="1459"/>
      <c r="N220" s="1459"/>
      <c r="O220" s="1459"/>
      <c r="P220" s="1459"/>
      <c r="Q220" s="1459"/>
      <c r="R220" s="1459"/>
      <c r="S220" s="1459"/>
      <c r="T220" s="1459"/>
      <c r="U220" s="1459"/>
      <c r="V220" s="1459"/>
      <c r="W220" s="1459"/>
      <c r="X220" s="1459"/>
      <c r="Y220" s="1459"/>
      <c r="Z220" s="1459"/>
      <c r="AC220" s="1715" t="s">
        <v>875</v>
      </c>
      <c r="AD220" s="1715"/>
      <c r="AE220" s="1715"/>
      <c r="AF220" s="1715"/>
      <c r="AG220" s="1715"/>
      <c r="AH220" s="1715"/>
      <c r="AI220" s="1715"/>
      <c r="AJ220" s="1715"/>
      <c r="AK220" s="1715"/>
      <c r="AL220" s="1715"/>
      <c r="AM220" s="1715"/>
      <c r="AN220" s="1715"/>
      <c r="AO220" s="1715"/>
      <c r="AP220" s="1715"/>
      <c r="AQ220" s="1715"/>
      <c r="BA220" s="3"/>
      <c r="BC220" t="s">
        <v>300</v>
      </c>
    </row>
    <row r="221" spans="1:108" ht="12.95" customHeight="1">
      <c r="A221" s="2"/>
      <c r="B221" s="14"/>
      <c r="C221" s="2"/>
      <c r="BA221" s="3"/>
    </row>
    <row r="222" spans="1:108" ht="12.95" customHeight="1">
      <c r="A222" s="2" t="s">
        <v>2529</v>
      </c>
      <c r="B222" s="14"/>
      <c r="C222" s="2" t="s">
        <v>2530</v>
      </c>
      <c r="BA222" s="3"/>
    </row>
    <row r="223" spans="1:108" ht="12.95" customHeight="1">
      <c r="A223" s="2"/>
      <c r="B223" s="14"/>
      <c r="C223" s="2"/>
      <c r="D223" s="3" t="s">
        <v>2531</v>
      </c>
      <c r="BA223" s="3"/>
    </row>
    <row r="224" spans="1:108" ht="12.95" customHeight="1">
      <c r="A224" s="2"/>
      <c r="B224" s="14"/>
      <c r="C224" s="2"/>
      <c r="E224" s="3" t="s">
        <v>2532</v>
      </c>
      <c r="V224" s="1266" t="s">
        <v>545</v>
      </c>
      <c r="W224" s="1266"/>
      <c r="Y224" s="1193"/>
      <c r="BA224" s="3"/>
    </row>
    <row r="225" spans="1:69" ht="12.95" customHeight="1">
      <c r="A225" s="2"/>
      <c r="B225" s="14"/>
      <c r="C225" s="2"/>
      <c r="E225" s="3" t="s">
        <v>2533</v>
      </c>
      <c r="V225" s="1266" t="s">
        <v>669</v>
      </c>
      <c r="W225" s="1266"/>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2534</v>
      </c>
      <c r="V226" s="1292" t="s">
        <v>669</v>
      </c>
      <c r="W226" s="1292"/>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2535</v>
      </c>
      <c r="V227" s="1292" t="s">
        <v>669</v>
      </c>
      <c r="W227" s="1292"/>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2536</v>
      </c>
      <c r="V228" s="1292" t="s">
        <v>669</v>
      </c>
      <c r="W228" s="1292"/>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2537</v>
      </c>
      <c r="V229" s="1292" t="s">
        <v>669</v>
      </c>
      <c r="W229" s="1292"/>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380" t="s">
        <v>540</v>
      </c>
      <c r="B231" s="1380"/>
      <c r="C231" s="1380"/>
      <c r="D231" s="1380"/>
      <c r="E231" s="1380"/>
      <c r="F231" s="1380"/>
      <c r="G231" s="1380"/>
      <c r="H231" s="1380"/>
      <c r="I231" s="1380"/>
      <c r="J231" s="1380"/>
      <c r="K231" s="1380"/>
      <c r="L231" s="1380"/>
      <c r="M231" s="1380"/>
      <c r="N231" s="1380"/>
      <c r="O231" s="1380"/>
      <c r="P231" s="1380"/>
      <c r="Q231" s="1380"/>
      <c r="R231" s="1380"/>
      <c r="S231" s="1380"/>
      <c r="T231" s="1380"/>
      <c r="U231" s="1380"/>
      <c r="V231" s="1380"/>
      <c r="W231" s="1380"/>
      <c r="X231" s="1380"/>
      <c r="Y231" s="1380"/>
      <c r="Z231" s="1380"/>
      <c r="AA231" s="1380"/>
      <c r="AB231" s="1380"/>
      <c r="AC231" s="1380"/>
      <c r="AD231" s="1380"/>
      <c r="AE231" s="1380"/>
      <c r="AF231" s="1380"/>
      <c r="AG231" s="1380"/>
      <c r="AH231" s="1380"/>
      <c r="AI231" s="1380"/>
      <c r="AJ231" s="1380"/>
      <c r="AK231" s="1380"/>
      <c r="AL231" s="1380"/>
      <c r="AM231" s="1380"/>
      <c r="AN231" s="1380"/>
      <c r="AO231" s="1380"/>
      <c r="AP231" s="1380"/>
      <c r="AQ231" s="1380"/>
      <c r="AR231" s="1380"/>
      <c r="AS231" s="1380"/>
      <c r="AT231" s="1380"/>
      <c r="AU231" s="95"/>
      <c r="AV231" s="95"/>
      <c r="AW231" s="95"/>
      <c r="AX231" s="95"/>
      <c r="AY231" s="95"/>
      <c r="AZ231" s="3"/>
      <c r="BA231" s="3"/>
      <c r="BP231" s="34"/>
    </row>
    <row r="232" spans="1:69" ht="12.95" customHeight="1">
      <c r="A232" s="1380"/>
      <c r="B232" s="1380"/>
      <c r="C232" s="1380"/>
      <c r="D232" s="1380"/>
      <c r="E232" s="1380"/>
      <c r="F232" s="1380"/>
      <c r="G232" s="1380"/>
      <c r="H232" s="1380"/>
      <c r="I232" s="1380"/>
      <c r="J232" s="1380"/>
      <c r="K232" s="1380"/>
      <c r="L232" s="1380"/>
      <c r="M232" s="1380"/>
      <c r="N232" s="1380"/>
      <c r="O232" s="1380"/>
      <c r="P232" s="1380"/>
      <c r="Q232" s="1380"/>
      <c r="R232" s="1380"/>
      <c r="S232" s="1380"/>
      <c r="T232" s="1380"/>
      <c r="U232" s="1380"/>
      <c r="V232" s="1380"/>
      <c r="W232" s="1380"/>
      <c r="X232" s="1380"/>
      <c r="Y232" s="1380"/>
      <c r="Z232" s="1380"/>
      <c r="AA232" s="1380"/>
      <c r="AB232" s="1380"/>
      <c r="AC232" s="1380"/>
      <c r="AD232" s="1380"/>
      <c r="AE232" s="1380"/>
      <c r="AF232" s="1380"/>
      <c r="AG232" s="1380"/>
      <c r="AH232" s="1380"/>
      <c r="AI232" s="1380"/>
      <c r="AJ232" s="1380"/>
      <c r="AK232" s="1380"/>
      <c r="AL232" s="1380"/>
      <c r="AM232" s="1380"/>
      <c r="AN232" s="1380"/>
      <c r="AO232" s="1380"/>
      <c r="AP232" s="1380"/>
      <c r="AQ232" s="1380"/>
      <c r="AR232" s="1380"/>
      <c r="AS232" s="1380"/>
      <c r="AT232" s="1380"/>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266" t="s">
        <v>591</v>
      </c>
      <c r="AJ235" s="1266"/>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266" t="s">
        <v>545</v>
      </c>
      <c r="AJ236" s="1266"/>
      <c r="AL236" s="3"/>
      <c r="AM236" s="3"/>
      <c r="AN236" s="3"/>
      <c r="AO236" s="3"/>
      <c r="AP236" s="3"/>
      <c r="AQ236" s="3"/>
      <c r="AR236" s="3"/>
      <c r="AS236" s="3"/>
      <c r="AT236" s="3"/>
      <c r="AU236" s="3"/>
      <c r="AV236" s="3"/>
      <c r="AW236" s="3"/>
      <c r="AX236" s="3"/>
      <c r="AY236" s="3"/>
      <c r="BA236" s="3"/>
      <c r="BB236" s="204" t="s">
        <v>538</v>
      </c>
      <c r="BG236" s="241">
        <f>IF(AND(AND($M$258="for profit",$M$266="nonprofit",$M$274="for profit")),2,0)</f>
        <v>2</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266" t="s">
        <v>591</v>
      </c>
      <c r="AJ237" s="1266"/>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266" t="s">
        <v>591</v>
      </c>
      <c r="AJ238" s="1266"/>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691" t="str">
        <f>H16</f>
        <v>Calyx 544 Mariposa, LP</v>
      </c>
      <c r="N241" s="1691"/>
      <c r="O241" s="1691"/>
      <c r="P241" s="1691"/>
      <c r="Q241" s="1691"/>
      <c r="R241" s="1691"/>
      <c r="S241" s="1691"/>
      <c r="T241" s="1691"/>
      <c r="U241" s="1691"/>
      <c r="V241" s="1691"/>
      <c r="W241" s="1691"/>
      <c r="X241" s="1691"/>
      <c r="Y241" s="1691"/>
      <c r="Z241" s="1691"/>
      <c r="AA241" s="1691"/>
      <c r="AB241" s="1691"/>
      <c r="AC241" s="1691"/>
      <c r="AD241" s="1691"/>
      <c r="AE241" s="1691"/>
      <c r="AF241" s="1691"/>
      <c r="AG241" s="1691"/>
      <c r="AH241" s="1691"/>
      <c r="AI241" s="1691"/>
      <c r="AJ241" s="1691"/>
      <c r="AK241" s="1691"/>
      <c r="AZ241" s="4"/>
      <c r="BA241" s="3"/>
      <c r="BB241" s="205" t="s">
        <v>538</v>
      </c>
      <c r="BG241" s="241">
        <f>IF(AND(AND($M$258="nonprofit",$M$266="nonprofit",$M$274="for profit")),2,0)</f>
        <v>0</v>
      </c>
    </row>
    <row r="242" spans="1:67" ht="12.95" customHeight="1">
      <c r="D242" s="4" t="s">
        <v>85</v>
      </c>
      <c r="E242" s="4"/>
      <c r="F242" s="4"/>
      <c r="G242" s="4"/>
      <c r="H242" s="4"/>
      <c r="I242" s="4"/>
      <c r="J242" s="4"/>
      <c r="K242" s="4"/>
      <c r="M242" s="1458" t="s">
        <v>2707</v>
      </c>
      <c r="N242" s="1459"/>
      <c r="O242" s="1459"/>
      <c r="P242" s="1459"/>
      <c r="Q242" s="1459"/>
      <c r="R242" s="1459"/>
      <c r="S242" s="1459"/>
      <c r="T242" s="1459"/>
      <c r="U242" s="1459"/>
      <c r="V242" s="1459"/>
      <c r="W242" s="1459"/>
      <c r="X242" s="1459"/>
      <c r="Y242" s="1459"/>
      <c r="Z242" s="1459"/>
      <c r="AA242" s="1459"/>
      <c r="AB242" s="1459"/>
      <c r="AC242" s="1459"/>
      <c r="AD242" s="1459"/>
      <c r="AE242" s="1459"/>
      <c r="BB242" s="205" t="s">
        <v>538</v>
      </c>
      <c r="BG242" s="241">
        <f>IF(AND(AND($M$258="nonprofit",$M$266="for profit",$M$274="nonprofit")),2,0)</f>
        <v>0</v>
      </c>
    </row>
    <row r="243" spans="1:67" ht="12.95" customHeight="1">
      <c r="D243" s="4" t="s">
        <v>580</v>
      </c>
      <c r="E243" s="4"/>
      <c r="M243" s="1459" t="s">
        <v>494</v>
      </c>
      <c r="N243" s="1459"/>
      <c r="O243" s="1459"/>
      <c r="P243" s="1459"/>
      <c r="Q243" s="1459"/>
      <c r="R243" s="1459"/>
      <c r="S243" s="1459"/>
      <c r="T243" s="1459"/>
      <c r="V243" s="33" t="s">
        <v>86</v>
      </c>
      <c r="W243" s="1418" t="s">
        <v>2642</v>
      </c>
      <c r="X243" s="1418"/>
      <c r="Y243" s="4" t="s">
        <v>583</v>
      </c>
      <c r="AC243" s="1459">
        <v>90010</v>
      </c>
      <c r="AD243" s="1459"/>
      <c r="AE243" s="1459"/>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58" t="s">
        <v>2708</v>
      </c>
      <c r="N244" s="1459"/>
      <c r="O244" s="1459"/>
      <c r="P244" s="1459"/>
      <c r="Q244" s="1459"/>
      <c r="R244" s="1459"/>
      <c r="S244" s="1459"/>
      <c r="T244" s="1459"/>
      <c r="U244" s="1459"/>
      <c r="V244" s="1459"/>
      <c r="W244" s="1459"/>
      <c r="X244" s="1459"/>
      <c r="Y244" s="1459"/>
      <c r="Z244" s="1459"/>
      <c r="AA244" s="1459"/>
      <c r="AB244" s="1459"/>
      <c r="AC244" s="1459"/>
      <c r="AD244" s="1459"/>
      <c r="AE244" s="1459"/>
      <c r="AI244" s="4"/>
      <c r="AJ244" s="4"/>
      <c r="AK244" s="4"/>
      <c r="AL244" s="4"/>
      <c r="AM244" s="4"/>
      <c r="AN244" s="4"/>
      <c r="AO244" s="4"/>
      <c r="AP244" s="4"/>
      <c r="AQ244" s="4"/>
      <c r="AR244" s="4"/>
      <c r="AS244" s="4"/>
      <c r="AT244" s="4"/>
      <c r="BB244" s="205"/>
      <c r="BG244" s="204"/>
    </row>
    <row r="245" spans="1:67" ht="12.95" customHeight="1">
      <c r="D245" s="4" t="s">
        <v>88</v>
      </c>
      <c r="E245" s="4"/>
      <c r="F245" s="4"/>
      <c r="M245" s="1415">
        <v>2133655000</v>
      </c>
      <c r="N245" s="1415"/>
      <c r="O245" s="1415"/>
      <c r="P245" s="1415"/>
      <c r="Q245" s="1415"/>
      <c r="R245" s="1415"/>
      <c r="S245" s="4" t="s">
        <v>206</v>
      </c>
      <c r="T245" s="4"/>
      <c r="U245" s="1418"/>
      <c r="V245" s="1418"/>
      <c r="W245" s="1418"/>
      <c r="X245" s="4" t="s">
        <v>89</v>
      </c>
      <c r="Z245" s="1415"/>
      <c r="AA245" s="1415"/>
      <c r="AB245" s="1415"/>
      <c r="AC245" s="1415"/>
      <c r="AD245" s="1415"/>
      <c r="AE245" s="1415"/>
      <c r="AU245" s="4"/>
      <c r="AV245" s="4"/>
      <c r="AW245" s="4"/>
      <c r="AX245" s="4"/>
      <c r="AY245" s="4"/>
      <c r="AZ245" s="4"/>
      <c r="BB245" s="204" t="s">
        <v>537</v>
      </c>
      <c r="BG245" s="241">
        <f>IF(AND(AND($M$258="nonprofit",$M$266="nonprofit",$M$274="(select one)")),1,0)</f>
        <v>0</v>
      </c>
    </row>
    <row r="246" spans="1:67" ht="12.95" customHeight="1">
      <c r="D246" s="4" t="s">
        <v>90</v>
      </c>
      <c r="E246" s="4"/>
      <c r="F246" s="4"/>
      <c r="M246" s="1686" t="s">
        <v>2695</v>
      </c>
      <c r="N246" s="1686"/>
      <c r="O246" s="1686"/>
      <c r="P246" s="1686"/>
      <c r="Q246" s="1686"/>
      <c r="R246" s="1686"/>
      <c r="S246" s="1686"/>
      <c r="T246" s="1686"/>
      <c r="U246" s="1686"/>
      <c r="V246" s="1686"/>
      <c r="W246" s="1686"/>
      <c r="X246" s="1686"/>
      <c r="Y246" s="1686"/>
      <c r="Z246" s="1686"/>
      <c r="AA246" s="1686"/>
      <c r="AB246" s="1686"/>
      <c r="AC246" s="1686"/>
      <c r="AD246" s="1686"/>
      <c r="AE246" s="1686"/>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19" t="s">
        <v>528</v>
      </c>
      <c r="N247" s="1419"/>
      <c r="O247" s="1419"/>
      <c r="P247" s="1419"/>
      <c r="Q247" s="1419"/>
      <c r="R247" s="1419"/>
      <c r="S247" s="1419"/>
      <c r="T247" s="1419"/>
      <c r="U247" s="204" t="s">
        <v>906</v>
      </c>
      <c r="V247" s="204"/>
      <c r="W247" s="204"/>
      <c r="X247" s="204"/>
      <c r="Y247" s="204"/>
      <c r="Z247" s="204"/>
      <c r="AA247" s="1687"/>
      <c r="AB247" s="1687"/>
      <c r="AC247" s="1687"/>
      <c r="AD247" s="1687"/>
      <c r="AE247" s="1687"/>
      <c r="AF247" s="1687"/>
      <c r="AG247" s="1687"/>
      <c r="AH247" s="1687"/>
      <c r="AI247" s="1687"/>
      <c r="AJ247" s="1687"/>
      <c r="AK247" s="1687"/>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17"/>
      <c r="N248" s="1417"/>
      <c r="O248" s="1417"/>
      <c r="P248" s="1417"/>
      <c r="Q248" s="1417"/>
      <c r="R248" s="1417"/>
      <c r="S248" s="1417"/>
      <c r="T248" s="1417"/>
      <c r="U248" s="1417"/>
      <c r="V248" s="1417"/>
      <c r="W248" s="1417"/>
      <c r="X248" s="1417"/>
      <c r="Y248" s="1417"/>
      <c r="Z248" s="1417"/>
      <c r="AA248" s="1417"/>
      <c r="AB248" s="1417"/>
      <c r="AC248" s="1417"/>
      <c r="AD248" s="1417"/>
      <c r="AE248" s="1417"/>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399" t="s">
        <v>2686</v>
      </c>
      <c r="N252" s="1400"/>
      <c r="O252" s="1400"/>
      <c r="P252" s="1400"/>
      <c r="Q252" s="1400"/>
      <c r="R252" s="1400"/>
      <c r="S252" s="1400"/>
      <c r="T252" s="1400"/>
      <c r="U252" s="1400"/>
      <c r="V252" s="1400"/>
      <c r="W252" s="1400"/>
      <c r="X252" s="1400"/>
      <c r="Y252" s="1400"/>
      <c r="Z252" s="1400"/>
      <c r="AA252" s="1400"/>
      <c r="AB252" s="1400"/>
      <c r="AC252" s="1400"/>
      <c r="AD252" s="1400"/>
      <c r="AE252" s="1400"/>
      <c r="AF252" s="1400" t="s">
        <v>2687</v>
      </c>
      <c r="AG252" s="1400"/>
      <c r="AH252" s="1400"/>
      <c r="AI252" s="1400"/>
      <c r="AJ252" s="1400"/>
      <c r="AK252" s="1400"/>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59" t="s">
        <v>2707</v>
      </c>
      <c r="N253" s="1459"/>
      <c r="O253" s="1459"/>
      <c r="P253" s="1459"/>
      <c r="Q253" s="1459"/>
      <c r="R253" s="1459"/>
      <c r="S253" s="1459"/>
      <c r="T253" s="1459"/>
      <c r="U253" s="1459"/>
      <c r="V253" s="1459"/>
      <c r="W253" s="1459"/>
      <c r="X253" s="1459"/>
      <c r="Y253" s="1459"/>
      <c r="Z253" s="1459"/>
      <c r="AA253" s="1459"/>
      <c r="AB253" s="1459"/>
      <c r="AC253" s="1459"/>
      <c r="AD253" s="1459"/>
      <c r="AE253" s="1459"/>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59" t="s">
        <v>494</v>
      </c>
      <c r="N254" s="1459"/>
      <c r="O254" s="1459"/>
      <c r="P254" s="1459"/>
      <c r="Q254" s="1459"/>
      <c r="R254" s="1459"/>
      <c r="S254" s="1459"/>
      <c r="T254" s="1459"/>
      <c r="V254" s="33" t="s">
        <v>86</v>
      </c>
      <c r="W254" s="1418" t="s">
        <v>2642</v>
      </c>
      <c r="X254" s="1418"/>
      <c r="Y254" s="4" t="s">
        <v>583</v>
      </c>
      <c r="AC254" s="1459">
        <v>90010</v>
      </c>
      <c r="AD254" s="1459"/>
      <c r="AE254" s="1459"/>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459" t="s">
        <v>2708</v>
      </c>
      <c r="N255" s="1459"/>
      <c r="O255" s="1459"/>
      <c r="P255" s="1459"/>
      <c r="Q255" s="1459"/>
      <c r="R255" s="1459"/>
      <c r="S255" s="1459"/>
      <c r="T255" s="1459"/>
      <c r="U255" s="1459"/>
      <c r="V255" s="1459"/>
      <c r="W255" s="1459"/>
      <c r="X255" s="1459"/>
      <c r="Y255" s="1459"/>
      <c r="Z255" s="1459"/>
      <c r="AA255" s="1459"/>
      <c r="AB255" s="1459"/>
      <c r="AC255" s="1459"/>
      <c r="AD255" s="1459"/>
      <c r="AE255" s="1459"/>
      <c r="AH255" s="1683">
        <v>8.0000000000000002E-3</v>
      </c>
      <c r="AI255" s="1683"/>
      <c r="AJ255" s="1683"/>
      <c r="AK255" s="1683"/>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415">
        <v>2133655000</v>
      </c>
      <c r="N256" s="1415"/>
      <c r="O256" s="1415"/>
      <c r="P256" s="1415"/>
      <c r="Q256" s="1415"/>
      <c r="R256" s="1415"/>
      <c r="S256" s="4" t="s">
        <v>206</v>
      </c>
      <c r="T256" s="4"/>
      <c r="U256" s="1418"/>
      <c r="V256" s="1418"/>
      <c r="W256" s="1418"/>
      <c r="X256" s="4" t="s">
        <v>89</v>
      </c>
      <c r="Z256" s="1415"/>
      <c r="AA256" s="1415"/>
      <c r="AB256" s="1415"/>
      <c r="AC256" s="1415"/>
      <c r="AD256" s="1415"/>
      <c r="AE256" s="1415"/>
      <c r="AU256" s="4"/>
      <c r="AV256" s="4"/>
      <c r="AW256" s="4"/>
      <c r="AX256" s="4"/>
      <c r="AY256" s="4"/>
      <c r="BG256">
        <v>0</v>
      </c>
      <c r="BH256" s="3" t="str">
        <f>""</f>
        <v/>
      </c>
      <c r="BN256" s="34"/>
    </row>
    <row r="257" spans="1:66" ht="12.95" customHeight="1">
      <c r="A257" s="19"/>
      <c r="B257" s="4"/>
      <c r="C257" s="4"/>
      <c r="D257" s="4" t="s">
        <v>90</v>
      </c>
      <c r="E257" s="4"/>
      <c r="F257" s="4"/>
      <c r="M257" s="1686" t="s">
        <v>2695</v>
      </c>
      <c r="N257" s="1686"/>
      <c r="O257" s="1686"/>
      <c r="P257" s="1686"/>
      <c r="Q257" s="1686"/>
      <c r="R257" s="1686"/>
      <c r="S257" s="1686"/>
      <c r="T257" s="1686"/>
      <c r="U257" s="1686"/>
      <c r="V257" s="1686"/>
      <c r="W257" s="1686"/>
      <c r="X257" s="1686"/>
      <c r="Y257" s="1686"/>
      <c r="Z257" s="1686"/>
      <c r="AA257" s="1686"/>
      <c r="AB257" s="1686"/>
      <c r="AC257" s="1686"/>
      <c r="AD257" s="1686"/>
      <c r="AE257" s="1686"/>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19" t="s">
        <v>536</v>
      </c>
      <c r="N258" s="1419"/>
      <c r="O258" s="1419"/>
      <c r="P258" s="1419"/>
      <c r="Q258" s="1419"/>
      <c r="R258" s="1419"/>
      <c r="S258" s="1419"/>
      <c r="T258" s="1419"/>
      <c r="U258" s="204" t="s">
        <v>906</v>
      </c>
      <c r="V258" s="204"/>
      <c r="W258" s="204"/>
      <c r="X258" s="204"/>
      <c r="Y258" s="204"/>
      <c r="Z258" s="204"/>
      <c r="AA258" s="1695" t="s">
        <v>2709</v>
      </c>
      <c r="AB258" s="1687"/>
      <c r="AC258" s="1687"/>
      <c r="AD258" s="1687"/>
      <c r="AE258" s="1687"/>
      <c r="AF258" s="1687"/>
      <c r="AG258" s="1687"/>
      <c r="AH258" s="1687"/>
      <c r="AI258" s="1687"/>
      <c r="AJ258" s="1687"/>
      <c r="AK258" s="1687"/>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399" t="s">
        <v>2689</v>
      </c>
      <c r="N260" s="1400"/>
      <c r="O260" s="1400"/>
      <c r="P260" s="1400"/>
      <c r="Q260" s="1400"/>
      <c r="R260" s="1400"/>
      <c r="S260" s="1400"/>
      <c r="T260" s="1400"/>
      <c r="U260" s="1400"/>
      <c r="V260" s="1400"/>
      <c r="W260" s="1400"/>
      <c r="X260" s="1400"/>
      <c r="Y260" s="1400"/>
      <c r="Z260" s="1400"/>
      <c r="AA260" s="1400"/>
      <c r="AB260" s="1400"/>
      <c r="AC260" s="1400"/>
      <c r="AD260" s="1400"/>
      <c r="AE260" s="1400"/>
      <c r="AF260" s="1400" t="s">
        <v>2684</v>
      </c>
      <c r="AG260" s="1400"/>
      <c r="AH260" s="1400"/>
      <c r="AI260" s="1400"/>
      <c r="AJ260" s="1400"/>
      <c r="AK260" s="1400"/>
      <c r="AU260" s="4"/>
      <c r="AV260" s="4"/>
      <c r="AW260" s="4"/>
      <c r="AX260" s="4"/>
      <c r="AY260" s="4"/>
      <c r="BN260" s="34"/>
    </row>
    <row r="261" spans="1:66" ht="12.95" customHeight="1">
      <c r="A261" s="19"/>
      <c r="B261" s="4"/>
      <c r="C261" s="4"/>
      <c r="D261" s="4" t="s">
        <v>85</v>
      </c>
      <c r="E261" s="4"/>
      <c r="F261" s="4"/>
      <c r="G261" s="4"/>
      <c r="H261" s="4"/>
      <c r="I261" s="4"/>
      <c r="J261" s="4"/>
      <c r="K261" s="4"/>
      <c r="L261" s="4"/>
      <c r="M261" s="1459" t="s">
        <v>2643</v>
      </c>
      <c r="N261" s="1459"/>
      <c r="O261" s="1459"/>
      <c r="P261" s="1459"/>
      <c r="Q261" s="1459"/>
      <c r="R261" s="1459"/>
      <c r="S261" s="1459"/>
      <c r="T261" s="1459"/>
      <c r="U261" s="1459"/>
      <c r="V261" s="1459"/>
      <c r="W261" s="1459"/>
      <c r="X261" s="1459"/>
      <c r="Y261" s="1459"/>
      <c r="Z261" s="1459"/>
      <c r="AA261" s="1459"/>
      <c r="AB261" s="1459"/>
      <c r="AC261" s="1459"/>
      <c r="AD261" s="1459"/>
      <c r="AE261" s="1459"/>
      <c r="AF261" s="3" t="s">
        <v>1179</v>
      </c>
      <c r="AL261" s="4"/>
      <c r="AM261" s="4"/>
      <c r="AN261" s="4"/>
      <c r="AO261" s="4"/>
      <c r="AP261" s="4"/>
      <c r="AQ261" s="4"/>
      <c r="AR261" s="4"/>
      <c r="AS261" s="4"/>
      <c r="AT261" s="4"/>
      <c r="BN261" s="34"/>
    </row>
    <row r="262" spans="1:66" ht="12.95" customHeight="1">
      <c r="A262" s="19"/>
      <c r="B262" s="4"/>
      <c r="C262" s="4"/>
      <c r="D262" s="4" t="s">
        <v>580</v>
      </c>
      <c r="E262" s="4"/>
      <c r="M262" s="1459" t="s">
        <v>2644</v>
      </c>
      <c r="N262" s="1459"/>
      <c r="O262" s="1459"/>
      <c r="P262" s="1459"/>
      <c r="Q262" s="1459"/>
      <c r="R262" s="1459"/>
      <c r="S262" s="1459"/>
      <c r="T262" s="1459"/>
      <c r="V262" s="33" t="s">
        <v>86</v>
      </c>
      <c r="W262" s="1418" t="s">
        <v>2642</v>
      </c>
      <c r="X262" s="1418"/>
      <c r="Y262" s="4" t="s">
        <v>583</v>
      </c>
      <c r="AC262" s="1459">
        <v>92507</v>
      </c>
      <c r="AD262" s="1459"/>
      <c r="AE262" s="1459"/>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459" t="s">
        <v>2645</v>
      </c>
      <c r="N263" s="1459"/>
      <c r="O263" s="1459"/>
      <c r="P263" s="1459"/>
      <c r="Q263" s="1459"/>
      <c r="R263" s="1459"/>
      <c r="S263" s="1459"/>
      <c r="T263" s="1459"/>
      <c r="U263" s="1459"/>
      <c r="V263" s="1459"/>
      <c r="W263" s="1459"/>
      <c r="X263" s="1459"/>
      <c r="Y263" s="1459"/>
      <c r="Z263" s="1459"/>
      <c r="AA263" s="1459"/>
      <c r="AB263" s="1459"/>
      <c r="AC263" s="1459"/>
      <c r="AD263" s="1459"/>
      <c r="AE263" s="1459"/>
      <c r="AH263" s="1683">
        <v>1E-3</v>
      </c>
      <c r="AI263" s="1683"/>
      <c r="AJ263" s="1683"/>
      <c r="AK263" s="1683"/>
      <c r="AL263" s="4"/>
      <c r="AM263" s="4"/>
      <c r="AN263" s="4"/>
      <c r="AO263" s="4"/>
      <c r="AP263" s="4"/>
      <c r="AQ263" s="4"/>
      <c r="AR263" s="4"/>
      <c r="AS263" s="4"/>
      <c r="AT263" s="4"/>
    </row>
    <row r="264" spans="1:66" ht="12.95" customHeight="1">
      <c r="A264" s="19"/>
      <c r="B264" s="4"/>
      <c r="C264" s="4"/>
      <c r="D264" s="4" t="s">
        <v>88</v>
      </c>
      <c r="E264" s="4"/>
      <c r="F264" s="4"/>
      <c r="M264" s="1415">
        <v>9515386244</v>
      </c>
      <c r="N264" s="1415"/>
      <c r="O264" s="1415"/>
      <c r="P264" s="1415"/>
      <c r="Q264" s="1415"/>
      <c r="R264" s="1415"/>
      <c r="S264" s="4" t="s">
        <v>206</v>
      </c>
      <c r="T264" s="4"/>
      <c r="U264" s="1418"/>
      <c r="V264" s="1418"/>
      <c r="W264" s="1418"/>
      <c r="X264" s="4" t="s">
        <v>89</v>
      </c>
      <c r="Z264" s="1415"/>
      <c r="AA264" s="1415"/>
      <c r="AB264" s="1415"/>
      <c r="AC264" s="1415"/>
      <c r="AD264" s="1415"/>
      <c r="AE264" s="1415"/>
      <c r="AU264" s="4"/>
      <c r="AV264" s="4"/>
      <c r="AW264" s="4"/>
      <c r="AX264" s="4"/>
      <c r="AY264" s="4"/>
      <c r="BN264" s="34"/>
    </row>
    <row r="265" spans="1:66" ht="12.95" customHeight="1">
      <c r="A265" s="19"/>
      <c r="B265" s="4"/>
      <c r="C265" s="4"/>
      <c r="D265" s="4" t="s">
        <v>90</v>
      </c>
      <c r="E265" s="4"/>
      <c r="F265" s="4"/>
      <c r="M265" s="1686" t="s">
        <v>2646</v>
      </c>
      <c r="N265" s="1686"/>
      <c r="O265" s="1686"/>
      <c r="P265" s="1686"/>
      <c r="Q265" s="1686"/>
      <c r="R265" s="1686"/>
      <c r="S265" s="1686"/>
      <c r="T265" s="1686"/>
      <c r="U265" s="1686"/>
      <c r="V265" s="1686"/>
      <c r="W265" s="1686"/>
      <c r="X265" s="1686"/>
      <c r="Y265" s="1686"/>
      <c r="Z265" s="1686"/>
      <c r="AA265" s="1686"/>
      <c r="AB265" s="1686"/>
      <c r="AC265" s="1686"/>
      <c r="AD265" s="1686"/>
      <c r="AE265" s="1686"/>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19" t="s">
        <v>534</v>
      </c>
      <c r="N266" s="1419"/>
      <c r="O266" s="1419"/>
      <c r="P266" s="1419"/>
      <c r="Q266" s="1419"/>
      <c r="R266" s="1419"/>
      <c r="S266" s="1419"/>
      <c r="T266" s="1419"/>
      <c r="U266" s="204" t="s">
        <v>906</v>
      </c>
      <c r="V266" s="204"/>
      <c r="W266" s="204"/>
      <c r="X266" s="204"/>
      <c r="Y266" s="204"/>
      <c r="Z266" s="204"/>
      <c r="AA266" s="1687" t="s">
        <v>2647</v>
      </c>
      <c r="AB266" s="1687"/>
      <c r="AC266" s="1687"/>
      <c r="AD266" s="1687"/>
      <c r="AE266" s="1687"/>
      <c r="AF266" s="1687"/>
      <c r="AG266" s="1687"/>
      <c r="AH266" s="1687"/>
      <c r="AI266" s="1687"/>
      <c r="AJ266" s="1687"/>
      <c r="AK266" s="1687"/>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399" t="s">
        <v>2754</v>
      </c>
      <c r="N268" s="1400"/>
      <c r="O268" s="1400"/>
      <c r="P268" s="1400"/>
      <c r="Q268" s="1400"/>
      <c r="R268" s="1400"/>
      <c r="S268" s="1400"/>
      <c r="T268" s="1400"/>
      <c r="U268" s="1400"/>
      <c r="V268" s="1400"/>
      <c r="W268" s="1400"/>
      <c r="X268" s="1400"/>
      <c r="Y268" s="1400"/>
      <c r="Z268" s="1400"/>
      <c r="AA268" s="1400"/>
      <c r="AB268" s="1400"/>
      <c r="AC268" s="1400"/>
      <c r="AD268" s="1400"/>
      <c r="AE268" s="1400"/>
      <c r="AF268" s="1400" t="s">
        <v>2687</v>
      </c>
      <c r="AG268" s="1400"/>
      <c r="AH268" s="1400"/>
      <c r="AI268" s="1400"/>
      <c r="AJ268" s="1400"/>
      <c r="AK268" s="1400"/>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58" t="s">
        <v>2755</v>
      </c>
      <c r="N269" s="1459"/>
      <c r="O269" s="1459"/>
      <c r="P269" s="1459"/>
      <c r="Q269" s="1459"/>
      <c r="R269" s="1459"/>
      <c r="S269" s="1459"/>
      <c r="T269" s="1459"/>
      <c r="U269" s="1459"/>
      <c r="V269" s="1459"/>
      <c r="W269" s="1459"/>
      <c r="X269" s="1459"/>
      <c r="Y269" s="1459"/>
      <c r="Z269" s="1459"/>
      <c r="AA269" s="1459"/>
      <c r="AB269" s="1459"/>
      <c r="AC269" s="1459"/>
      <c r="AD269" s="1459"/>
      <c r="AE269" s="1459"/>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458" t="s">
        <v>2756</v>
      </c>
      <c r="N270" s="1459"/>
      <c r="O270" s="1459"/>
      <c r="P270" s="1459"/>
      <c r="Q270" s="1459"/>
      <c r="R270" s="1459"/>
      <c r="S270" s="1459"/>
      <c r="T270" s="1459"/>
      <c r="V270" s="33" t="s">
        <v>86</v>
      </c>
      <c r="W270" s="1583" t="s">
        <v>2642</v>
      </c>
      <c r="X270" s="1418"/>
      <c r="Y270" s="4" t="s">
        <v>583</v>
      </c>
      <c r="AC270" s="1459">
        <v>91750</v>
      </c>
      <c r="AD270" s="1459"/>
      <c r="AE270" s="1459"/>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58" t="s">
        <v>2757</v>
      </c>
      <c r="N271" s="1459"/>
      <c r="O271" s="1459"/>
      <c r="P271" s="1459"/>
      <c r="Q271" s="1459"/>
      <c r="R271" s="1459"/>
      <c r="S271" s="1459"/>
      <c r="T271" s="1459"/>
      <c r="U271" s="1459"/>
      <c r="V271" s="1459"/>
      <c r="W271" s="1459"/>
      <c r="X271" s="1459"/>
      <c r="Y271" s="1459"/>
      <c r="Z271" s="1459"/>
      <c r="AA271" s="1459"/>
      <c r="AB271" s="1459"/>
      <c r="AC271" s="1459"/>
      <c r="AD271" s="1459"/>
      <c r="AE271" s="1459"/>
      <c r="AH271" s="1683">
        <v>1E-3</v>
      </c>
      <c r="AI271" s="1683"/>
      <c r="AJ271" s="1683"/>
      <c r="AK271" s="1683"/>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15">
        <v>8057548699</v>
      </c>
      <c r="N272" s="1415"/>
      <c r="O272" s="1415"/>
      <c r="P272" s="1415"/>
      <c r="Q272" s="1415"/>
      <c r="R272" s="1415"/>
      <c r="S272" s="4" t="s">
        <v>206</v>
      </c>
      <c r="T272" s="4"/>
      <c r="U272" s="1418"/>
      <c r="V272" s="1418"/>
      <c r="W272" s="1418"/>
      <c r="X272" s="4" t="s">
        <v>89</v>
      </c>
      <c r="Z272" s="1415"/>
      <c r="AA272" s="1415"/>
      <c r="AB272" s="1415"/>
      <c r="AC272" s="1415"/>
      <c r="AD272" s="1415"/>
      <c r="AE272" s="1415"/>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686" t="s">
        <v>2758</v>
      </c>
      <c r="N273" s="1686"/>
      <c r="O273" s="1686"/>
      <c r="P273" s="1686"/>
      <c r="Q273" s="1686"/>
      <c r="R273" s="1686"/>
      <c r="S273" s="1686"/>
      <c r="T273" s="1686"/>
      <c r="U273" s="1686"/>
      <c r="V273" s="1686"/>
      <c r="W273" s="1686"/>
      <c r="X273" s="1686"/>
      <c r="Y273" s="1686"/>
      <c r="Z273" s="1686"/>
      <c r="AA273" s="1712"/>
      <c r="AB273" s="1712"/>
      <c r="AC273" s="1712"/>
      <c r="AD273" s="1712"/>
      <c r="AE273" s="1712"/>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19" t="s">
        <v>536</v>
      </c>
      <c r="N274" s="1419"/>
      <c r="O274" s="1419"/>
      <c r="P274" s="1419"/>
      <c r="Q274" s="1419"/>
      <c r="R274" s="1419"/>
      <c r="S274" s="1419"/>
      <c r="T274" s="1419"/>
      <c r="U274" s="204" t="s">
        <v>906</v>
      </c>
      <c r="V274" s="204"/>
      <c r="W274" s="204"/>
      <c r="X274" s="204"/>
      <c r="Y274" s="204"/>
      <c r="Z274" s="204"/>
      <c r="AA274" s="1682"/>
      <c r="AB274" s="1682"/>
      <c r="AC274" s="1682"/>
      <c r="AD274" s="1682"/>
      <c r="AE274" s="1682"/>
      <c r="AF274" s="1682"/>
      <c r="AG274" s="1682"/>
      <c r="AH274" s="1682"/>
      <c r="AI274" s="1682"/>
      <c r="AJ274" s="1682"/>
      <c r="AK274" s="1682"/>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684" t="str">
        <f>IFERROR(BO254,"")</f>
        <v>Joint Venture</v>
      </c>
      <c r="U276" s="1684"/>
      <c r="V276" s="1684"/>
      <c r="W276" s="1684"/>
      <c r="X276" s="1684"/>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459" t="s">
        <v>280</v>
      </c>
      <c r="E279" s="1459"/>
      <c r="F279" s="1459"/>
      <c r="G279" s="1459"/>
      <c r="H279" s="1459"/>
      <c r="J279" t="s">
        <v>279</v>
      </c>
      <c r="X279" s="1611"/>
      <c r="Y279" s="1611"/>
      <c r="Z279" s="1611"/>
      <c r="AA279" s="1611"/>
      <c r="AB279" s="1611"/>
      <c r="AC279" s="1611"/>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00" t="s">
        <v>2648</v>
      </c>
      <c r="M283" s="1400"/>
      <c r="N283" s="1400"/>
      <c r="O283" s="1400"/>
      <c r="P283" s="1400"/>
      <c r="Q283" s="1400"/>
      <c r="R283" s="1400"/>
      <c r="S283" s="1400"/>
      <c r="T283" s="1400"/>
      <c r="U283" s="1400"/>
      <c r="V283" s="1400"/>
      <c r="W283" s="1400"/>
      <c r="X283" s="1400"/>
      <c r="Y283" s="1400"/>
      <c r="Z283" s="1400"/>
      <c r="AA283" s="1400"/>
      <c r="AB283" s="1400"/>
      <c r="AC283" s="1400"/>
      <c r="AD283" s="1400"/>
      <c r="AE283" s="1400"/>
      <c r="AF283" s="1400"/>
      <c r="AG283" s="1400"/>
      <c r="AH283" s="1400"/>
      <c r="AI283" s="1400"/>
      <c r="AJ283" s="1400"/>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59" t="s">
        <v>2643</v>
      </c>
      <c r="M284" s="1459"/>
      <c r="N284" s="1459"/>
      <c r="O284" s="1459"/>
      <c r="P284" s="1459"/>
      <c r="Q284" s="1459"/>
      <c r="R284" s="1459"/>
      <c r="S284" s="1459"/>
      <c r="T284" s="1459"/>
      <c r="U284" s="1459"/>
      <c r="V284" s="1459"/>
      <c r="W284" s="1459"/>
      <c r="X284" s="1459"/>
      <c r="Y284" s="1459"/>
      <c r="Z284" s="1459"/>
      <c r="AA284" s="1459"/>
      <c r="AB284" s="1459"/>
      <c r="AC284" s="1459"/>
      <c r="AD284" s="1459"/>
      <c r="AK284" s="3"/>
      <c r="AL284" s="3"/>
      <c r="AM284" s="3"/>
      <c r="AN284" s="3"/>
      <c r="AO284" s="3"/>
      <c r="AP284" s="3"/>
      <c r="AQ284" s="3"/>
      <c r="AR284" s="3"/>
      <c r="AS284" s="3"/>
      <c r="AT284" s="3"/>
      <c r="AU284" s="3"/>
      <c r="AV284" s="3"/>
      <c r="AW284" s="3"/>
      <c r="AX284" s="3"/>
      <c r="AY284" s="3"/>
    </row>
    <row r="285" spans="1:51" ht="12.95" customHeight="1">
      <c r="D285" s="4" t="s">
        <v>580</v>
      </c>
      <c r="E285" s="4"/>
      <c r="L285" s="1459" t="s">
        <v>67</v>
      </c>
      <c r="M285" s="1459"/>
      <c r="N285" s="1459"/>
      <c r="O285" s="1459"/>
      <c r="P285" s="1459"/>
      <c r="Q285" s="1459"/>
      <c r="R285" s="1459"/>
      <c r="S285" s="1459"/>
      <c r="U285" s="33" t="s">
        <v>86</v>
      </c>
      <c r="V285" s="1418" t="s">
        <v>2642</v>
      </c>
      <c r="W285" s="1418"/>
      <c r="X285" s="4" t="s">
        <v>583</v>
      </c>
      <c r="AB285" s="1459">
        <v>92507</v>
      </c>
      <c r="AC285" s="1459"/>
      <c r="AD285" s="1459"/>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59" t="s">
        <v>2645</v>
      </c>
      <c r="M286" s="1459"/>
      <c r="N286" s="1459"/>
      <c r="O286" s="1459"/>
      <c r="P286" s="1459"/>
      <c r="Q286" s="1459"/>
      <c r="R286" s="1459"/>
      <c r="S286" s="1459"/>
      <c r="T286" s="1459"/>
      <c r="U286" s="1459"/>
      <c r="V286" s="1459"/>
      <c r="W286" s="1459"/>
      <c r="X286" s="1459"/>
      <c r="Y286" s="1459"/>
      <c r="Z286" s="1459"/>
      <c r="AA286" s="1459"/>
      <c r="AB286" s="1459"/>
      <c r="AC286" s="1459"/>
      <c r="AD286" s="1459"/>
      <c r="AI286" s="4"/>
      <c r="AJ286" s="4"/>
      <c r="AK286" s="3"/>
      <c r="AL286" s="3"/>
      <c r="AM286" s="3"/>
      <c r="AN286" s="3"/>
      <c r="AO286" s="3"/>
      <c r="AP286" s="3"/>
      <c r="AQ286" s="3"/>
      <c r="AR286" s="3"/>
      <c r="AS286" s="3"/>
      <c r="AT286" s="3"/>
    </row>
    <row r="287" spans="1:51" ht="12.95" customHeight="1">
      <c r="D287" s="4" t="s">
        <v>88</v>
      </c>
      <c r="E287" s="4"/>
      <c r="F287" s="4"/>
      <c r="L287" s="1415">
        <v>9515386244</v>
      </c>
      <c r="M287" s="1415"/>
      <c r="N287" s="1415"/>
      <c r="O287" s="1415"/>
      <c r="P287" s="1415"/>
      <c r="Q287" s="1415"/>
      <c r="R287" s="4" t="s">
        <v>206</v>
      </c>
      <c r="S287" s="4"/>
      <c r="T287" s="1418"/>
      <c r="U287" s="1418"/>
      <c r="V287" s="1418"/>
      <c r="W287" s="4" t="s">
        <v>89</v>
      </c>
      <c r="Y287" s="1415"/>
      <c r="Z287" s="1415"/>
      <c r="AA287" s="1415"/>
      <c r="AB287" s="1415"/>
      <c r="AC287" s="1415"/>
      <c r="AD287" s="1415"/>
    </row>
    <row r="288" spans="1:51" ht="12.95" customHeight="1">
      <c r="D288" s="4" t="s">
        <v>90</v>
      </c>
      <c r="E288" s="4"/>
      <c r="F288" s="4"/>
      <c r="L288" s="1686" t="s">
        <v>2646</v>
      </c>
      <c r="M288" s="1686"/>
      <c r="N288" s="1686"/>
      <c r="O288" s="1686"/>
      <c r="P288" s="1686"/>
      <c r="Q288" s="1686"/>
      <c r="R288" s="1686"/>
      <c r="S288" s="1686"/>
      <c r="T288" s="1686"/>
      <c r="U288" s="1686"/>
      <c r="V288" s="1686"/>
      <c r="W288" s="1686"/>
      <c r="X288" s="1686"/>
      <c r="Y288" s="1686"/>
      <c r="Z288" s="1686"/>
      <c r="AA288" s="1686"/>
      <c r="AB288" s="1686"/>
      <c r="AC288" s="1686"/>
      <c r="AD288" s="1686"/>
      <c r="AF288" s="4"/>
      <c r="AG288" s="4"/>
      <c r="AH288" s="4"/>
      <c r="AI288" s="4"/>
      <c r="AJ288" s="4"/>
      <c r="AU288" s="3"/>
      <c r="AV288" s="3"/>
      <c r="AW288" s="3"/>
      <c r="AX288" s="3"/>
      <c r="AY288" s="3"/>
    </row>
    <row r="289" spans="1:51" ht="12.95" customHeight="1">
      <c r="D289" s="3" t="s">
        <v>623</v>
      </c>
      <c r="E289" s="3"/>
      <c r="F289" s="3"/>
      <c r="G289" s="3"/>
      <c r="H289" s="3"/>
      <c r="I289" s="3"/>
      <c r="L289" s="1583" t="s">
        <v>2649</v>
      </c>
      <c r="M289" s="1583"/>
      <c r="N289" s="1583"/>
      <c r="O289" s="1583"/>
      <c r="P289" s="1583"/>
      <c r="Q289" s="1583"/>
      <c r="R289" s="1583"/>
      <c r="S289" s="1583"/>
      <c r="T289" s="1583"/>
      <c r="U289" s="1583"/>
      <c r="V289" s="1583"/>
      <c r="W289" s="1583"/>
      <c r="X289" s="1583"/>
      <c r="Y289" s="1583"/>
      <c r="Z289" s="1583"/>
      <c r="AA289" s="1583"/>
      <c r="AB289" s="1583"/>
      <c r="AC289" s="1583"/>
      <c r="AD289" s="1583"/>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380" t="s">
        <v>541</v>
      </c>
      <c r="B291" s="1380"/>
      <c r="C291" s="1380"/>
      <c r="D291" s="1380"/>
      <c r="E291" s="1380"/>
      <c r="F291" s="1380"/>
      <c r="G291" s="1380"/>
      <c r="H291" s="1380"/>
      <c r="I291" s="1380"/>
      <c r="J291" s="1380"/>
      <c r="K291" s="1380"/>
      <c r="L291" s="1380"/>
      <c r="M291" s="1380"/>
      <c r="N291" s="1380"/>
      <c r="O291" s="1380"/>
      <c r="P291" s="1380"/>
      <c r="Q291" s="1380"/>
      <c r="R291" s="1380"/>
      <c r="S291" s="1380"/>
      <c r="T291" s="1380"/>
      <c r="U291" s="1380"/>
      <c r="V291" s="1380"/>
      <c r="W291" s="1380"/>
      <c r="X291" s="1380"/>
      <c r="Y291" s="1380"/>
      <c r="Z291" s="1380"/>
      <c r="AA291" s="1380"/>
      <c r="AB291" s="1380"/>
      <c r="AC291" s="1380"/>
      <c r="AD291" s="1380"/>
      <c r="AE291" s="1380"/>
      <c r="AF291" s="1380"/>
      <c r="AG291" s="1380"/>
      <c r="AH291" s="1380"/>
      <c r="AI291" s="1380"/>
      <c r="AJ291" s="1380"/>
      <c r="AK291" s="1380"/>
      <c r="AL291" s="1380"/>
      <c r="AM291" s="1380"/>
      <c r="AN291" s="1380"/>
      <c r="AO291" s="1380"/>
      <c r="AP291" s="1380"/>
      <c r="AQ291" s="1380"/>
      <c r="AR291" s="1380"/>
      <c r="AS291" s="1380"/>
      <c r="AT291" s="1380"/>
      <c r="AU291" s="95"/>
      <c r="AV291" s="95"/>
      <c r="AW291" s="95"/>
      <c r="AX291" s="95"/>
      <c r="AY291" s="95"/>
    </row>
    <row r="292" spans="1:51" ht="12.95" customHeight="1">
      <c r="A292" s="1380"/>
      <c r="B292" s="1380"/>
      <c r="C292" s="1380"/>
      <c r="D292" s="1380"/>
      <c r="E292" s="1380"/>
      <c r="F292" s="1380"/>
      <c r="G292" s="1380"/>
      <c r="H292" s="1380"/>
      <c r="I292" s="1380"/>
      <c r="J292" s="1380"/>
      <c r="K292" s="1380"/>
      <c r="L292" s="1380"/>
      <c r="M292" s="1380"/>
      <c r="N292" s="1380"/>
      <c r="O292" s="1380"/>
      <c r="P292" s="1380"/>
      <c r="Q292" s="1380"/>
      <c r="R292" s="1380"/>
      <c r="S292" s="1380"/>
      <c r="T292" s="1380"/>
      <c r="U292" s="1380"/>
      <c r="V292" s="1380"/>
      <c r="W292" s="1380"/>
      <c r="X292" s="1380"/>
      <c r="Y292" s="1380"/>
      <c r="Z292" s="1380"/>
      <c r="AA292" s="1380"/>
      <c r="AB292" s="1380"/>
      <c r="AC292" s="1380"/>
      <c r="AD292" s="1380"/>
      <c r="AE292" s="1380"/>
      <c r="AF292" s="1380"/>
      <c r="AG292" s="1380"/>
      <c r="AH292" s="1380"/>
      <c r="AI292" s="1380"/>
      <c r="AJ292" s="1380"/>
      <c r="AK292" s="1380"/>
      <c r="AL292" s="1380"/>
      <c r="AM292" s="1380"/>
      <c r="AN292" s="1380"/>
      <c r="AO292" s="1380"/>
      <c r="AP292" s="1380"/>
      <c r="AQ292" s="1380"/>
      <c r="AR292" s="1380"/>
      <c r="AS292" s="1380"/>
      <c r="AT292" s="1380"/>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17" t="s">
        <v>2696</v>
      </c>
      <c r="I296" s="1417"/>
      <c r="J296" s="1417"/>
      <c r="K296" s="1417"/>
      <c r="L296" s="1417"/>
      <c r="M296" s="1417"/>
      <c r="N296" s="1417"/>
      <c r="O296" s="1417"/>
      <c r="P296" s="1417"/>
      <c r="Q296" s="1417"/>
      <c r="R296" s="1417"/>
      <c r="T296" s="3" t="s">
        <v>567</v>
      </c>
      <c r="V296" s="3"/>
      <c r="W296" s="3"/>
      <c r="X296" s="3"/>
      <c r="Y296" s="3"/>
      <c r="AA296" s="1417" t="s">
        <v>2718</v>
      </c>
      <c r="AB296" s="1417"/>
      <c r="AC296" s="1417"/>
      <c r="AD296" s="1417"/>
      <c r="AE296" s="1417"/>
      <c r="AF296" s="1417"/>
      <c r="AG296" s="1417"/>
      <c r="AH296" s="1417"/>
      <c r="AI296" s="1417"/>
      <c r="AJ296" s="1417"/>
      <c r="AK296" s="1417"/>
    </row>
    <row r="297" spans="1:51" ht="12.95" customHeight="1">
      <c r="B297" s="3" t="s">
        <v>471</v>
      </c>
      <c r="C297" s="3"/>
      <c r="D297" s="3"/>
      <c r="E297" s="3"/>
      <c r="F297" s="3"/>
      <c r="H297" s="1419" t="s">
        <v>2707</v>
      </c>
      <c r="I297" s="1419"/>
      <c r="J297" s="1419"/>
      <c r="K297" s="1419"/>
      <c r="L297" s="1419"/>
      <c r="M297" s="1419"/>
      <c r="N297" s="1419"/>
      <c r="O297" s="1419"/>
      <c r="P297" s="1419"/>
      <c r="Q297" s="1419"/>
      <c r="R297" s="1419"/>
      <c r="T297" s="3" t="s">
        <v>471</v>
      </c>
      <c r="V297" s="3"/>
      <c r="W297" s="3"/>
      <c r="X297" s="3"/>
      <c r="Y297" s="3"/>
      <c r="AA297" s="1419" t="s">
        <v>2719</v>
      </c>
      <c r="AB297" s="1419"/>
      <c r="AC297" s="1419"/>
      <c r="AD297" s="1419"/>
      <c r="AE297" s="1419"/>
      <c r="AF297" s="1419"/>
      <c r="AG297" s="1419"/>
      <c r="AH297" s="1419"/>
      <c r="AI297" s="1419"/>
      <c r="AJ297" s="1419"/>
      <c r="AK297" s="1419"/>
    </row>
    <row r="298" spans="1:51" ht="12.95" customHeight="1">
      <c r="B298" s="3" t="s">
        <v>472</v>
      </c>
      <c r="C298" s="3"/>
      <c r="D298" s="3"/>
      <c r="E298" s="3"/>
      <c r="F298" s="3"/>
      <c r="H298" s="1419" t="s">
        <v>2670</v>
      </c>
      <c r="I298" s="1419"/>
      <c r="J298" s="1419"/>
      <c r="K298" s="1419"/>
      <c r="L298" s="1419"/>
      <c r="M298" s="1419"/>
      <c r="N298" s="1419"/>
      <c r="O298" s="1419"/>
      <c r="P298" s="1419"/>
      <c r="Q298" s="1419"/>
      <c r="R298" s="1419"/>
      <c r="T298" s="3" t="s">
        <v>75</v>
      </c>
      <c r="V298" s="3"/>
      <c r="W298" s="3"/>
      <c r="X298" s="3"/>
      <c r="Y298" s="3"/>
      <c r="AA298" s="1419" t="s">
        <v>2720</v>
      </c>
      <c r="AB298" s="1419"/>
      <c r="AC298" s="1419"/>
      <c r="AD298" s="1419"/>
      <c r="AE298" s="1419"/>
      <c r="AF298" s="1419"/>
      <c r="AG298" s="1419"/>
      <c r="AH298" s="1419"/>
      <c r="AI298" s="1419"/>
      <c r="AJ298" s="1419"/>
      <c r="AK298" s="1419"/>
    </row>
    <row r="299" spans="1:51" ht="12.95" customHeight="1">
      <c r="B299" s="3" t="s">
        <v>87</v>
      </c>
      <c r="C299" s="3"/>
      <c r="D299" s="3"/>
      <c r="E299" s="3"/>
      <c r="F299" s="3"/>
      <c r="H299" s="1419" t="s">
        <v>2708</v>
      </c>
      <c r="I299" s="1419"/>
      <c r="J299" s="1419"/>
      <c r="K299" s="1419"/>
      <c r="L299" s="1419"/>
      <c r="M299" s="1419"/>
      <c r="N299" s="1419"/>
      <c r="O299" s="1419"/>
      <c r="P299" s="1419"/>
      <c r="Q299" s="1419"/>
      <c r="R299" s="1419"/>
      <c r="T299" s="3" t="s">
        <v>87</v>
      </c>
      <c r="V299" s="3"/>
      <c r="W299" s="3"/>
      <c r="X299" s="3"/>
      <c r="Y299" s="3"/>
      <c r="AA299" s="1419" t="s">
        <v>2721</v>
      </c>
      <c r="AB299" s="1419"/>
      <c r="AC299" s="1419"/>
      <c r="AD299" s="1419"/>
      <c r="AE299" s="1419"/>
      <c r="AF299" s="1419"/>
      <c r="AG299" s="1419"/>
      <c r="AH299" s="1419"/>
      <c r="AI299" s="1419"/>
      <c r="AJ299" s="1419"/>
      <c r="AK299" s="1419"/>
    </row>
    <row r="300" spans="1:51" ht="12.95" customHeight="1">
      <c r="B300" s="3" t="s">
        <v>88</v>
      </c>
      <c r="C300" s="3"/>
      <c r="D300" s="3"/>
      <c r="E300" s="3"/>
      <c r="F300" s="3"/>
      <c r="G300" s="3"/>
      <c r="H300" s="1685">
        <v>2133655000</v>
      </c>
      <c r="I300" s="1685"/>
      <c r="J300" s="1685"/>
      <c r="K300" s="1685"/>
      <c r="L300" s="1685"/>
      <c r="M300" s="1685"/>
      <c r="N300" s="4" t="s">
        <v>206</v>
      </c>
      <c r="O300" s="4"/>
      <c r="P300" s="1459" t="s">
        <v>591</v>
      </c>
      <c r="Q300" s="1459"/>
      <c r="R300" s="1459"/>
      <c r="S300" s="3"/>
      <c r="T300" s="3" t="s">
        <v>88</v>
      </c>
      <c r="V300" s="3"/>
      <c r="W300" s="3"/>
      <c r="X300" s="3"/>
      <c r="Y300" s="3"/>
      <c r="AA300" s="1404">
        <v>3103944045</v>
      </c>
      <c r="AB300" s="1404"/>
      <c r="AC300" s="1404"/>
      <c r="AD300" s="1404"/>
      <c r="AE300" s="1404"/>
      <c r="AF300" s="1404"/>
      <c r="AG300" s="4" t="s">
        <v>206</v>
      </c>
      <c r="AH300" s="4"/>
      <c r="AI300" s="1459" t="s">
        <v>591</v>
      </c>
      <c r="AJ300" s="1459"/>
      <c r="AK300" s="1459"/>
    </row>
    <row r="301" spans="1:51" ht="12.95" customHeight="1">
      <c r="B301" s="3" t="s">
        <v>89</v>
      </c>
      <c r="C301" s="3"/>
      <c r="D301" s="3"/>
      <c r="E301" s="3"/>
      <c r="F301" s="3"/>
      <c r="G301" s="3"/>
      <c r="H301" s="1415" t="s">
        <v>591</v>
      </c>
      <c r="I301" s="1415"/>
      <c r="J301" s="1415"/>
      <c r="K301" s="1415"/>
      <c r="L301" s="1415"/>
      <c r="M301" s="1415"/>
      <c r="N301" s="4"/>
      <c r="O301" s="4"/>
      <c r="P301" s="35"/>
      <c r="Q301" s="35"/>
      <c r="R301" s="35"/>
      <c r="S301" s="3"/>
      <c r="T301" s="3" t="s">
        <v>89</v>
      </c>
      <c r="V301" s="3"/>
      <c r="W301" s="3"/>
      <c r="X301" s="3"/>
      <c r="Y301" s="3"/>
      <c r="AA301" s="1415" t="s">
        <v>591</v>
      </c>
      <c r="AB301" s="1415"/>
      <c r="AC301" s="1415"/>
      <c r="AD301" s="1415"/>
      <c r="AE301" s="1415"/>
      <c r="AF301" s="1415"/>
      <c r="AG301" s="4"/>
      <c r="AH301" s="4"/>
      <c r="AI301" s="35"/>
      <c r="AJ301" s="35"/>
      <c r="AK301" s="35"/>
    </row>
    <row r="302" spans="1:51" ht="12.95" customHeight="1">
      <c r="B302" s="3" t="s">
        <v>76</v>
      </c>
      <c r="C302" s="3"/>
      <c r="D302" s="3"/>
      <c r="E302" s="3"/>
      <c r="F302" s="3"/>
      <c r="G302" s="3"/>
      <c r="H302" s="1419" t="s">
        <v>2695</v>
      </c>
      <c r="I302" s="1419"/>
      <c r="J302" s="1419"/>
      <c r="K302" s="1419"/>
      <c r="L302" s="1419"/>
      <c r="M302" s="1419"/>
      <c r="N302" s="1417"/>
      <c r="O302" s="1417"/>
      <c r="P302" s="1417"/>
      <c r="Q302" s="1417"/>
      <c r="R302" s="1417"/>
      <c r="S302" s="3"/>
      <c r="T302" s="3" t="s">
        <v>76</v>
      </c>
      <c r="V302" s="3"/>
      <c r="W302" s="3"/>
      <c r="X302" s="3"/>
      <c r="Y302" s="3"/>
      <c r="AA302" s="1419" t="s">
        <v>2722</v>
      </c>
      <c r="AB302" s="1419"/>
      <c r="AC302" s="1419"/>
      <c r="AD302" s="1419"/>
      <c r="AE302" s="1419"/>
      <c r="AF302" s="1419"/>
      <c r="AG302" s="1417"/>
      <c r="AH302" s="1417"/>
      <c r="AI302" s="1417"/>
      <c r="AJ302" s="1417"/>
      <c r="AK302" s="1417"/>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17" t="s">
        <v>2650</v>
      </c>
      <c r="I304" s="1417"/>
      <c r="J304" s="1417"/>
      <c r="K304" s="1417"/>
      <c r="L304" s="1417"/>
      <c r="M304" s="1417"/>
      <c r="N304" s="1417"/>
      <c r="O304" s="1417"/>
      <c r="P304" s="1417"/>
      <c r="Q304" s="1417"/>
      <c r="R304" s="1417"/>
      <c r="T304" s="3" t="s">
        <v>364</v>
      </c>
      <c r="V304" s="3"/>
      <c r="W304" s="3"/>
      <c r="X304" s="3"/>
      <c r="Y304" s="3"/>
      <c r="AA304" s="1417" t="s">
        <v>2668</v>
      </c>
      <c r="AB304" s="1417"/>
      <c r="AC304" s="1417"/>
      <c r="AD304" s="1417"/>
      <c r="AE304" s="1417"/>
      <c r="AF304" s="1417"/>
      <c r="AG304" s="1417"/>
      <c r="AH304" s="1417"/>
      <c r="AI304" s="1417"/>
      <c r="AJ304" s="1417"/>
      <c r="AK304" s="1417"/>
    </row>
    <row r="305" spans="2:72" ht="12.95" customHeight="1">
      <c r="B305" s="3" t="s">
        <v>471</v>
      </c>
      <c r="C305" s="3"/>
      <c r="D305" s="3"/>
      <c r="E305" s="3"/>
      <c r="F305" s="3"/>
      <c r="H305" s="1419" t="s">
        <v>2651</v>
      </c>
      <c r="I305" s="1419"/>
      <c r="J305" s="1419"/>
      <c r="K305" s="1419"/>
      <c r="L305" s="1419"/>
      <c r="M305" s="1419"/>
      <c r="N305" s="1419"/>
      <c r="O305" s="1419"/>
      <c r="P305" s="1419"/>
      <c r="Q305" s="1419"/>
      <c r="R305" s="1419"/>
      <c r="T305" s="3" t="s">
        <v>471</v>
      </c>
      <c r="V305" s="3"/>
      <c r="W305" s="3"/>
      <c r="X305" s="3"/>
      <c r="Y305" s="3"/>
      <c r="AA305" s="1419" t="s">
        <v>2669</v>
      </c>
      <c r="AB305" s="1419"/>
      <c r="AC305" s="1419"/>
      <c r="AD305" s="1419"/>
      <c r="AE305" s="1419"/>
      <c r="AF305" s="1419"/>
      <c r="AG305" s="1419"/>
      <c r="AH305" s="1419"/>
      <c r="AI305" s="1419"/>
      <c r="AJ305" s="1419"/>
      <c r="AK305" s="141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19" t="s">
        <v>2652</v>
      </c>
      <c r="I306" s="1419"/>
      <c r="J306" s="1419"/>
      <c r="K306" s="1419"/>
      <c r="L306" s="1419"/>
      <c r="M306" s="1419"/>
      <c r="N306" s="1419"/>
      <c r="O306" s="1419"/>
      <c r="P306" s="1419"/>
      <c r="Q306" s="1419"/>
      <c r="R306" s="1419"/>
      <c r="T306" s="3" t="s">
        <v>75</v>
      </c>
      <c r="V306" s="3"/>
      <c r="W306" s="3"/>
      <c r="X306" s="3"/>
      <c r="Y306" s="3"/>
      <c r="AA306" s="1419" t="s">
        <v>2670</v>
      </c>
      <c r="AB306" s="1419"/>
      <c r="AC306" s="1419"/>
      <c r="AD306" s="1419"/>
      <c r="AE306" s="1419"/>
      <c r="AF306" s="1419"/>
      <c r="AG306" s="1419"/>
      <c r="AH306" s="1419"/>
      <c r="AI306" s="1419"/>
      <c r="AJ306" s="1419"/>
      <c r="AK306" s="141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19" t="s">
        <v>2653</v>
      </c>
      <c r="I307" s="1419"/>
      <c r="J307" s="1419"/>
      <c r="K307" s="1419"/>
      <c r="L307" s="1419"/>
      <c r="M307" s="1419"/>
      <c r="N307" s="1419"/>
      <c r="O307" s="1419"/>
      <c r="P307" s="1419"/>
      <c r="Q307" s="1419"/>
      <c r="R307" s="1419"/>
      <c r="T307" s="3" t="s">
        <v>87</v>
      </c>
      <c r="V307" s="3"/>
      <c r="W307" s="3"/>
      <c r="X307" s="3"/>
      <c r="Y307" s="3"/>
      <c r="AA307" s="1419" t="s">
        <v>2710</v>
      </c>
      <c r="AB307" s="1419"/>
      <c r="AC307" s="1419"/>
      <c r="AD307" s="1419"/>
      <c r="AE307" s="1419"/>
      <c r="AF307" s="1419"/>
      <c r="AG307" s="1419"/>
      <c r="AH307" s="1419"/>
      <c r="AI307" s="1419"/>
      <c r="AJ307" s="1419"/>
      <c r="AK307" s="1419"/>
    </row>
    <row r="308" spans="2:72" ht="12.95" customHeight="1">
      <c r="B308" s="3" t="s">
        <v>88</v>
      </c>
      <c r="C308" s="3"/>
      <c r="D308" s="3"/>
      <c r="E308" s="3"/>
      <c r="F308" s="3"/>
      <c r="G308" s="3"/>
      <c r="H308" s="1404">
        <v>2132398048</v>
      </c>
      <c r="I308" s="1404"/>
      <c r="J308" s="1404"/>
      <c r="K308" s="1404"/>
      <c r="L308" s="1404"/>
      <c r="M308" s="1404"/>
      <c r="N308" s="4" t="s">
        <v>206</v>
      </c>
      <c r="O308" s="4"/>
      <c r="P308" s="1459" t="s">
        <v>591</v>
      </c>
      <c r="Q308" s="1459"/>
      <c r="R308" s="1459"/>
      <c r="S308" s="3"/>
      <c r="T308" s="3" t="s">
        <v>88</v>
      </c>
      <c r="V308" s="3"/>
      <c r="W308" s="3"/>
      <c r="X308" s="3"/>
      <c r="Y308" s="3"/>
      <c r="AA308" s="1404">
        <v>2133655000</v>
      </c>
      <c r="AB308" s="1404"/>
      <c r="AC308" s="1404"/>
      <c r="AD308" s="1404"/>
      <c r="AE308" s="1404"/>
      <c r="AF308" s="1404"/>
      <c r="AG308" s="4" t="s">
        <v>206</v>
      </c>
      <c r="AH308" s="4"/>
      <c r="AI308" s="1459" t="s">
        <v>591</v>
      </c>
      <c r="AJ308" s="1459"/>
      <c r="AK308" s="1459"/>
    </row>
    <row r="309" spans="2:72" ht="12.95" customHeight="1">
      <c r="B309" s="3" t="s">
        <v>89</v>
      </c>
      <c r="C309" s="3"/>
      <c r="D309" s="3"/>
      <c r="E309" s="3"/>
      <c r="F309" s="3"/>
      <c r="G309" s="3"/>
      <c r="H309" s="1415" t="s">
        <v>2654</v>
      </c>
      <c r="I309" s="1415"/>
      <c r="J309" s="1415"/>
      <c r="K309" s="1415"/>
      <c r="L309" s="1415"/>
      <c r="M309" s="1415"/>
      <c r="N309" s="4"/>
      <c r="O309" s="4"/>
      <c r="P309" s="35"/>
      <c r="Q309" s="35"/>
      <c r="R309" s="35"/>
      <c r="S309" s="3"/>
      <c r="T309" s="3" t="s">
        <v>89</v>
      </c>
      <c r="V309" s="3"/>
      <c r="W309" s="3"/>
      <c r="X309" s="3"/>
      <c r="Y309" s="3"/>
      <c r="AA309" s="1415" t="s">
        <v>591</v>
      </c>
      <c r="AB309" s="1415"/>
      <c r="AC309" s="1415"/>
      <c r="AD309" s="1415"/>
      <c r="AE309" s="1415"/>
      <c r="AF309" s="1415"/>
      <c r="AG309" s="4"/>
      <c r="AH309" s="4"/>
      <c r="AI309" s="35"/>
      <c r="AJ309" s="35"/>
      <c r="AK309" s="35"/>
    </row>
    <row r="310" spans="2:72" ht="12.95" customHeight="1">
      <c r="B310" s="3" t="s">
        <v>76</v>
      </c>
      <c r="C310" s="3"/>
      <c r="D310" s="3"/>
      <c r="E310" s="3"/>
      <c r="F310" s="3"/>
      <c r="G310" s="3"/>
      <c r="H310" s="1419" t="s">
        <v>2655</v>
      </c>
      <c r="I310" s="1419"/>
      <c r="J310" s="1419"/>
      <c r="K310" s="1419"/>
      <c r="L310" s="1419"/>
      <c r="M310" s="1419"/>
      <c r="N310" s="1417"/>
      <c r="O310" s="1417"/>
      <c r="P310" s="1417"/>
      <c r="Q310" s="1417"/>
      <c r="R310" s="1417"/>
      <c r="S310" s="3"/>
      <c r="T310" s="3" t="s">
        <v>76</v>
      </c>
      <c r="V310" s="3"/>
      <c r="W310" s="3"/>
      <c r="X310" s="3"/>
      <c r="Y310" s="3"/>
      <c r="AA310" s="1419" t="s">
        <v>2723</v>
      </c>
      <c r="AB310" s="1419"/>
      <c r="AC310" s="1419"/>
      <c r="AD310" s="1419"/>
      <c r="AE310" s="1419"/>
      <c r="AF310" s="1419"/>
      <c r="AG310" s="1417"/>
      <c r="AH310" s="1417"/>
      <c r="AI310" s="1417"/>
      <c r="AJ310" s="1417"/>
      <c r="AK310" s="1417"/>
    </row>
    <row r="311" spans="2:72" ht="12.95" customHeight="1"/>
    <row r="312" spans="2:72" ht="12.95" customHeight="1">
      <c r="B312" s="3" t="s">
        <v>77</v>
      </c>
      <c r="C312" s="3"/>
      <c r="D312" s="3"/>
      <c r="E312" s="3"/>
      <c r="F312" s="3"/>
      <c r="H312" s="1417" t="s">
        <v>2656</v>
      </c>
      <c r="I312" s="1417"/>
      <c r="J312" s="1417"/>
      <c r="K312" s="1417"/>
      <c r="L312" s="1417"/>
      <c r="M312" s="1417"/>
      <c r="N312" s="1417"/>
      <c r="O312" s="1417"/>
      <c r="P312" s="1417"/>
      <c r="Q312" s="1417"/>
      <c r="R312" s="1417"/>
      <c r="T312" s="4" t="s">
        <v>878</v>
      </c>
      <c r="V312" s="3"/>
      <c r="W312" s="3"/>
      <c r="X312" s="3"/>
      <c r="Y312" s="3"/>
      <c r="AA312" s="1417" t="s">
        <v>591</v>
      </c>
      <c r="AB312" s="1417"/>
      <c r="AC312" s="1417"/>
      <c r="AD312" s="1417"/>
      <c r="AE312" s="1417"/>
      <c r="AF312" s="1417"/>
      <c r="AG312" s="1417"/>
      <c r="AH312" s="1417"/>
      <c r="AI312" s="1417"/>
      <c r="AJ312" s="1417"/>
      <c r="AK312" s="1417"/>
    </row>
    <row r="313" spans="2:72" ht="12.95" customHeight="1">
      <c r="B313" s="3" t="s">
        <v>471</v>
      </c>
      <c r="C313" s="3"/>
      <c r="D313" s="3"/>
      <c r="E313" s="3"/>
      <c r="F313" s="3"/>
      <c r="H313" s="1419" t="s">
        <v>2657</v>
      </c>
      <c r="I313" s="1419"/>
      <c r="J313" s="1419"/>
      <c r="K313" s="1419"/>
      <c r="L313" s="1419"/>
      <c r="M313" s="1419"/>
      <c r="N313" s="1419"/>
      <c r="O313" s="1419"/>
      <c r="P313" s="1419"/>
      <c r="Q313" s="1419"/>
      <c r="R313" s="1419"/>
      <c r="T313" s="3" t="s">
        <v>471</v>
      </c>
      <c r="V313" s="3"/>
      <c r="W313" s="3"/>
      <c r="X313" s="3"/>
      <c r="Y313" s="3"/>
      <c r="AA313" s="1419" t="s">
        <v>591</v>
      </c>
      <c r="AB313" s="1419"/>
      <c r="AC313" s="1419"/>
      <c r="AD313" s="1419"/>
      <c r="AE313" s="1419"/>
      <c r="AF313" s="1419"/>
      <c r="AG313" s="1419"/>
      <c r="AH313" s="1419"/>
      <c r="AI313" s="1419"/>
      <c r="AJ313" s="1419"/>
      <c r="AK313" s="1419"/>
    </row>
    <row r="314" spans="2:72" ht="12.95" customHeight="1">
      <c r="B314" s="3" t="s">
        <v>472</v>
      </c>
      <c r="C314" s="3"/>
      <c r="D314" s="3"/>
      <c r="E314" s="3"/>
      <c r="F314" s="3"/>
      <c r="H314" s="1419" t="s">
        <v>2658</v>
      </c>
      <c r="I314" s="1419"/>
      <c r="J314" s="1419"/>
      <c r="K314" s="1419"/>
      <c r="L314" s="1419"/>
      <c r="M314" s="1419"/>
      <c r="N314" s="1419"/>
      <c r="O314" s="1419"/>
      <c r="P314" s="1419"/>
      <c r="Q314" s="1419"/>
      <c r="R314" s="1419"/>
      <c r="T314" s="3" t="s">
        <v>75</v>
      </c>
      <c r="V314" s="3"/>
      <c r="W314" s="3"/>
      <c r="X314" s="3"/>
      <c r="Y314" s="3"/>
      <c r="AA314" s="1419" t="s">
        <v>591</v>
      </c>
      <c r="AB314" s="1419"/>
      <c r="AC314" s="1419"/>
      <c r="AD314" s="1419"/>
      <c r="AE314" s="1419"/>
      <c r="AF314" s="1419"/>
      <c r="AG314" s="1419"/>
      <c r="AH314" s="1419"/>
      <c r="AI314" s="1419"/>
      <c r="AJ314" s="1419"/>
      <c r="AK314" s="1419"/>
    </row>
    <row r="315" spans="2:72" ht="12.95" customHeight="1">
      <c r="B315" s="3" t="s">
        <v>87</v>
      </c>
      <c r="C315" s="3"/>
      <c r="D315" s="3"/>
      <c r="E315" s="3"/>
      <c r="F315" s="3"/>
      <c r="H315" s="1419" t="s">
        <v>2659</v>
      </c>
      <c r="I315" s="1419"/>
      <c r="J315" s="1419"/>
      <c r="K315" s="1419"/>
      <c r="L315" s="1419"/>
      <c r="M315" s="1419"/>
      <c r="N315" s="1419"/>
      <c r="O315" s="1419"/>
      <c r="P315" s="1419"/>
      <c r="Q315" s="1419"/>
      <c r="R315" s="1419"/>
      <c r="T315" s="3" t="s">
        <v>87</v>
      </c>
      <c r="V315" s="3"/>
      <c r="W315" s="3"/>
      <c r="X315" s="3"/>
      <c r="Y315" s="3"/>
      <c r="AA315" s="1419" t="s">
        <v>591</v>
      </c>
      <c r="AB315" s="1419"/>
      <c r="AC315" s="1419"/>
      <c r="AD315" s="1419"/>
      <c r="AE315" s="1419"/>
      <c r="AF315" s="1419"/>
      <c r="AG315" s="1419"/>
      <c r="AH315" s="1419"/>
      <c r="AI315" s="1419"/>
      <c r="AJ315" s="1419"/>
      <c r="AK315" s="1419"/>
    </row>
    <row r="316" spans="2:72" ht="12.95" customHeight="1">
      <c r="B316" s="3" t="s">
        <v>88</v>
      </c>
      <c r="C316" s="3"/>
      <c r="D316" s="3"/>
      <c r="E316" s="3"/>
      <c r="F316" s="3"/>
      <c r="G316" s="3"/>
      <c r="H316" s="1404">
        <v>4153568000</v>
      </c>
      <c r="I316" s="1404"/>
      <c r="J316" s="1404"/>
      <c r="K316" s="1404"/>
      <c r="L316" s="1404"/>
      <c r="M316" s="1404"/>
      <c r="N316" s="4" t="s">
        <v>206</v>
      </c>
      <c r="O316" s="4"/>
      <c r="P316" s="1459" t="s">
        <v>591</v>
      </c>
      <c r="Q316" s="1459"/>
      <c r="R316" s="1459"/>
      <c r="S316" s="3"/>
      <c r="T316" s="3" t="s">
        <v>88</v>
      </c>
      <c r="V316" s="3"/>
      <c r="W316" s="3"/>
      <c r="X316" s="3"/>
      <c r="Y316" s="3"/>
      <c r="AA316" s="1404" t="s">
        <v>591</v>
      </c>
      <c r="AB316" s="1404"/>
      <c r="AC316" s="1404"/>
      <c r="AD316" s="1404"/>
      <c r="AE316" s="1404"/>
      <c r="AF316" s="1404"/>
      <c r="AG316" s="4" t="s">
        <v>206</v>
      </c>
      <c r="AH316" s="4"/>
      <c r="AI316" s="1459" t="s">
        <v>591</v>
      </c>
      <c r="AJ316" s="1459"/>
      <c r="AK316" s="1459"/>
    </row>
    <row r="317" spans="2:72" ht="12.95" customHeight="1">
      <c r="B317" s="3" t="s">
        <v>89</v>
      </c>
      <c r="C317" s="3"/>
      <c r="D317" s="3"/>
      <c r="E317" s="3"/>
      <c r="F317" s="3"/>
      <c r="G317" s="3"/>
      <c r="H317" s="1415">
        <v>4153568001</v>
      </c>
      <c r="I317" s="1415"/>
      <c r="J317" s="1415"/>
      <c r="K317" s="1415"/>
      <c r="L317" s="1415"/>
      <c r="M317" s="1415"/>
      <c r="N317" s="4"/>
      <c r="O317" s="4"/>
      <c r="P317" s="35"/>
      <c r="Q317" s="35"/>
      <c r="R317" s="35"/>
      <c r="S317" s="3"/>
      <c r="T317" s="3" t="s">
        <v>89</v>
      </c>
      <c r="V317" s="3"/>
      <c r="W317" s="3"/>
      <c r="X317" s="3"/>
      <c r="Y317" s="3"/>
      <c r="AA317" s="1415" t="s">
        <v>591</v>
      </c>
      <c r="AB317" s="1415"/>
      <c r="AC317" s="1415"/>
      <c r="AD317" s="1415"/>
      <c r="AE317" s="1415"/>
      <c r="AF317" s="1415"/>
      <c r="AG317" s="4"/>
      <c r="AH317" s="4"/>
      <c r="AI317" s="35"/>
      <c r="AJ317" s="35"/>
      <c r="AK317" s="35"/>
    </row>
    <row r="318" spans="2:72" ht="12.95" customHeight="1">
      <c r="B318" s="3" t="s">
        <v>76</v>
      </c>
      <c r="C318" s="3"/>
      <c r="D318" s="3"/>
      <c r="E318" s="3"/>
      <c r="F318" s="3"/>
      <c r="G318" s="3"/>
      <c r="H318" s="1419" t="s">
        <v>2660</v>
      </c>
      <c r="I318" s="1419"/>
      <c r="J318" s="1419"/>
      <c r="K318" s="1419"/>
      <c r="L318" s="1419"/>
      <c r="M318" s="1419"/>
      <c r="N318" s="1417"/>
      <c r="O318" s="1417"/>
      <c r="P318" s="1417"/>
      <c r="Q318" s="1417"/>
      <c r="R318" s="1417"/>
      <c r="S318" s="3"/>
      <c r="T318" s="3" t="s">
        <v>76</v>
      </c>
      <c r="V318" s="3"/>
      <c r="W318" s="3"/>
      <c r="X318" s="3"/>
      <c r="Y318" s="3"/>
      <c r="AA318" s="1419" t="s">
        <v>591</v>
      </c>
      <c r="AB318" s="1419"/>
      <c r="AC318" s="1419"/>
      <c r="AD318" s="1419"/>
      <c r="AE318" s="1419"/>
      <c r="AF318" s="1419"/>
      <c r="AG318" s="1417"/>
      <c r="AH318" s="1417"/>
      <c r="AI318" s="1417"/>
      <c r="AJ318" s="1417"/>
      <c r="AK318" s="1417"/>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17" t="s">
        <v>2656</v>
      </c>
      <c r="I320" s="1417"/>
      <c r="J320" s="1417"/>
      <c r="K320" s="1417"/>
      <c r="L320" s="1417"/>
      <c r="M320" s="1417"/>
      <c r="N320" s="1417"/>
      <c r="O320" s="1417"/>
      <c r="P320" s="1417"/>
      <c r="Q320" s="1417"/>
      <c r="R320" s="1417"/>
      <c r="S320" s="3"/>
      <c r="T320" s="3" t="s">
        <v>365</v>
      </c>
      <c r="V320" s="3"/>
      <c r="W320" s="3"/>
      <c r="X320" s="3"/>
      <c r="Y320" s="3"/>
      <c r="AA320" s="1417" t="s">
        <v>2724</v>
      </c>
      <c r="AB320" s="1417"/>
      <c r="AC320" s="1417"/>
      <c r="AD320" s="1417"/>
      <c r="AE320" s="1417"/>
      <c r="AF320" s="1417"/>
      <c r="AG320" s="1417"/>
      <c r="AH320" s="1417"/>
      <c r="AI320" s="1417"/>
      <c r="AJ320" s="1417"/>
      <c r="AK320" s="1417"/>
    </row>
    <row r="321" spans="2:37" ht="12.95" customHeight="1">
      <c r="B321" s="3" t="s">
        <v>471</v>
      </c>
      <c r="C321" s="3"/>
      <c r="D321" s="3"/>
      <c r="E321" s="3"/>
      <c r="F321" s="3"/>
      <c r="H321" s="1419" t="s">
        <v>2657</v>
      </c>
      <c r="I321" s="1419"/>
      <c r="J321" s="1419"/>
      <c r="K321" s="1419"/>
      <c r="L321" s="1419"/>
      <c r="M321" s="1419"/>
      <c r="N321" s="1419"/>
      <c r="O321" s="1419"/>
      <c r="P321" s="1419"/>
      <c r="Q321" s="1419"/>
      <c r="R321" s="1419"/>
      <c r="S321" s="3"/>
      <c r="T321" s="3" t="s">
        <v>471</v>
      </c>
      <c r="V321" s="3"/>
      <c r="W321" s="3"/>
      <c r="X321" s="3"/>
      <c r="Y321" s="3"/>
      <c r="AA321" s="1419" t="s">
        <v>2725</v>
      </c>
      <c r="AB321" s="1419"/>
      <c r="AC321" s="1419"/>
      <c r="AD321" s="1419"/>
      <c r="AE321" s="1419"/>
      <c r="AF321" s="1419"/>
      <c r="AG321" s="1419"/>
      <c r="AH321" s="1419"/>
      <c r="AI321" s="1419"/>
      <c r="AJ321" s="1419"/>
      <c r="AK321" s="1419"/>
    </row>
    <row r="322" spans="2:37" ht="12.95" customHeight="1">
      <c r="B322" s="3" t="s">
        <v>472</v>
      </c>
      <c r="C322" s="3"/>
      <c r="D322" s="3"/>
      <c r="E322" s="3"/>
      <c r="F322" s="3"/>
      <c r="H322" s="1419" t="s">
        <v>2658</v>
      </c>
      <c r="I322" s="1419"/>
      <c r="J322" s="1419"/>
      <c r="K322" s="1419"/>
      <c r="L322" s="1419"/>
      <c r="M322" s="1419"/>
      <c r="N322" s="1419"/>
      <c r="O322" s="1419"/>
      <c r="P322" s="1419"/>
      <c r="Q322" s="1419"/>
      <c r="R322" s="1419"/>
      <c r="S322" s="3"/>
      <c r="T322" s="3" t="s">
        <v>75</v>
      </c>
      <c r="V322" s="3"/>
      <c r="W322" s="3"/>
      <c r="X322" s="3"/>
      <c r="Y322" s="3"/>
      <c r="AA322" s="1419" t="s">
        <v>2726</v>
      </c>
      <c r="AB322" s="1419"/>
      <c r="AC322" s="1419"/>
      <c r="AD322" s="1419"/>
      <c r="AE322" s="1419"/>
      <c r="AF322" s="1419"/>
      <c r="AG322" s="1419"/>
      <c r="AH322" s="1419"/>
      <c r="AI322" s="1419"/>
      <c r="AJ322" s="1419"/>
      <c r="AK322" s="1419"/>
    </row>
    <row r="323" spans="2:37" ht="12.95" customHeight="1">
      <c r="B323" s="3" t="s">
        <v>87</v>
      </c>
      <c r="C323" s="3"/>
      <c r="D323" s="3"/>
      <c r="E323" s="3"/>
      <c r="F323" s="3"/>
      <c r="H323" s="1419" t="s">
        <v>2659</v>
      </c>
      <c r="I323" s="1419"/>
      <c r="J323" s="1419"/>
      <c r="K323" s="1419"/>
      <c r="L323" s="1419"/>
      <c r="M323" s="1419"/>
      <c r="N323" s="1419"/>
      <c r="O323" s="1419"/>
      <c r="P323" s="1419"/>
      <c r="Q323" s="1419"/>
      <c r="R323" s="1419"/>
      <c r="S323" s="3"/>
      <c r="T323" s="3" t="s">
        <v>87</v>
      </c>
      <c r="V323" s="3"/>
      <c r="W323" s="3"/>
      <c r="X323" s="3"/>
      <c r="Y323" s="3"/>
      <c r="AA323" s="1419" t="s">
        <v>2727</v>
      </c>
      <c r="AB323" s="1419"/>
      <c r="AC323" s="1419"/>
      <c r="AD323" s="1419"/>
      <c r="AE323" s="1419"/>
      <c r="AF323" s="1419"/>
      <c r="AG323" s="1419"/>
      <c r="AH323" s="1419"/>
      <c r="AI323" s="1419"/>
      <c r="AJ323" s="1419"/>
      <c r="AK323" s="1419"/>
    </row>
    <row r="324" spans="2:37" ht="12.95" customHeight="1">
      <c r="B324" s="3" t="s">
        <v>88</v>
      </c>
      <c r="C324" s="3"/>
      <c r="D324" s="3"/>
      <c r="E324" s="3"/>
      <c r="F324" s="3"/>
      <c r="G324" s="3"/>
      <c r="H324" s="1404">
        <v>4153568000</v>
      </c>
      <c r="I324" s="1404"/>
      <c r="J324" s="1404"/>
      <c r="K324" s="1404"/>
      <c r="L324" s="1404"/>
      <c r="M324" s="1404"/>
      <c r="N324" s="4" t="s">
        <v>206</v>
      </c>
      <c r="O324" s="4"/>
      <c r="P324" s="1459" t="s">
        <v>591</v>
      </c>
      <c r="Q324" s="1459"/>
      <c r="R324" s="1459"/>
      <c r="S324" s="3"/>
      <c r="T324" s="3" t="s">
        <v>88</v>
      </c>
      <c r="V324" s="3"/>
      <c r="W324" s="3"/>
      <c r="X324" s="3"/>
      <c r="Y324" s="3"/>
      <c r="AA324" s="1404">
        <v>9167900246</v>
      </c>
      <c r="AB324" s="1404"/>
      <c r="AC324" s="1404"/>
      <c r="AD324" s="1404"/>
      <c r="AE324" s="1404"/>
      <c r="AF324" s="1404"/>
      <c r="AG324" s="4" t="s">
        <v>206</v>
      </c>
      <c r="AH324" s="4"/>
      <c r="AI324" s="1459" t="s">
        <v>591</v>
      </c>
      <c r="AJ324" s="1459"/>
      <c r="AK324" s="1459"/>
    </row>
    <row r="325" spans="2:37" ht="12.95" customHeight="1">
      <c r="B325" s="3" t="s">
        <v>89</v>
      </c>
      <c r="C325" s="3"/>
      <c r="D325" s="3"/>
      <c r="E325" s="3"/>
      <c r="F325" s="3"/>
      <c r="G325" s="3"/>
      <c r="H325" s="1415">
        <v>4153568001</v>
      </c>
      <c r="I325" s="1415"/>
      <c r="J325" s="1415"/>
      <c r="K325" s="1415"/>
      <c r="L325" s="1415"/>
      <c r="M325" s="1415"/>
      <c r="N325" s="4"/>
      <c r="O325" s="4"/>
      <c r="P325" s="35"/>
      <c r="Q325" s="35"/>
      <c r="R325" s="35"/>
      <c r="S325" s="3"/>
      <c r="T325" s="3" t="s">
        <v>89</v>
      </c>
      <c r="V325" s="3"/>
      <c r="W325" s="3"/>
      <c r="X325" s="3"/>
      <c r="Y325" s="3"/>
      <c r="AA325" s="1415" t="s">
        <v>591</v>
      </c>
      <c r="AB325" s="1415"/>
      <c r="AC325" s="1415"/>
      <c r="AD325" s="1415"/>
      <c r="AE325" s="1415"/>
      <c r="AF325" s="1415"/>
      <c r="AG325" s="4"/>
      <c r="AH325" s="4"/>
      <c r="AI325" s="35"/>
      <c r="AJ325" s="35"/>
      <c r="AK325" s="35"/>
    </row>
    <row r="326" spans="2:37" ht="12.95" customHeight="1">
      <c r="B326" s="3" t="s">
        <v>76</v>
      </c>
      <c r="C326" s="3"/>
      <c r="D326" s="3"/>
      <c r="E326" s="3"/>
      <c r="F326" s="3"/>
      <c r="G326" s="3"/>
      <c r="H326" s="1419" t="s">
        <v>2660</v>
      </c>
      <c r="I326" s="1419"/>
      <c r="J326" s="1419"/>
      <c r="K326" s="1419"/>
      <c r="L326" s="1419"/>
      <c r="M326" s="1419"/>
      <c r="N326" s="1417"/>
      <c r="O326" s="1417"/>
      <c r="P326" s="1417"/>
      <c r="Q326" s="1417"/>
      <c r="R326" s="1417"/>
      <c r="S326" s="3"/>
      <c r="T326" s="3" t="s">
        <v>76</v>
      </c>
      <c r="V326" s="3"/>
      <c r="W326" s="3"/>
      <c r="X326" s="3"/>
      <c r="Y326" s="3"/>
      <c r="AA326" s="1419" t="s">
        <v>2728</v>
      </c>
      <c r="AB326" s="1419"/>
      <c r="AC326" s="1419"/>
      <c r="AD326" s="1419"/>
      <c r="AE326" s="1419"/>
      <c r="AF326" s="1419"/>
      <c r="AG326" s="1417"/>
      <c r="AH326" s="1417"/>
      <c r="AI326" s="1417"/>
      <c r="AJ326" s="1417"/>
      <c r="AK326" s="1417"/>
    </row>
    <row r="327" spans="2:37" ht="12.95" customHeight="1"/>
    <row r="328" spans="2:37" ht="12.95" customHeight="1">
      <c r="B328" s="4" t="s">
        <v>908</v>
      </c>
      <c r="C328" s="3"/>
      <c r="D328" s="3"/>
      <c r="E328" s="3"/>
      <c r="F328" s="3"/>
      <c r="H328" s="1417" t="s">
        <v>2648</v>
      </c>
      <c r="I328" s="1417"/>
      <c r="J328" s="1417"/>
      <c r="K328" s="1417"/>
      <c r="L328" s="1417"/>
      <c r="M328" s="1417"/>
      <c r="N328" s="1417"/>
      <c r="O328" s="1417"/>
      <c r="P328" s="1417"/>
      <c r="Q328" s="1417"/>
      <c r="R328" s="1417"/>
      <c r="T328" s="3" t="s">
        <v>366</v>
      </c>
      <c r="V328" s="3"/>
      <c r="W328" s="3"/>
      <c r="X328" s="3"/>
      <c r="Y328" s="3"/>
      <c r="AA328" s="1417" t="s">
        <v>2661</v>
      </c>
      <c r="AB328" s="1417"/>
      <c r="AC328" s="1417"/>
      <c r="AD328" s="1417"/>
      <c r="AE328" s="1417"/>
      <c r="AF328" s="1417"/>
      <c r="AG328" s="1417"/>
      <c r="AH328" s="1417"/>
      <c r="AI328" s="1417"/>
      <c r="AJ328" s="1417"/>
      <c r="AK328" s="1417"/>
    </row>
    <row r="329" spans="2:37" ht="12.95" customHeight="1">
      <c r="B329" s="3" t="s">
        <v>471</v>
      </c>
      <c r="C329" s="3"/>
      <c r="D329" s="3"/>
      <c r="E329" s="3"/>
      <c r="F329" s="3"/>
      <c r="H329" s="1419" t="s">
        <v>2666</v>
      </c>
      <c r="I329" s="1419"/>
      <c r="J329" s="1419"/>
      <c r="K329" s="1419"/>
      <c r="L329" s="1419"/>
      <c r="M329" s="1419"/>
      <c r="N329" s="1419"/>
      <c r="O329" s="1419"/>
      <c r="P329" s="1419"/>
      <c r="Q329" s="1419"/>
      <c r="R329" s="1419"/>
      <c r="T329" s="3" t="s">
        <v>471</v>
      </c>
      <c r="V329" s="3"/>
      <c r="W329" s="3"/>
      <c r="X329" s="3"/>
      <c r="Y329" s="3"/>
      <c r="AA329" s="1419" t="s">
        <v>2662</v>
      </c>
      <c r="AB329" s="1419"/>
      <c r="AC329" s="1419"/>
      <c r="AD329" s="1419"/>
      <c r="AE329" s="1419"/>
      <c r="AF329" s="1419"/>
      <c r="AG329" s="1419"/>
      <c r="AH329" s="1419"/>
      <c r="AI329" s="1419"/>
      <c r="AJ329" s="1419"/>
      <c r="AK329" s="1419"/>
    </row>
    <row r="330" spans="2:37" ht="12.95" customHeight="1">
      <c r="B330" s="3" t="s">
        <v>472</v>
      </c>
      <c r="C330" s="3"/>
      <c r="D330" s="3"/>
      <c r="E330" s="3"/>
      <c r="F330" s="3"/>
      <c r="H330" s="1419" t="s">
        <v>2667</v>
      </c>
      <c r="I330" s="1419"/>
      <c r="J330" s="1419"/>
      <c r="K330" s="1419"/>
      <c r="L330" s="1419"/>
      <c r="M330" s="1419"/>
      <c r="N330" s="1419"/>
      <c r="O330" s="1419"/>
      <c r="P330" s="1419"/>
      <c r="Q330" s="1419"/>
      <c r="R330" s="1419"/>
      <c r="T330" s="3" t="s">
        <v>75</v>
      </c>
      <c r="V330" s="3"/>
      <c r="W330" s="3"/>
      <c r="X330" s="3"/>
      <c r="Y330" s="3"/>
      <c r="AA330" s="1419" t="s">
        <v>2663</v>
      </c>
      <c r="AB330" s="1419"/>
      <c r="AC330" s="1419"/>
      <c r="AD330" s="1419"/>
      <c r="AE330" s="1419"/>
      <c r="AF330" s="1419"/>
      <c r="AG330" s="1419"/>
      <c r="AH330" s="1419"/>
      <c r="AI330" s="1419"/>
      <c r="AJ330" s="1419"/>
      <c r="AK330" s="1419"/>
    </row>
    <row r="331" spans="2:37" ht="12.95" customHeight="1">
      <c r="B331" s="3" t="s">
        <v>87</v>
      </c>
      <c r="C331" s="3"/>
      <c r="D331" s="3"/>
      <c r="E331" s="3"/>
      <c r="F331" s="3"/>
      <c r="H331" s="1419" t="s">
        <v>2645</v>
      </c>
      <c r="I331" s="1419"/>
      <c r="J331" s="1419"/>
      <c r="K331" s="1419"/>
      <c r="L331" s="1419"/>
      <c r="M331" s="1419"/>
      <c r="N331" s="1419"/>
      <c r="O331" s="1419"/>
      <c r="P331" s="1419"/>
      <c r="Q331" s="1419"/>
      <c r="R331" s="1419"/>
      <c r="T331" s="3" t="s">
        <v>87</v>
      </c>
      <c r="V331" s="3"/>
      <c r="W331" s="3"/>
      <c r="X331" s="3"/>
      <c r="Y331" s="3"/>
      <c r="AA331" s="1419" t="s">
        <v>2664</v>
      </c>
      <c r="AB331" s="1419"/>
      <c r="AC331" s="1419"/>
      <c r="AD331" s="1419"/>
      <c r="AE331" s="1419"/>
      <c r="AF331" s="1419"/>
      <c r="AG331" s="1419"/>
      <c r="AH331" s="1419"/>
      <c r="AI331" s="1419"/>
      <c r="AJ331" s="1419"/>
      <c r="AK331" s="1419"/>
    </row>
    <row r="332" spans="2:37" ht="12.95" customHeight="1">
      <c r="B332" s="3" t="s">
        <v>88</v>
      </c>
      <c r="C332" s="3"/>
      <c r="D332" s="3"/>
      <c r="E332" s="3"/>
      <c r="F332" s="3"/>
      <c r="G332" s="3"/>
      <c r="H332" s="1404">
        <v>9515386244</v>
      </c>
      <c r="I332" s="1404"/>
      <c r="J332" s="1404"/>
      <c r="K332" s="1404"/>
      <c r="L332" s="1404"/>
      <c r="M332" s="1404"/>
      <c r="N332" s="4" t="s">
        <v>206</v>
      </c>
      <c r="O332" s="4"/>
      <c r="P332" s="1459" t="s">
        <v>591</v>
      </c>
      <c r="Q332" s="1459"/>
      <c r="R332" s="1459"/>
      <c r="S332" s="3"/>
      <c r="T332" s="3" t="s">
        <v>88</v>
      </c>
      <c r="V332" s="3"/>
      <c r="W332" s="3"/>
      <c r="X332" s="3"/>
      <c r="Y332" s="3"/>
      <c r="AA332" s="1404">
        <v>9497176450</v>
      </c>
      <c r="AB332" s="1404"/>
      <c r="AC332" s="1404"/>
      <c r="AD332" s="1404"/>
      <c r="AE332" s="1404"/>
      <c r="AF332" s="1404"/>
      <c r="AG332" s="4" t="s">
        <v>206</v>
      </c>
      <c r="AH332" s="4"/>
      <c r="AI332" s="1459" t="s">
        <v>591</v>
      </c>
      <c r="AJ332" s="1459"/>
      <c r="AK332" s="1459"/>
    </row>
    <row r="333" spans="2:37" ht="12.95" customHeight="1">
      <c r="B333" s="3" t="s">
        <v>89</v>
      </c>
      <c r="C333" s="3"/>
      <c r="D333" s="3"/>
      <c r="E333" s="3"/>
      <c r="F333" s="3"/>
      <c r="G333" s="3"/>
      <c r="H333" s="1415" t="s">
        <v>591</v>
      </c>
      <c r="I333" s="1415"/>
      <c r="J333" s="1415"/>
      <c r="K333" s="1415"/>
      <c r="L333" s="1415"/>
      <c r="M333" s="1415"/>
      <c r="N333" s="4"/>
      <c r="O333" s="4"/>
      <c r="P333" s="35"/>
      <c r="Q333" s="35"/>
      <c r="R333" s="35"/>
      <c r="S333" s="3"/>
      <c r="T333" s="3" t="s">
        <v>89</v>
      </c>
      <c r="V333" s="3"/>
      <c r="W333" s="3"/>
      <c r="X333" s="3"/>
      <c r="Y333" s="3"/>
      <c r="AA333" s="1415" t="s">
        <v>591</v>
      </c>
      <c r="AB333" s="1415"/>
      <c r="AC333" s="1415"/>
      <c r="AD333" s="1415"/>
      <c r="AE333" s="1415"/>
      <c r="AF333" s="1415"/>
      <c r="AG333" s="4"/>
      <c r="AH333" s="4"/>
      <c r="AI333" s="35"/>
      <c r="AJ333" s="35"/>
      <c r="AK333" s="35"/>
    </row>
    <row r="334" spans="2:37" ht="12.95" customHeight="1">
      <c r="B334" s="3" t="s">
        <v>76</v>
      </c>
      <c r="C334" s="3"/>
      <c r="D334" s="3"/>
      <c r="E334" s="3"/>
      <c r="F334" s="3"/>
      <c r="G334" s="3"/>
      <c r="H334" s="1419" t="s">
        <v>2646</v>
      </c>
      <c r="I334" s="1419"/>
      <c r="J334" s="1419"/>
      <c r="K334" s="1419"/>
      <c r="L334" s="1419"/>
      <c r="M334" s="1419"/>
      <c r="N334" s="1417"/>
      <c r="O334" s="1417"/>
      <c r="P334" s="1417"/>
      <c r="Q334" s="1417"/>
      <c r="R334" s="1417"/>
      <c r="S334" s="3"/>
      <c r="T334" s="3" t="s">
        <v>76</v>
      </c>
      <c r="V334" s="3"/>
      <c r="W334" s="3"/>
      <c r="X334" s="3"/>
      <c r="Y334" s="3"/>
      <c r="AA334" s="1419" t="s">
        <v>2665</v>
      </c>
      <c r="AB334" s="1419"/>
      <c r="AC334" s="1419"/>
      <c r="AD334" s="1419"/>
      <c r="AE334" s="1419"/>
      <c r="AF334" s="1419"/>
      <c r="AG334" s="1417"/>
      <c r="AH334" s="1417"/>
      <c r="AI334" s="1417"/>
      <c r="AJ334" s="1417"/>
      <c r="AK334" s="1417"/>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17" t="s">
        <v>2671</v>
      </c>
      <c r="I336" s="1417"/>
      <c r="J336" s="1417"/>
      <c r="K336" s="1417"/>
      <c r="L336" s="1417"/>
      <c r="M336" s="1417"/>
      <c r="N336" s="1417"/>
      <c r="O336" s="1417"/>
      <c r="P336" s="1417"/>
      <c r="Q336" s="1417"/>
      <c r="R336" s="1417"/>
      <c r="T336" s="3" t="s">
        <v>368</v>
      </c>
      <c r="V336" s="3"/>
      <c r="W336" s="3"/>
      <c r="X336" s="3"/>
      <c r="Y336" s="3"/>
      <c r="AA336" s="1417" t="s">
        <v>591</v>
      </c>
      <c r="AB336" s="1417"/>
      <c r="AC336" s="1417"/>
      <c r="AD336" s="1417"/>
      <c r="AE336" s="1417"/>
      <c r="AF336" s="1417"/>
      <c r="AG336" s="1417"/>
      <c r="AH336" s="1417"/>
      <c r="AI336" s="1417"/>
      <c r="AJ336" s="1417"/>
      <c r="AK336" s="1417"/>
    </row>
    <row r="337" spans="2:66" ht="12.95" customHeight="1">
      <c r="B337" s="3" t="s">
        <v>471</v>
      </c>
      <c r="C337" s="3"/>
      <c r="D337" s="3"/>
      <c r="E337" s="3"/>
      <c r="F337" s="3"/>
      <c r="H337" s="1419" t="s">
        <v>2672</v>
      </c>
      <c r="I337" s="1419"/>
      <c r="J337" s="1419"/>
      <c r="K337" s="1419"/>
      <c r="L337" s="1419"/>
      <c r="M337" s="1419"/>
      <c r="N337" s="1419"/>
      <c r="O337" s="1419"/>
      <c r="P337" s="1419"/>
      <c r="Q337" s="1419"/>
      <c r="R337" s="1419"/>
      <c r="T337" s="3" t="s">
        <v>471</v>
      </c>
      <c r="V337" s="3"/>
      <c r="W337" s="3"/>
      <c r="X337" s="3"/>
      <c r="Y337" s="3"/>
      <c r="AA337" s="1419" t="s">
        <v>591</v>
      </c>
      <c r="AB337" s="1419"/>
      <c r="AC337" s="1419"/>
      <c r="AD337" s="1419"/>
      <c r="AE337" s="1419"/>
      <c r="AF337" s="1419"/>
      <c r="AG337" s="1419"/>
      <c r="AH337" s="1419"/>
      <c r="AI337" s="1419"/>
      <c r="AJ337" s="1419"/>
      <c r="AK337" s="1419"/>
    </row>
    <row r="338" spans="2:66" ht="12.95" customHeight="1">
      <c r="B338" s="3" t="s">
        <v>472</v>
      </c>
      <c r="C338" s="3"/>
      <c r="D338" s="3"/>
      <c r="E338" s="3"/>
      <c r="F338" s="3"/>
      <c r="H338" s="1419" t="s">
        <v>2673</v>
      </c>
      <c r="I338" s="1419"/>
      <c r="J338" s="1419"/>
      <c r="K338" s="1419"/>
      <c r="L338" s="1419"/>
      <c r="M338" s="1419"/>
      <c r="N338" s="1419"/>
      <c r="O338" s="1419"/>
      <c r="P338" s="1419"/>
      <c r="Q338" s="1419"/>
      <c r="R338" s="1419"/>
      <c r="T338" s="3" t="s">
        <v>75</v>
      </c>
      <c r="V338" s="3"/>
      <c r="W338" s="3"/>
      <c r="X338" s="3"/>
      <c r="Y338" s="3"/>
      <c r="AA338" s="1419" t="s">
        <v>591</v>
      </c>
      <c r="AB338" s="1419"/>
      <c r="AC338" s="1419"/>
      <c r="AD338" s="1419"/>
      <c r="AE338" s="1419"/>
      <c r="AF338" s="1419"/>
      <c r="AG338" s="1419"/>
      <c r="AH338" s="1419"/>
      <c r="AI338" s="1419"/>
      <c r="AJ338" s="1419"/>
      <c r="AK338" s="1419"/>
    </row>
    <row r="339" spans="2:66" ht="12.95" customHeight="1">
      <c r="B339" s="3" t="s">
        <v>87</v>
      </c>
      <c r="C339" s="3"/>
      <c r="D339" s="3"/>
      <c r="E339" s="3"/>
      <c r="F339" s="3"/>
      <c r="H339" s="1419" t="s">
        <v>2674</v>
      </c>
      <c r="I339" s="1419"/>
      <c r="J339" s="1419"/>
      <c r="K339" s="1419"/>
      <c r="L339" s="1419"/>
      <c r="M339" s="1419"/>
      <c r="N339" s="1419"/>
      <c r="O339" s="1419"/>
      <c r="P339" s="1419"/>
      <c r="Q339" s="1419"/>
      <c r="R339" s="1419"/>
      <c r="T339" s="3" t="s">
        <v>87</v>
      </c>
      <c r="V339" s="3"/>
      <c r="W339" s="3"/>
      <c r="X339" s="3"/>
      <c r="Y339" s="3"/>
      <c r="AA339" s="1419" t="s">
        <v>591</v>
      </c>
      <c r="AB339" s="1419"/>
      <c r="AC339" s="1419"/>
      <c r="AD339" s="1419"/>
      <c r="AE339" s="1419"/>
      <c r="AF339" s="1419"/>
      <c r="AG339" s="1419"/>
      <c r="AH339" s="1419"/>
      <c r="AI339" s="1419"/>
      <c r="AJ339" s="1419"/>
      <c r="AK339" s="1419"/>
    </row>
    <row r="340" spans="2:66" ht="12.95" customHeight="1">
      <c r="B340" s="3" t="s">
        <v>88</v>
      </c>
      <c r="C340" s="3"/>
      <c r="D340" s="3"/>
      <c r="E340" s="3"/>
      <c r="F340" s="3"/>
      <c r="G340" s="3"/>
      <c r="H340" s="1404">
        <v>2132257245</v>
      </c>
      <c r="I340" s="1404"/>
      <c r="J340" s="1404"/>
      <c r="K340" s="1404"/>
      <c r="L340" s="1404"/>
      <c r="M340" s="1404"/>
      <c r="N340" s="4" t="s">
        <v>206</v>
      </c>
      <c r="O340" s="4"/>
      <c r="P340" s="1459"/>
      <c r="Q340" s="1459"/>
      <c r="R340" s="1459"/>
      <c r="S340" s="3"/>
      <c r="T340" s="3" t="s">
        <v>88</v>
      </c>
      <c r="V340" s="3"/>
      <c r="W340" s="3"/>
      <c r="X340" s="3"/>
      <c r="Y340" s="3"/>
      <c r="AA340" s="1404" t="s">
        <v>591</v>
      </c>
      <c r="AB340" s="1404"/>
      <c r="AC340" s="1404"/>
      <c r="AD340" s="1404"/>
      <c r="AE340" s="1404"/>
      <c r="AF340" s="1404"/>
      <c r="AG340" s="4" t="s">
        <v>206</v>
      </c>
      <c r="AH340" s="4"/>
      <c r="AI340" s="1459" t="s">
        <v>591</v>
      </c>
      <c r="AJ340" s="1459"/>
      <c r="AK340" s="1459"/>
    </row>
    <row r="341" spans="2:66" ht="12.95" customHeight="1">
      <c r="B341" s="3" t="s">
        <v>89</v>
      </c>
      <c r="C341" s="3"/>
      <c r="D341" s="3"/>
      <c r="E341" s="3"/>
      <c r="F341" s="3"/>
      <c r="G341" s="3"/>
      <c r="H341" s="1415" t="s">
        <v>591</v>
      </c>
      <c r="I341" s="1415"/>
      <c r="J341" s="1415"/>
      <c r="K341" s="1415"/>
      <c r="L341" s="1415"/>
      <c r="M341" s="1415"/>
      <c r="N341" s="4"/>
      <c r="O341" s="4"/>
      <c r="P341" s="35"/>
      <c r="Q341" s="35"/>
      <c r="R341" s="35"/>
      <c r="S341" s="3"/>
      <c r="T341" s="3" t="s">
        <v>89</v>
      </c>
      <c r="V341" s="3"/>
      <c r="W341" s="3"/>
      <c r="X341" s="3"/>
      <c r="Y341" s="3"/>
      <c r="AA341" s="1415" t="s">
        <v>591</v>
      </c>
      <c r="AB341" s="1415"/>
      <c r="AC341" s="1415"/>
      <c r="AD341" s="1415"/>
      <c r="AE341" s="1415"/>
      <c r="AF341" s="1415"/>
      <c r="AG341" s="4"/>
      <c r="AH341" s="4"/>
      <c r="AI341" s="35"/>
      <c r="AJ341" s="35"/>
      <c r="AK341" s="35"/>
    </row>
    <row r="342" spans="2:66" ht="12.95" customHeight="1">
      <c r="B342" s="3" t="s">
        <v>76</v>
      </c>
      <c r="C342" s="3"/>
      <c r="D342" s="3"/>
      <c r="E342" s="3"/>
      <c r="F342" s="3"/>
      <c r="G342" s="3"/>
      <c r="H342" s="1419" t="s">
        <v>2675</v>
      </c>
      <c r="I342" s="1419"/>
      <c r="J342" s="1419"/>
      <c r="K342" s="1419"/>
      <c r="L342" s="1419"/>
      <c r="M342" s="1419"/>
      <c r="N342" s="1417"/>
      <c r="O342" s="1417"/>
      <c r="P342" s="1417"/>
      <c r="Q342" s="1417"/>
      <c r="R342" s="1417"/>
      <c r="S342" s="3"/>
      <c r="T342" s="3" t="s">
        <v>76</v>
      </c>
      <c r="V342" s="3"/>
      <c r="W342" s="3"/>
      <c r="X342" s="3"/>
      <c r="Y342" s="3"/>
      <c r="AA342" s="1419" t="s">
        <v>591</v>
      </c>
      <c r="AB342" s="1419"/>
      <c r="AC342" s="1419"/>
      <c r="AD342" s="1419"/>
      <c r="AE342" s="1419"/>
      <c r="AF342" s="1419"/>
      <c r="AG342" s="1417"/>
      <c r="AH342" s="1417"/>
      <c r="AI342" s="1417"/>
      <c r="AJ342" s="1417"/>
      <c r="AK342" s="1417"/>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17" t="s">
        <v>2761</v>
      </c>
      <c r="I344" s="1417"/>
      <c r="J344" s="1417"/>
      <c r="K344" s="1417"/>
      <c r="L344" s="1417"/>
      <c r="M344" s="1417"/>
      <c r="N344" s="1417"/>
      <c r="O344" s="1417"/>
      <c r="P344" s="1417"/>
      <c r="Q344" s="1417"/>
      <c r="R344" s="1417"/>
      <c r="T344" s="204" t="s">
        <v>886</v>
      </c>
      <c r="V344" s="3"/>
      <c r="W344" s="3"/>
      <c r="X344" s="3"/>
      <c r="Y344" s="3"/>
      <c r="AA344" s="1417" t="s">
        <v>2676</v>
      </c>
      <c r="AB344" s="1417"/>
      <c r="AC344" s="1417"/>
      <c r="AD344" s="1417"/>
      <c r="AE344" s="1417"/>
      <c r="AF344" s="1417"/>
      <c r="AG344" s="1417"/>
      <c r="AH344" s="1417"/>
      <c r="AI344" s="1417"/>
      <c r="AJ344" s="1417"/>
      <c r="AK344" s="1417"/>
    </row>
    <row r="345" spans="2:66" ht="12.95" customHeight="1">
      <c r="B345" s="3" t="s">
        <v>471</v>
      </c>
      <c r="C345" s="3"/>
      <c r="D345" s="3"/>
      <c r="E345" s="3"/>
      <c r="F345" s="3"/>
      <c r="H345" s="1419" t="s">
        <v>2762</v>
      </c>
      <c r="I345" s="1419"/>
      <c r="J345" s="1419"/>
      <c r="K345" s="1419"/>
      <c r="L345" s="1419"/>
      <c r="M345" s="1419"/>
      <c r="N345" s="1419"/>
      <c r="O345" s="1419"/>
      <c r="P345" s="1419"/>
      <c r="Q345" s="1419"/>
      <c r="R345" s="1419"/>
      <c r="T345" s="3" t="s">
        <v>471</v>
      </c>
      <c r="V345" s="3"/>
      <c r="W345" s="3"/>
      <c r="X345" s="3"/>
      <c r="Y345" s="3"/>
      <c r="AA345" s="1419" t="s">
        <v>2677</v>
      </c>
      <c r="AB345" s="1419"/>
      <c r="AC345" s="1419"/>
      <c r="AD345" s="1419"/>
      <c r="AE345" s="1419"/>
      <c r="AF345" s="1419"/>
      <c r="AG345" s="1419"/>
      <c r="AH345" s="1419"/>
      <c r="AI345" s="1419"/>
      <c r="AJ345" s="1419"/>
      <c r="AK345" s="1419"/>
    </row>
    <row r="346" spans="2:66" ht="12.95" customHeight="1">
      <c r="B346" s="3" t="s">
        <v>75</v>
      </c>
      <c r="C346" s="3"/>
      <c r="D346" s="3"/>
      <c r="E346" s="3"/>
      <c r="F346" s="3"/>
      <c r="H346" s="1419" t="s">
        <v>2763</v>
      </c>
      <c r="I346" s="1419"/>
      <c r="J346" s="1419"/>
      <c r="K346" s="1419"/>
      <c r="L346" s="1419"/>
      <c r="M346" s="1419"/>
      <c r="N346" s="1419"/>
      <c r="O346" s="1419"/>
      <c r="P346" s="1419"/>
      <c r="Q346" s="1419"/>
      <c r="R346" s="1419"/>
      <c r="T346" s="3" t="s">
        <v>75</v>
      </c>
      <c r="V346" s="3"/>
      <c r="W346" s="3"/>
      <c r="X346" s="3"/>
      <c r="Y346" s="3"/>
      <c r="AA346" s="1419" t="s">
        <v>2678</v>
      </c>
      <c r="AB346" s="1419"/>
      <c r="AC346" s="1419"/>
      <c r="AD346" s="1419"/>
      <c r="AE346" s="1419"/>
      <c r="AF346" s="1419"/>
      <c r="AG346" s="1419"/>
      <c r="AH346" s="1419"/>
      <c r="AI346" s="1419"/>
      <c r="AJ346" s="1419"/>
      <c r="AK346" s="1419"/>
    </row>
    <row r="347" spans="2:66" ht="12.95" customHeight="1">
      <c r="B347" s="3" t="s">
        <v>87</v>
      </c>
      <c r="C347" s="3"/>
      <c r="D347" s="3"/>
      <c r="E347" s="3"/>
      <c r="F347" s="3"/>
      <c r="G347" s="3"/>
      <c r="H347" s="1419" t="s">
        <v>2764</v>
      </c>
      <c r="I347" s="1419"/>
      <c r="J347" s="1419"/>
      <c r="K347" s="1419"/>
      <c r="L347" s="1419"/>
      <c r="M347" s="1419"/>
      <c r="N347" s="1419"/>
      <c r="O347" s="1419"/>
      <c r="P347" s="1419"/>
      <c r="Q347" s="1419"/>
      <c r="R347" s="1419"/>
      <c r="T347" s="3" t="s">
        <v>87</v>
      </c>
      <c r="V347" s="3"/>
      <c r="W347" s="3"/>
      <c r="X347" s="3"/>
      <c r="Y347" s="3"/>
      <c r="AA347" s="1419" t="s">
        <v>2679</v>
      </c>
      <c r="AB347" s="1419"/>
      <c r="AC347" s="1419"/>
      <c r="AD347" s="1419"/>
      <c r="AE347" s="1419"/>
      <c r="AF347" s="1419"/>
      <c r="AG347" s="1419"/>
      <c r="AH347" s="1419"/>
      <c r="AI347" s="1419"/>
      <c r="AJ347" s="1419"/>
      <c r="AK347" s="1419"/>
    </row>
    <row r="348" spans="2:66" ht="12.95" customHeight="1">
      <c r="B348" s="3" t="s">
        <v>88</v>
      </c>
      <c r="C348" s="3"/>
      <c r="D348" s="3"/>
      <c r="E348" s="3"/>
      <c r="F348" s="3"/>
      <c r="G348" s="3"/>
      <c r="H348" s="1685" t="s">
        <v>2765</v>
      </c>
      <c r="I348" s="1685"/>
      <c r="J348" s="1685"/>
      <c r="K348" s="1685"/>
      <c r="L348" s="1685"/>
      <c r="M348" s="1685"/>
      <c r="N348" s="4" t="s">
        <v>206</v>
      </c>
      <c r="O348" s="4"/>
      <c r="P348" s="1459" t="s">
        <v>591</v>
      </c>
      <c r="Q348" s="1459"/>
      <c r="R348" s="1459"/>
      <c r="S348" s="3"/>
      <c r="T348" s="3" t="s">
        <v>88</v>
      </c>
      <c r="V348" s="3"/>
      <c r="W348" s="3"/>
      <c r="X348" s="3"/>
      <c r="Y348" s="3"/>
      <c r="AA348" s="1404">
        <v>9498734200</v>
      </c>
      <c r="AB348" s="1404"/>
      <c r="AC348" s="1404"/>
      <c r="AD348" s="1404"/>
      <c r="AE348" s="1404"/>
      <c r="AF348" s="1404"/>
      <c r="AG348" s="4" t="s">
        <v>206</v>
      </c>
      <c r="AH348" s="4"/>
      <c r="AI348" s="1459" t="s">
        <v>591</v>
      </c>
      <c r="AJ348" s="1459"/>
      <c r="AK348" s="1459"/>
    </row>
    <row r="349" spans="2:66" ht="12.95" customHeight="1">
      <c r="B349" s="3" t="s">
        <v>89</v>
      </c>
      <c r="C349" s="3"/>
      <c r="D349" s="3"/>
      <c r="E349" s="3"/>
      <c r="F349" s="3"/>
      <c r="G349" s="3"/>
      <c r="H349" s="1415" t="s">
        <v>591</v>
      </c>
      <c r="I349" s="1415"/>
      <c r="J349" s="1415"/>
      <c r="K349" s="1415"/>
      <c r="L349" s="1415"/>
      <c r="M349" s="1415"/>
      <c r="N349" s="4"/>
      <c r="O349" s="4"/>
      <c r="P349" s="35"/>
      <c r="Q349" s="35"/>
      <c r="R349" s="35"/>
      <c r="S349" s="3"/>
      <c r="T349" s="3" t="s">
        <v>89</v>
      </c>
      <c r="V349" s="3"/>
      <c r="W349" s="3"/>
      <c r="X349" s="3"/>
      <c r="Y349" s="3"/>
      <c r="AA349" s="1415" t="s">
        <v>591</v>
      </c>
      <c r="AB349" s="1415"/>
      <c r="AC349" s="1415"/>
      <c r="AD349" s="1415"/>
      <c r="AE349" s="1415"/>
      <c r="AF349" s="1415"/>
      <c r="AG349" s="4"/>
      <c r="AH349" s="4"/>
      <c r="AI349" s="35"/>
      <c r="AJ349" s="35"/>
      <c r="AK349" s="35"/>
    </row>
    <row r="350" spans="2:66" ht="12.95" customHeight="1">
      <c r="B350" s="3" t="s">
        <v>76</v>
      </c>
      <c r="C350" s="3"/>
      <c r="D350" s="3"/>
      <c r="E350" s="3"/>
      <c r="F350" s="3"/>
      <c r="G350" s="3"/>
      <c r="H350" s="1419" t="s">
        <v>2766</v>
      </c>
      <c r="I350" s="1419"/>
      <c r="J350" s="1419"/>
      <c r="K350" s="1419"/>
      <c r="L350" s="1419"/>
      <c r="M350" s="1419"/>
      <c r="N350" s="1417"/>
      <c r="O350" s="1417"/>
      <c r="P350" s="1417"/>
      <c r="Q350" s="1417"/>
      <c r="R350" s="1417"/>
      <c r="S350" s="3"/>
      <c r="T350" s="3" t="s">
        <v>76</v>
      </c>
      <c r="V350" s="3"/>
      <c r="W350" s="3"/>
      <c r="X350" s="3"/>
      <c r="Y350" s="3"/>
      <c r="AA350" s="1419" t="s">
        <v>2680</v>
      </c>
      <c r="AB350" s="1419"/>
      <c r="AC350" s="1419"/>
      <c r="AD350" s="1419"/>
      <c r="AE350" s="1419"/>
      <c r="AF350" s="1419"/>
      <c r="AG350" s="1417"/>
      <c r="AH350" s="1417"/>
      <c r="AI350" s="1417"/>
      <c r="AJ350" s="1417"/>
      <c r="AK350" s="1417"/>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17" t="s">
        <v>591</v>
      </c>
      <c r="Q352" s="1417"/>
      <c r="R352" s="1417"/>
      <c r="S352" s="1417"/>
      <c r="T352" s="1417"/>
      <c r="U352" s="1417"/>
      <c r="V352" s="1417"/>
      <c r="W352" s="1417"/>
      <c r="X352" s="1417"/>
      <c r="Y352" s="1417"/>
      <c r="Z352" s="1417"/>
      <c r="AA352" s="1417"/>
      <c r="AB352" s="1417"/>
      <c r="AC352" s="1417"/>
      <c r="AD352" s="1417"/>
      <c r="AE352" s="1417"/>
      <c r="BN352" t="s">
        <v>669</v>
      </c>
    </row>
    <row r="353" spans="1:66" ht="12.95" customHeight="1">
      <c r="B353" s="4"/>
      <c r="C353" s="4"/>
      <c r="D353" s="4"/>
      <c r="E353" s="4"/>
      <c r="F353" s="4"/>
      <c r="I353" s="4" t="s">
        <v>471</v>
      </c>
      <c r="P353" s="1419" t="s">
        <v>591</v>
      </c>
      <c r="Q353" s="1419"/>
      <c r="R353" s="1419"/>
      <c r="S353" s="1419"/>
      <c r="T353" s="1419"/>
      <c r="U353" s="1419"/>
      <c r="V353" s="1419"/>
      <c r="W353" s="1419"/>
      <c r="X353" s="1419"/>
      <c r="Y353" s="1419"/>
      <c r="Z353" s="1419"/>
      <c r="AA353" s="1419"/>
      <c r="AB353" s="1419"/>
      <c r="AC353" s="1419"/>
      <c r="AD353" s="1419"/>
      <c r="AE353" s="1419"/>
      <c r="BN353" t="s">
        <v>545</v>
      </c>
    </row>
    <row r="354" spans="1:66" ht="12.95" customHeight="1">
      <c r="B354" s="4"/>
      <c r="C354" s="4"/>
      <c r="D354" s="4"/>
      <c r="E354" s="4"/>
      <c r="F354" s="4"/>
      <c r="I354" s="4" t="s">
        <v>75</v>
      </c>
      <c r="P354" s="1419" t="s">
        <v>591</v>
      </c>
      <c r="Q354" s="1419"/>
      <c r="R354" s="1419"/>
      <c r="S354" s="1419"/>
      <c r="T354" s="1419"/>
      <c r="U354" s="1419"/>
      <c r="V354" s="1419"/>
      <c r="W354" s="1419"/>
      <c r="X354" s="1419"/>
      <c r="Y354" s="1419"/>
      <c r="Z354" s="1419"/>
      <c r="AA354" s="1419"/>
      <c r="AB354" s="1419"/>
      <c r="AC354" s="1419"/>
      <c r="AD354" s="1419"/>
      <c r="AE354" s="1419"/>
    </row>
    <row r="355" spans="1:66" ht="12.95" customHeight="1">
      <c r="B355" s="4"/>
      <c r="C355" s="4"/>
      <c r="D355" s="4"/>
      <c r="E355" s="4"/>
      <c r="F355" s="4"/>
      <c r="G355" s="4"/>
      <c r="I355" s="4" t="s">
        <v>87</v>
      </c>
      <c r="P355" s="1419" t="s">
        <v>591</v>
      </c>
      <c r="Q355" s="1419"/>
      <c r="R355" s="1419"/>
      <c r="S355" s="1419"/>
      <c r="T355" s="1419"/>
      <c r="U355" s="1419"/>
      <c r="V355" s="1419"/>
      <c r="W355" s="1419"/>
      <c r="X355" s="1419"/>
      <c r="Y355" s="1419"/>
      <c r="Z355" s="1419"/>
      <c r="AA355" s="1419"/>
      <c r="AB355" s="1419"/>
      <c r="AC355" s="1419"/>
      <c r="AD355" s="1419"/>
      <c r="AE355" s="1419"/>
    </row>
    <row r="356" spans="1:66" ht="12.95" customHeight="1">
      <c r="B356" s="4"/>
      <c r="C356" s="4"/>
      <c r="D356" s="4"/>
      <c r="E356" s="4"/>
      <c r="F356" s="4"/>
      <c r="G356" s="4"/>
      <c r="H356" s="302"/>
      <c r="I356" s="4" t="s">
        <v>88</v>
      </c>
      <c r="P356" s="1415" t="s">
        <v>591</v>
      </c>
      <c r="Q356" s="1415"/>
      <c r="R356" s="1415"/>
      <c r="S356" s="1415"/>
      <c r="T356" s="1415"/>
      <c r="U356" s="1415"/>
      <c r="V356" s="1415"/>
      <c r="W356" s="1415"/>
      <c r="X356" s="1415"/>
      <c r="Y356" s="1415"/>
      <c r="Z356" s="1415"/>
      <c r="AA356" s="4" t="s">
        <v>206</v>
      </c>
      <c r="AB356" s="4"/>
      <c r="AC356" s="1418" t="s">
        <v>591</v>
      </c>
      <c r="AD356" s="1418"/>
      <c r="AE356" s="1418"/>
      <c r="AF356" s="302"/>
      <c r="AG356" s="4"/>
      <c r="AH356" s="4"/>
      <c r="AI356" s="4"/>
      <c r="AJ356" s="4"/>
      <c r="AK356" s="4"/>
    </row>
    <row r="357" spans="1:66" ht="12.95" customHeight="1">
      <c r="B357" s="4"/>
      <c r="C357" s="4"/>
      <c r="D357" s="4"/>
      <c r="E357" s="4"/>
      <c r="F357" s="4"/>
      <c r="G357" s="4"/>
      <c r="H357" s="302"/>
      <c r="I357" s="4" t="s">
        <v>89</v>
      </c>
      <c r="P357" s="1415" t="s">
        <v>591</v>
      </c>
      <c r="Q357" s="1415"/>
      <c r="R357" s="1415"/>
      <c r="S357" s="1415"/>
      <c r="T357" s="1415"/>
      <c r="U357" s="1415"/>
      <c r="V357" s="1415"/>
      <c r="W357" s="1415"/>
      <c r="X357" s="1415"/>
      <c r="Y357" s="1415"/>
      <c r="Z357" s="1415"/>
      <c r="AF357" s="302"/>
      <c r="AG357" s="4"/>
      <c r="AH357" s="4"/>
      <c r="AI357" s="35"/>
      <c r="AJ357" s="35"/>
      <c r="AK357" s="35"/>
    </row>
    <row r="358" spans="1:66" ht="12.95" customHeight="1">
      <c r="B358" s="4"/>
      <c r="C358" s="4"/>
      <c r="D358" s="4"/>
      <c r="E358" s="4"/>
      <c r="F358" s="4"/>
      <c r="G358" s="4"/>
      <c r="I358" s="4" t="s">
        <v>76</v>
      </c>
      <c r="P358" s="1417" t="s">
        <v>591</v>
      </c>
      <c r="Q358" s="1417"/>
      <c r="R358" s="1417"/>
      <c r="S358" s="1417"/>
      <c r="T358" s="1417"/>
      <c r="U358" s="1417"/>
      <c r="V358" s="1417"/>
      <c r="W358" s="1417"/>
      <c r="X358" s="1417"/>
      <c r="Y358" s="1417"/>
      <c r="Z358" s="1417"/>
      <c r="AA358" s="1417"/>
      <c r="AB358" s="1417"/>
      <c r="AC358" s="1417"/>
      <c r="AD358" s="1417"/>
      <c r="AE358" s="1417"/>
    </row>
    <row r="359" spans="1:66" ht="12.95" customHeight="1">
      <c r="T359" s="8"/>
      <c r="U359" s="8"/>
      <c r="V359" s="8"/>
      <c r="W359" s="8"/>
      <c r="X359" s="8"/>
      <c r="Y359" s="8"/>
      <c r="Z359" s="8"/>
      <c r="AU359" s="95"/>
      <c r="AV359" s="95"/>
      <c r="AW359" s="95"/>
      <c r="AX359" s="95"/>
      <c r="AY359" s="95"/>
    </row>
    <row r="360" spans="1:66" ht="12.95" customHeight="1">
      <c r="A360" s="1380" t="s">
        <v>542</v>
      </c>
      <c r="B360" s="1380"/>
      <c r="C360" s="1380"/>
      <c r="D360" s="1380"/>
      <c r="E360" s="1380"/>
      <c r="F360" s="1380"/>
      <c r="G360" s="1380"/>
      <c r="H360" s="1380"/>
      <c r="I360" s="1380"/>
      <c r="J360" s="1380"/>
      <c r="K360" s="1380"/>
      <c r="L360" s="1380"/>
      <c r="M360" s="1380"/>
      <c r="N360" s="1380"/>
      <c r="O360" s="1380"/>
      <c r="P360" s="1380"/>
      <c r="Q360" s="1380"/>
      <c r="R360" s="1380"/>
      <c r="S360" s="1380"/>
      <c r="T360" s="1380"/>
      <c r="U360" s="1380"/>
      <c r="V360" s="1380"/>
      <c r="W360" s="1380"/>
      <c r="X360" s="1380"/>
      <c r="Y360" s="1380"/>
      <c r="Z360" s="1380"/>
      <c r="AA360" s="1380"/>
      <c r="AB360" s="1380"/>
      <c r="AC360" s="1380"/>
      <c r="AD360" s="1380"/>
      <c r="AE360" s="1380"/>
      <c r="AF360" s="1380"/>
      <c r="AG360" s="1380"/>
      <c r="AH360" s="1380"/>
      <c r="AI360" s="1380"/>
      <c r="AJ360" s="1380"/>
      <c r="AK360" s="1380"/>
      <c r="AL360" s="1380"/>
      <c r="AM360" s="1380"/>
      <c r="AN360" s="1380"/>
      <c r="AO360" s="1380"/>
      <c r="AP360" s="1380"/>
      <c r="AQ360" s="1380"/>
      <c r="AR360" s="1380"/>
      <c r="AS360" s="1380"/>
      <c r="AT360" s="1380"/>
      <c r="AU360" s="95"/>
      <c r="AV360" s="95"/>
      <c r="AW360" s="95"/>
      <c r="AX360" s="95"/>
      <c r="AY360" s="95"/>
    </row>
    <row r="361" spans="1:66" ht="12.95" customHeight="1">
      <c r="A361" s="1380"/>
      <c r="B361" s="1380"/>
      <c r="C361" s="1380"/>
      <c r="D361" s="1380"/>
      <c r="E361" s="1380"/>
      <c r="F361" s="1380"/>
      <c r="G361" s="1380"/>
      <c r="H361" s="1380"/>
      <c r="I361" s="1380"/>
      <c r="J361" s="1380"/>
      <c r="K361" s="1380"/>
      <c r="L361" s="1380"/>
      <c r="M361" s="1380"/>
      <c r="N361" s="1380"/>
      <c r="O361" s="1380"/>
      <c r="P361" s="1380"/>
      <c r="Q361" s="1380"/>
      <c r="R361" s="1380"/>
      <c r="S361" s="1380"/>
      <c r="T361" s="1380"/>
      <c r="U361" s="1380"/>
      <c r="V361" s="1380"/>
      <c r="W361" s="1380"/>
      <c r="X361" s="1380"/>
      <c r="Y361" s="1380"/>
      <c r="Z361" s="1380"/>
      <c r="AA361" s="1380"/>
      <c r="AB361" s="1380"/>
      <c r="AC361" s="1380"/>
      <c r="AD361" s="1380"/>
      <c r="AE361" s="1380"/>
      <c r="AF361" s="1380"/>
      <c r="AG361" s="1380"/>
      <c r="AH361" s="1380"/>
      <c r="AI361" s="1380"/>
      <c r="AJ361" s="1380"/>
      <c r="AK361" s="1380"/>
      <c r="AL361" s="1380"/>
      <c r="AM361" s="1380"/>
      <c r="AN361" s="1380"/>
      <c r="AO361" s="1380"/>
      <c r="AP361" s="1380"/>
      <c r="AQ361" s="1380"/>
      <c r="AR361" s="1380"/>
      <c r="AS361" s="1380"/>
      <c r="AT361" s="1380"/>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266" t="s">
        <v>545</v>
      </c>
      <c r="N364" s="1266"/>
      <c r="P364" t="s">
        <v>1639</v>
      </c>
      <c r="AJ364" s="1266" t="s">
        <v>591</v>
      </c>
      <c r="AK364" s="1266"/>
    </row>
    <row r="365" spans="1:66" ht="12.95" customHeight="1">
      <c r="D365" s="3" t="s">
        <v>1628</v>
      </c>
      <c r="M365" s="1266" t="s">
        <v>591</v>
      </c>
      <c r="N365" s="1266"/>
      <c r="P365" s="3" t="s">
        <v>1708</v>
      </c>
      <c r="AJ365" s="1433"/>
      <c r="AK365" s="1433"/>
    </row>
    <row r="366" spans="1:66" ht="12.95" customHeight="1">
      <c r="D366" s="3" t="s">
        <v>704</v>
      </c>
      <c r="M366" s="1266" t="s">
        <v>591</v>
      </c>
      <c r="N366" s="1266"/>
      <c r="P366" t="s">
        <v>1638</v>
      </c>
      <c r="AJ366" s="1266" t="s">
        <v>591</v>
      </c>
      <c r="AK366" s="1266"/>
    </row>
    <row r="367" spans="1:66" ht="12.95" customHeight="1">
      <c r="D367" s="3" t="s">
        <v>705</v>
      </c>
      <c r="M367" s="1266" t="s">
        <v>591</v>
      </c>
      <c r="N367" s="1266"/>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266" t="s">
        <v>591</v>
      </c>
      <c r="O372" s="1266"/>
      <c r="P372" s="40"/>
      <c r="Q372" s="40"/>
      <c r="R372" s="40"/>
      <c r="S372" s="40"/>
      <c r="T372" s="40"/>
      <c r="U372" s="40"/>
      <c r="V372" s="40"/>
      <c r="W372" s="40"/>
      <c r="X372" s="40"/>
      <c r="Y372" s="40"/>
      <c r="Z372" s="40"/>
      <c r="AC372" s="40"/>
      <c r="AD372" s="40"/>
      <c r="AE372" s="40"/>
    </row>
    <row r="373" spans="1:34" ht="12.95" customHeight="1">
      <c r="E373" t="s">
        <v>370</v>
      </c>
      <c r="Y373" s="1266" t="s">
        <v>591</v>
      </c>
      <c r="Z373" s="1266"/>
    </row>
    <row r="374" spans="1:34" ht="12.95" customHeight="1">
      <c r="D374" s="4" t="s">
        <v>978</v>
      </c>
      <c r="Q374" s="1417" t="s">
        <v>591</v>
      </c>
      <c r="R374" s="1417"/>
      <c r="S374" s="1417"/>
      <c r="T374" s="1417"/>
      <c r="U374" s="1417"/>
      <c r="V374" s="1417"/>
      <c r="W374" s="1417"/>
      <c r="X374" s="1417"/>
      <c r="Y374" s="1417"/>
      <c r="Z374" s="1417"/>
      <c r="AA374" s="1417"/>
      <c r="AB374" s="1417"/>
      <c r="AC374" s="1417"/>
      <c r="AD374" s="1417"/>
      <c r="AE374" s="1417"/>
      <c r="AF374" s="1417"/>
      <c r="AG374" s="1417"/>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266" t="s">
        <v>591</v>
      </c>
      <c r="K376" s="1266"/>
      <c r="L376" s="40"/>
      <c r="M376" s="40"/>
      <c r="N376" s="40"/>
      <c r="O376" s="40"/>
      <c r="P376" s="40"/>
      <c r="Q376" s="40"/>
      <c r="R376" s="40"/>
      <c r="S376" s="40"/>
      <c r="T376" s="40"/>
      <c r="U376" s="40"/>
      <c r="V376" s="40"/>
      <c r="W376" s="40"/>
      <c r="X376" s="40"/>
      <c r="Y376" s="40"/>
      <c r="Z376" s="40"/>
      <c r="AC376" s="40"/>
      <c r="AD376" s="40"/>
      <c r="AE376" s="40"/>
    </row>
    <row r="377" spans="1:34" ht="12.95" customHeight="1">
      <c r="E377" s="1457" t="s">
        <v>706</v>
      </c>
      <c r="F377" s="1457"/>
      <c r="G377" s="1457"/>
      <c r="H377" s="1457"/>
      <c r="I377" s="1457"/>
      <c r="J377" s="1457"/>
      <c r="K377" s="1457"/>
      <c r="L377" s="1457"/>
      <c r="M377" s="1457"/>
      <c r="N377" s="1457"/>
      <c r="O377" s="1457"/>
      <c r="P377" s="1457"/>
      <c r="Q377" s="1457"/>
      <c r="R377" s="1457"/>
      <c r="S377" s="1457"/>
      <c r="T377" s="1457"/>
      <c r="U377" s="1457"/>
      <c r="V377" s="1457"/>
      <c r="W377" s="1457"/>
      <c r="X377" s="1457"/>
      <c r="Y377" s="1457"/>
      <c r="Z377" s="1457"/>
      <c r="AA377" s="1457"/>
      <c r="AB377" s="1457"/>
      <c r="AC377" s="1457"/>
      <c r="AD377" s="1457"/>
      <c r="AE377" s="1457"/>
      <c r="AF377" s="1457"/>
      <c r="AG377" s="1457"/>
      <c r="AH377" s="1457"/>
    </row>
    <row r="378" spans="1:34" ht="12.95" customHeight="1">
      <c r="E378" s="1457"/>
      <c r="F378" s="1457"/>
      <c r="G378" s="1457"/>
      <c r="H378" s="1457"/>
      <c r="I378" s="1457"/>
      <c r="J378" s="1457"/>
      <c r="K378" s="1457"/>
      <c r="L378" s="1457"/>
      <c r="M378" s="1457"/>
      <c r="N378" s="1457"/>
      <c r="O378" s="1457"/>
      <c r="P378" s="1457"/>
      <c r="Q378" s="1457"/>
      <c r="R378" s="1457"/>
      <c r="S378" s="1457"/>
      <c r="T378" s="1457"/>
      <c r="U378" s="1457"/>
      <c r="V378" s="1457"/>
      <c r="W378" s="1457"/>
      <c r="X378" s="1457"/>
      <c r="Y378" s="1457"/>
      <c r="Z378" s="1457"/>
      <c r="AA378" s="1457"/>
      <c r="AB378" s="1457"/>
      <c r="AC378" s="1457"/>
      <c r="AD378" s="1457"/>
      <c r="AE378" s="1457"/>
      <c r="AF378" s="1457"/>
      <c r="AG378" s="1457"/>
      <c r="AH378" s="1457"/>
    </row>
    <row r="379" spans="1:34" ht="12.95" customHeight="1">
      <c r="E379" s="4" t="s">
        <v>448</v>
      </c>
      <c r="F379" s="4"/>
      <c r="G379" s="4"/>
      <c r="H379" s="4"/>
      <c r="I379" s="4"/>
      <c r="J379" s="4"/>
      <c r="K379" s="4"/>
      <c r="L379" s="4"/>
      <c r="N379" s="1409" t="s">
        <v>591</v>
      </c>
      <c r="O379" s="1409"/>
      <c r="P379" s="1409"/>
      <c r="Q379" s="1409"/>
      <c r="R379" s="4"/>
      <c r="U379" s="4" t="s">
        <v>449</v>
      </c>
      <c r="V379" s="4"/>
      <c r="W379" s="4"/>
      <c r="X379" s="4"/>
      <c r="Y379" s="4"/>
      <c r="Z379" s="4"/>
      <c r="AA379" s="4"/>
      <c r="AB379" s="4"/>
      <c r="AC379" s="1409" t="s">
        <v>591</v>
      </c>
      <c r="AD379" s="1409"/>
      <c r="AE379" s="1409"/>
      <c r="AF379" s="1409"/>
    </row>
    <row r="380" spans="1:34" ht="12.95" customHeight="1">
      <c r="E380" s="4" t="s">
        <v>450</v>
      </c>
      <c r="F380" s="4"/>
      <c r="G380" s="4"/>
      <c r="H380" s="4"/>
      <c r="I380" s="4"/>
      <c r="J380" s="4"/>
      <c r="K380" s="4"/>
      <c r="L380" s="4"/>
      <c r="N380" s="1409" t="s">
        <v>591</v>
      </c>
      <c r="O380" s="1409"/>
      <c r="P380" s="1409"/>
      <c r="Q380" s="1409"/>
      <c r="R380" s="4"/>
      <c r="U380" s="4" t="s">
        <v>0</v>
      </c>
      <c r="V380" s="4"/>
      <c r="W380" s="4"/>
      <c r="X380" s="4"/>
      <c r="Y380" s="4"/>
      <c r="Z380" s="4"/>
      <c r="AA380" s="4"/>
      <c r="AB380" s="4"/>
      <c r="AC380" s="1409" t="s">
        <v>591</v>
      </c>
      <c r="AD380" s="1409"/>
      <c r="AE380" s="1409"/>
      <c r="AF380" s="1409"/>
    </row>
    <row r="381" spans="1:34" ht="12.95" customHeight="1">
      <c r="E381" s="4" t="s">
        <v>1</v>
      </c>
      <c r="F381" s="4"/>
      <c r="G381" s="4"/>
      <c r="H381" s="4"/>
      <c r="I381" s="4"/>
      <c r="J381" s="4"/>
      <c r="K381" s="4"/>
      <c r="L381" s="4"/>
      <c r="N381" s="1409" t="s">
        <v>591</v>
      </c>
      <c r="O381" s="1409"/>
      <c r="P381" s="1409"/>
      <c r="Q381" s="1409"/>
      <c r="R381" s="4"/>
      <c r="V381" s="4"/>
      <c r="W381" s="4"/>
      <c r="X381" s="4"/>
      <c r="Y381" s="4"/>
      <c r="Z381" s="4"/>
      <c r="AA381" s="4"/>
      <c r="AB381" s="4"/>
    </row>
    <row r="382" spans="1:34" ht="12.95" customHeight="1">
      <c r="E382" s="4" t="s">
        <v>2</v>
      </c>
      <c r="F382" s="4"/>
      <c r="G382" s="4"/>
      <c r="H382" s="4"/>
      <c r="I382" s="4"/>
      <c r="J382" s="4"/>
      <c r="K382" s="4"/>
      <c r="L382" s="4"/>
      <c r="N382" s="1719" t="s">
        <v>591</v>
      </c>
      <c r="O382" s="1719"/>
      <c r="P382" s="1719"/>
      <c r="Q382" s="1719"/>
      <c r="R382" s="1719"/>
      <c r="S382" s="1719"/>
      <c r="T382" s="1719"/>
      <c r="U382" s="1719"/>
      <c r="V382" s="1719"/>
      <c r="W382" s="1719"/>
      <c r="X382" s="1719"/>
      <c r="Y382" s="1719"/>
      <c r="Z382" s="1719"/>
      <c r="AA382" s="1719"/>
      <c r="AB382" s="1719"/>
      <c r="AC382" s="1719"/>
      <c r="AD382" s="1719"/>
      <c r="AE382" s="1719"/>
      <c r="AF382" s="1719"/>
    </row>
    <row r="383" spans="1:34" ht="12.95" customHeight="1">
      <c r="E383" s="4"/>
      <c r="F383" s="4"/>
      <c r="G383" s="4"/>
      <c r="H383" s="4"/>
      <c r="I383" s="4"/>
      <c r="J383" s="4"/>
      <c r="K383" s="4"/>
      <c r="L383" s="4"/>
      <c r="N383" s="1720"/>
      <c r="O383" s="1720"/>
      <c r="P383" s="1720"/>
      <c r="Q383" s="1720"/>
      <c r="R383" s="1720"/>
      <c r="S383" s="1720"/>
      <c r="T383" s="1720"/>
      <c r="U383" s="1720"/>
      <c r="V383" s="1720"/>
      <c r="W383" s="1720"/>
      <c r="X383" s="1720"/>
      <c r="Y383" s="1720"/>
      <c r="Z383" s="1720"/>
      <c r="AA383" s="1720"/>
      <c r="AB383" s="1720"/>
      <c r="AC383" s="1720"/>
      <c r="AD383" s="1720"/>
      <c r="AE383" s="1720"/>
      <c r="AF383" s="1720"/>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680"/>
      <c r="T386" s="1680"/>
      <c r="U386" s="1" t="s">
        <v>306</v>
      </c>
      <c r="V386" s="1680"/>
      <c r="W386" s="1680"/>
      <c r="Y386" t="s">
        <v>2035</v>
      </c>
      <c r="AC386" s="27" t="s">
        <v>305</v>
      </c>
      <c r="AD386" s="1680"/>
      <c r="AE386" s="1680"/>
      <c r="AF386" s="1" t="s">
        <v>306</v>
      </c>
      <c r="AG386" s="1680"/>
      <c r="AH386" s="1680"/>
    </row>
    <row r="387" spans="1:36" ht="12.95" customHeight="1">
      <c r="E387" s="4" t="s">
        <v>987</v>
      </c>
      <c r="F387" s="4"/>
      <c r="G387" s="4"/>
      <c r="H387" s="4"/>
      <c r="I387" s="4"/>
      <c r="J387" s="4"/>
      <c r="K387" s="4"/>
      <c r="L387" s="4"/>
      <c r="N387" s="1680" t="s">
        <v>591</v>
      </c>
      <c r="O387" s="1680"/>
      <c r="P387" s="1680"/>
    </row>
    <row r="388" spans="1:36" ht="12.95" customHeight="1">
      <c r="E388" s="204" t="s">
        <v>2040</v>
      </c>
      <c r="F388" s="4"/>
      <c r="G388" s="4"/>
      <c r="H388" s="4"/>
      <c r="I388" s="4"/>
      <c r="J388" s="4"/>
      <c r="K388" s="4"/>
      <c r="L388" s="4"/>
      <c r="AG388" s="1697" t="s">
        <v>591</v>
      </c>
      <c r="AH388" s="1697"/>
    </row>
    <row r="389" spans="1:36" ht="12.95" customHeight="1">
      <c r="E389" s="4"/>
      <c r="F389" s="4"/>
      <c r="G389" s="4" t="s">
        <v>2041</v>
      </c>
      <c r="H389" s="4"/>
      <c r="I389" s="4"/>
      <c r="J389" s="4"/>
      <c r="K389" s="4"/>
      <c r="L389" s="4"/>
      <c r="AG389" s="1697" t="s">
        <v>591</v>
      </c>
      <c r="AH389" s="1697"/>
    </row>
    <row r="390" spans="1:36" ht="12.95" customHeight="1">
      <c r="E390" s="4"/>
      <c r="F390" s="4"/>
      <c r="G390" s="320" t="s">
        <v>988</v>
      </c>
      <c r="H390" s="4"/>
      <c r="I390" s="4"/>
      <c r="J390" s="4"/>
      <c r="K390" s="4"/>
      <c r="L390" s="4"/>
      <c r="V390" s="1266" t="s">
        <v>591</v>
      </c>
      <c r="W390" s="1266"/>
      <c r="Y390" s="22" t="s">
        <v>980</v>
      </c>
    </row>
    <row r="391" spans="1:36" ht="12.95" customHeight="1">
      <c r="E391" s="4" t="s">
        <v>981</v>
      </c>
      <c r="F391" s="4"/>
      <c r="G391" s="4"/>
      <c r="H391" s="4"/>
      <c r="I391" s="4"/>
      <c r="J391" s="4"/>
      <c r="K391" s="4"/>
      <c r="L391" s="4"/>
      <c r="V391" s="1266" t="s">
        <v>591</v>
      </c>
      <c r="W391" s="1266"/>
      <c r="Y391" s="4" t="s">
        <v>982</v>
      </c>
    </row>
    <row r="392" spans="1:36" ht="12.95" customHeight="1"/>
    <row r="393" spans="1:36" ht="12.95" customHeight="1">
      <c r="A393" s="2" t="s">
        <v>78</v>
      </c>
      <c r="B393" s="2"/>
    </row>
    <row r="394" spans="1:36" ht="12.95" customHeight="1">
      <c r="D394" t="s">
        <v>428</v>
      </c>
      <c r="J394" s="1417" t="s">
        <v>591</v>
      </c>
      <c r="K394" s="1417"/>
      <c r="L394" s="1417"/>
      <c r="M394" s="1417"/>
      <c r="N394" s="1417"/>
      <c r="O394" s="1417"/>
      <c r="P394" s="1417"/>
      <c r="Q394" s="1417"/>
      <c r="R394" s="1417"/>
      <c r="S394" s="1417"/>
      <c r="T394" s="1417"/>
      <c r="U394" s="1417"/>
      <c r="V394" s="8" t="s">
        <v>83</v>
      </c>
      <c r="W394" s="8"/>
      <c r="X394" s="8"/>
      <c r="Y394" s="8"/>
      <c r="Z394" s="8"/>
      <c r="AA394" s="8"/>
      <c r="AB394" s="8"/>
      <c r="AC394" s="1417" t="s">
        <v>591</v>
      </c>
      <c r="AD394" s="1417"/>
      <c r="AE394" s="1417"/>
      <c r="AF394" s="1417"/>
      <c r="AG394" s="1417"/>
      <c r="AH394" s="1417"/>
      <c r="AI394" s="1417"/>
      <c r="AJ394" s="1417"/>
    </row>
    <row r="395" spans="1:36" ht="12.95" customHeight="1">
      <c r="D395" s="3" t="s">
        <v>1182</v>
      </c>
      <c r="J395" s="1419" t="s">
        <v>591</v>
      </c>
      <c r="K395" s="1419"/>
      <c r="L395" s="1419"/>
      <c r="M395" s="1419"/>
      <c r="N395" s="1419"/>
      <c r="O395" s="1419"/>
      <c r="P395" s="1419"/>
      <c r="Q395" s="1419"/>
      <c r="R395" s="1419"/>
      <c r="S395" s="1419"/>
      <c r="T395" s="1419"/>
      <c r="U395" s="1419"/>
      <c r="V395" s="3" t="s">
        <v>1182</v>
      </c>
      <c r="W395" s="8"/>
      <c r="X395" s="8"/>
      <c r="Y395" s="8"/>
      <c r="Z395" s="8"/>
      <c r="AA395" s="8"/>
      <c r="AB395" s="8"/>
      <c r="AC395" s="1417" t="s">
        <v>591</v>
      </c>
      <c r="AD395" s="1417"/>
      <c r="AE395" s="1417"/>
      <c r="AF395" s="1417"/>
      <c r="AG395" s="1417"/>
      <c r="AH395" s="1417"/>
      <c r="AI395" s="1417"/>
      <c r="AJ395" s="1417"/>
    </row>
    <row r="396" spans="1:36" ht="12.95" customHeight="1">
      <c r="D396" s="3" t="s">
        <v>441</v>
      </c>
      <c r="J396" s="1419" t="s">
        <v>591</v>
      </c>
      <c r="K396" s="1419"/>
      <c r="L396" s="1419"/>
      <c r="M396" s="1419"/>
      <c r="N396" s="1419"/>
      <c r="O396" s="1419"/>
      <c r="P396" s="1419"/>
      <c r="Q396" s="1419"/>
      <c r="R396" s="1419"/>
      <c r="S396" s="1419"/>
      <c r="T396" s="1419"/>
      <c r="U396" s="1419"/>
      <c r="V396" s="3" t="s">
        <v>441</v>
      </c>
      <c r="W396" s="8"/>
      <c r="X396" s="8"/>
      <c r="Y396" s="8"/>
      <c r="Z396" s="8"/>
      <c r="AA396" s="8"/>
      <c r="AB396" s="8"/>
      <c r="AC396" s="1417" t="s">
        <v>591</v>
      </c>
      <c r="AD396" s="1417"/>
      <c r="AE396" s="1417"/>
      <c r="AF396" s="1417"/>
      <c r="AG396" s="1417"/>
      <c r="AH396" s="1417"/>
      <c r="AI396" s="1417"/>
      <c r="AJ396" s="1417"/>
    </row>
    <row r="397" spans="1:36" ht="12.95" customHeight="1">
      <c r="D397" t="s">
        <v>1178</v>
      </c>
      <c r="J397" s="1292" t="s">
        <v>591</v>
      </c>
      <c r="K397" s="1292"/>
      <c r="L397" s="1292"/>
      <c r="M397" s="1292"/>
      <c r="N397" s="1292"/>
      <c r="O397" s="1292"/>
      <c r="P397" s="1292"/>
      <c r="Q397" s="1292"/>
      <c r="R397" s="1292"/>
      <c r="S397" s="1292"/>
      <c r="T397" s="1292"/>
      <c r="U397" s="1292"/>
      <c r="V397" s="1417" t="s">
        <v>591</v>
      </c>
      <c r="W397" s="1417"/>
      <c r="X397" s="1417"/>
      <c r="Y397" s="1417"/>
      <c r="Z397" s="1417"/>
      <c r="AA397" s="1417"/>
      <c r="AB397" s="1417"/>
      <c r="AC397" s="1417"/>
      <c r="AD397" s="1417"/>
      <c r="AE397" s="1417"/>
      <c r="AF397" s="1417"/>
      <c r="AG397" s="1417"/>
      <c r="AH397" s="1417"/>
      <c r="AI397" s="1417"/>
      <c r="AJ397" s="1417"/>
    </row>
    <row r="398" spans="1:36" ht="12.95" customHeight="1">
      <c r="D398" t="s">
        <v>4</v>
      </c>
      <c r="Q398" s="1662" t="s">
        <v>591</v>
      </c>
      <c r="R398" s="1662"/>
      <c r="S398" s="1662"/>
      <c r="T398" s="1662"/>
      <c r="U398" s="1662"/>
      <c r="V398" t="s">
        <v>309</v>
      </c>
      <c r="AI398" s="1266" t="s">
        <v>669</v>
      </c>
      <c r="AJ398" s="1266"/>
    </row>
    <row r="399" spans="1:36" ht="12.95" customHeight="1">
      <c r="D399" t="s">
        <v>5</v>
      </c>
      <c r="Q399" s="1567" t="s">
        <v>591</v>
      </c>
      <c r="R399" s="1726"/>
      <c r="S399" s="1726"/>
      <c r="T399" s="1726"/>
      <c r="U399" s="1726"/>
      <c r="W399" s="21" t="s">
        <v>74</v>
      </c>
      <c r="AG399" s="1681" t="s">
        <v>591</v>
      </c>
      <c r="AH399" s="1681"/>
      <c r="AI399" s="1681"/>
      <c r="AJ399" s="1681"/>
    </row>
    <row r="400" spans="1:36" ht="12.95" customHeight="1">
      <c r="D400" t="s">
        <v>427</v>
      </c>
      <c r="Q400" s="1776" t="s">
        <v>591</v>
      </c>
      <c r="R400" s="1776"/>
      <c r="S400" s="1776"/>
      <c r="T400" s="1776"/>
      <c r="U400" s="1776"/>
      <c r="V400" s="3" t="s">
        <v>1181</v>
      </c>
      <c r="AG400" s="1774" t="s">
        <v>591</v>
      </c>
      <c r="AH400" s="1774"/>
      <c r="AI400" s="1774"/>
      <c r="AJ400" s="1774"/>
    </row>
    <row r="401" spans="4:36" ht="12.95" customHeight="1">
      <c r="D401" t="s">
        <v>88</v>
      </c>
      <c r="I401" s="1404" t="s">
        <v>591</v>
      </c>
      <c r="J401" s="1404"/>
      <c r="K401" s="1404"/>
      <c r="L401" s="1404"/>
      <c r="M401" s="1404"/>
      <c r="N401" s="1404"/>
      <c r="Q401" s="4" t="s">
        <v>206</v>
      </c>
      <c r="S401" s="1775" t="s">
        <v>591</v>
      </c>
      <c r="T401" s="1775"/>
      <c r="U401" s="1775"/>
      <c r="V401" t="s">
        <v>73</v>
      </c>
      <c r="AI401" s="1266" t="s">
        <v>669</v>
      </c>
      <c r="AJ401" s="1266"/>
    </row>
    <row r="402" spans="4:36" ht="12.95" customHeight="1">
      <c r="D402" t="s">
        <v>310</v>
      </c>
      <c r="Q402" s="1307" t="s">
        <v>591</v>
      </c>
      <c r="R402" s="1307"/>
      <c r="S402" s="1307"/>
      <c r="T402" s="1307"/>
      <c r="U402" s="1307"/>
      <c r="V402" t="s">
        <v>311</v>
      </c>
      <c r="AG402" s="1681" t="s">
        <v>591</v>
      </c>
      <c r="AH402" s="1681"/>
      <c r="AI402" s="1681"/>
      <c r="AJ402" s="1681"/>
    </row>
    <row r="403" spans="4:36" ht="12.95" customHeight="1">
      <c r="D403" t="s">
        <v>312</v>
      </c>
      <c r="Q403" s="1661" t="s">
        <v>591</v>
      </c>
      <c r="R403" s="1661"/>
      <c r="S403" s="1661"/>
      <c r="T403" s="1661"/>
      <c r="U403" s="1661"/>
      <c r="V403" t="s">
        <v>1163</v>
      </c>
      <c r="AG403" s="1681" t="s">
        <v>591</v>
      </c>
      <c r="AH403" s="1681"/>
      <c r="AI403" s="1681"/>
      <c r="AJ403" s="1681"/>
    </row>
    <row r="404" spans="4:36" ht="12.95" customHeight="1">
      <c r="D404" t="s">
        <v>1162</v>
      </c>
      <c r="AG404" s="1681" t="s">
        <v>591</v>
      </c>
      <c r="AH404" s="1681"/>
      <c r="AI404" s="1681"/>
      <c r="AJ404" s="1681"/>
    </row>
    <row r="405" spans="4:36" ht="12.95" customHeight="1">
      <c r="AG405" s="456"/>
      <c r="AH405" s="456"/>
      <c r="AI405" s="456"/>
      <c r="AJ405" s="456"/>
    </row>
    <row r="406" spans="4:36" ht="12.95" customHeight="1">
      <c r="D406" s="3" t="s">
        <v>2097</v>
      </c>
      <c r="AG406" s="456"/>
      <c r="AH406" s="456"/>
      <c r="AI406" s="1266" t="s">
        <v>669</v>
      </c>
      <c r="AJ406" s="1266"/>
    </row>
    <row r="407" spans="4:36" ht="12.95" customHeight="1">
      <c r="D407" s="3" t="s">
        <v>1656</v>
      </c>
      <c r="T407" s="1411" t="s">
        <v>591</v>
      </c>
      <c r="U407" s="1411"/>
      <c r="V407" s="1411"/>
      <c r="W407" s="1411"/>
      <c r="X407" s="1411"/>
      <c r="Y407" s="1411"/>
      <c r="Z407" s="1411"/>
      <c r="AA407" s="1411"/>
      <c r="AB407" s="1411"/>
      <c r="AC407" s="1411"/>
      <c r="AD407" s="1411"/>
      <c r="AE407" s="1411"/>
      <c r="AF407" s="1411"/>
      <c r="AG407" s="1411"/>
      <c r="AH407" s="1411"/>
      <c r="AI407" s="1411"/>
      <c r="AJ407" s="1411"/>
    </row>
    <row r="408" spans="4:36" ht="12.95" customHeight="1">
      <c r="D408" s="3" t="s">
        <v>1655</v>
      </c>
      <c r="T408" s="1411" t="s">
        <v>591</v>
      </c>
      <c r="U408" s="1411"/>
      <c r="V408" s="1411"/>
      <c r="W408" s="1411"/>
      <c r="X408" s="1411"/>
      <c r="Y408" s="1411"/>
      <c r="Z408" s="1411"/>
      <c r="AA408" s="1411"/>
      <c r="AB408" s="1411"/>
      <c r="AC408" s="1411"/>
      <c r="AD408" s="1411"/>
      <c r="AE408" s="1411"/>
      <c r="AF408" s="1411"/>
      <c r="AG408" s="1411"/>
      <c r="AH408" s="1411"/>
      <c r="AI408" s="1411"/>
      <c r="AJ408" s="1411"/>
    </row>
    <row r="409" spans="4:36" ht="12.95" customHeight="1">
      <c r="AG409" s="456"/>
      <c r="AH409" s="456"/>
      <c r="AI409" s="456"/>
      <c r="AJ409" s="456"/>
    </row>
    <row r="410" spans="4:36" ht="12.95" customHeight="1">
      <c r="D410" s="3" t="s">
        <v>1649</v>
      </c>
      <c r="S410" s="1411" t="s">
        <v>545</v>
      </c>
      <c r="T410" s="1411"/>
      <c r="U410" s="1411"/>
      <c r="V410" t="s">
        <v>1650</v>
      </c>
      <c r="AG410" s="1678">
        <v>60</v>
      </c>
      <c r="AH410" s="1678"/>
      <c r="AI410" s="1678"/>
      <c r="AJ410" s="1678"/>
    </row>
    <row r="411" spans="4:36" ht="12.95" customHeight="1">
      <c r="D411" s="3" t="s">
        <v>1647</v>
      </c>
      <c r="S411" s="1411" t="s">
        <v>545</v>
      </c>
      <c r="T411" s="1411"/>
      <c r="U411" s="1411"/>
      <c r="V411" t="s">
        <v>1652</v>
      </c>
      <c r="AE411" s="1773">
        <v>200000</v>
      </c>
      <c r="AF411" s="1773"/>
      <c r="AG411" s="1773"/>
      <c r="AH411" s="1773"/>
      <c r="AI411" s="1773"/>
      <c r="AJ411" s="1773"/>
    </row>
    <row r="412" spans="4:36" ht="12.95" customHeight="1">
      <c r="D412" s="3" t="s">
        <v>1648</v>
      </c>
      <c r="K412" s="1704"/>
      <c r="L412" s="1704"/>
      <c r="M412" s="1704"/>
      <c r="N412" s="1704"/>
      <c r="O412" s="1704"/>
      <c r="P412" s="1704"/>
      <c r="Q412" s="1704"/>
      <c r="R412" s="1704"/>
      <c r="S412" s="1704"/>
      <c r="T412" s="1704"/>
      <c r="U412" s="1704"/>
      <c r="V412" s="1704"/>
      <c r="W412" s="1704"/>
      <c r="X412" s="1704"/>
      <c r="Y412" s="1704"/>
      <c r="Z412" s="1704"/>
      <c r="AA412" s="1704"/>
      <c r="AB412" s="1704"/>
      <c r="AC412" s="1704"/>
      <c r="AD412" s="1704"/>
      <c r="AE412" s="1704"/>
      <c r="AF412" s="1704"/>
      <c r="AG412" s="1704"/>
      <c r="AH412" s="1704"/>
      <c r="AI412" s="1704"/>
      <c r="AJ412" s="1704"/>
    </row>
    <row r="413" spans="4:36" ht="12.95" customHeight="1">
      <c r="D413" s="3" t="s">
        <v>1651</v>
      </c>
      <c r="K413" s="1704" t="s">
        <v>2729</v>
      </c>
      <c r="L413" s="1704"/>
      <c r="M413" s="1704"/>
      <c r="N413" s="1704"/>
      <c r="O413" s="1704"/>
      <c r="P413" s="1704"/>
      <c r="Q413" s="1704"/>
      <c r="R413" s="1704"/>
      <c r="S413" s="1704"/>
      <c r="T413" s="1704"/>
      <c r="U413" s="1704"/>
      <c r="V413" s="1704"/>
      <c r="W413" s="1704"/>
      <c r="X413" s="1704"/>
      <c r="Y413" s="1704"/>
      <c r="Z413" s="1704"/>
      <c r="AA413" s="1704"/>
      <c r="AB413" s="1704"/>
      <c r="AC413" s="1704"/>
      <c r="AD413" s="1704"/>
      <c r="AE413" s="1704"/>
      <c r="AF413" s="1704"/>
      <c r="AG413" s="1704"/>
      <c r="AH413" s="1704"/>
      <c r="AI413" s="1704"/>
      <c r="AJ413" s="1704"/>
    </row>
    <row r="414" spans="4:36" ht="12.95" customHeight="1">
      <c r="D414" s="3" t="s">
        <v>1654</v>
      </c>
      <c r="E414" s="477"/>
      <c r="F414" s="477"/>
      <c r="G414" s="477"/>
      <c r="H414" s="477"/>
      <c r="I414" s="477"/>
      <c r="J414" s="477"/>
      <c r="K414" s="477"/>
      <c r="L414" s="477"/>
      <c r="M414" s="477"/>
      <c r="N414" s="477"/>
      <c r="O414" s="477"/>
      <c r="P414" s="477"/>
      <c r="Q414" s="477"/>
      <c r="R414" s="477"/>
      <c r="S414" s="1733" t="s">
        <v>2681</v>
      </c>
      <c r="T414" s="1733"/>
      <c r="U414" s="1733"/>
      <c r="V414" s="1733"/>
      <c r="W414" s="1733"/>
      <c r="X414" s="1733"/>
      <c r="Y414" s="1733"/>
      <c r="Z414" s="1733"/>
      <c r="AA414" s="1733"/>
      <c r="AB414" s="1733"/>
      <c r="AC414" s="1733"/>
      <c r="AD414" s="1733"/>
      <c r="AE414" s="1733"/>
      <c r="AF414" s="1733"/>
      <c r="AG414" s="1733"/>
      <c r="AH414" s="1733"/>
      <c r="AI414" s="1733"/>
      <c r="AJ414" s="1733"/>
    </row>
    <row r="415" spans="4:36" ht="12.95" customHeight="1">
      <c r="D415" s="1385" t="s">
        <v>1653</v>
      </c>
      <c r="E415" s="1385"/>
      <c r="F415" s="1385"/>
      <c r="G415" s="1385"/>
      <c r="H415" s="1385"/>
      <c r="I415" s="1385"/>
      <c r="J415" s="1385"/>
      <c r="K415" s="1385"/>
      <c r="L415" s="1385"/>
      <c r="M415" s="1385"/>
      <c r="N415" s="1385"/>
      <c r="O415" s="1385"/>
      <c r="P415" s="1385"/>
      <c r="Q415" s="1385"/>
      <c r="R415" s="1385"/>
      <c r="S415" s="1385"/>
      <c r="T415" s="1385"/>
      <c r="U415" s="1385"/>
      <c r="V415" s="1385"/>
      <c r="W415" s="1385"/>
      <c r="X415" s="1385"/>
      <c r="Y415" s="1385"/>
      <c r="Z415" s="1385"/>
      <c r="AA415" s="1385"/>
      <c r="AB415" s="1385"/>
      <c r="AC415" s="1385"/>
      <c r="AD415" s="1385"/>
      <c r="AE415" s="1385"/>
      <c r="AF415" s="1385"/>
      <c r="AG415" s="1385"/>
      <c r="AH415" s="1385"/>
      <c r="AI415" s="1385"/>
      <c r="AJ415" s="1385"/>
    </row>
    <row r="416" spans="4:36" ht="12.95" customHeight="1">
      <c r="D416" s="1385"/>
      <c r="E416" s="1385"/>
      <c r="F416" s="1385"/>
      <c r="G416" s="1385"/>
      <c r="H416" s="1385"/>
      <c r="I416" s="1385"/>
      <c r="J416" s="1385"/>
      <c r="K416" s="1385"/>
      <c r="L416" s="1385"/>
      <c r="M416" s="1385"/>
      <c r="N416" s="1385"/>
      <c r="O416" s="1385"/>
      <c r="P416" s="1385"/>
      <c r="Q416" s="1385"/>
      <c r="R416" s="1385"/>
      <c r="S416" s="1385"/>
      <c r="T416" s="1385"/>
      <c r="U416" s="1385"/>
      <c r="V416" s="1385"/>
      <c r="W416" s="1385"/>
      <c r="X416" s="1385"/>
      <c r="Y416" s="1385"/>
      <c r="Z416" s="1385"/>
      <c r="AA416" s="1385"/>
      <c r="AB416" s="1385"/>
      <c r="AC416" s="1385"/>
      <c r="AD416" s="1385"/>
      <c r="AE416" s="1385"/>
      <c r="AF416" s="1385"/>
      <c r="AG416" s="1385"/>
      <c r="AH416" s="1385"/>
      <c r="AI416" s="1385"/>
      <c r="AJ416" s="1385"/>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458" t="s">
        <v>2682</v>
      </c>
      <c r="J419" s="1458"/>
      <c r="K419" s="1458"/>
      <c r="L419" s="1458"/>
      <c r="M419" s="1458"/>
      <c r="N419" s="1458"/>
      <c r="O419" s="1458"/>
      <c r="P419" s="1458"/>
      <c r="Q419" s="1458"/>
      <c r="R419" s="1458"/>
      <c r="S419" s="1458"/>
      <c r="T419" s="1458"/>
      <c r="U419" s="1458"/>
      <c r="V419" s="1458"/>
      <c r="W419" s="1458"/>
      <c r="X419" s="1458"/>
      <c r="Y419" s="1458"/>
      <c r="Z419" s="1458"/>
      <c r="AA419" s="1458"/>
      <c r="AB419" s="1458"/>
      <c r="AC419" s="1458"/>
      <c r="AD419" s="1458"/>
      <c r="AE419" s="1458"/>
    </row>
    <row r="420" spans="1:39" ht="12.95" customHeight="1">
      <c r="E420" t="s">
        <v>106</v>
      </c>
      <c r="R420" s="1266" t="s">
        <v>545</v>
      </c>
      <c r="S420" s="1266"/>
      <c r="AC420" s="27" t="s">
        <v>570</v>
      </c>
      <c r="AD420" s="1409">
        <v>7</v>
      </c>
      <c r="AE420" s="1409"/>
    </row>
    <row r="421" spans="1:39" ht="12.95" customHeight="1">
      <c r="E421" t="s">
        <v>107</v>
      </c>
      <c r="R421" s="1266" t="s">
        <v>591</v>
      </c>
      <c r="S421" s="1266"/>
      <c r="AC421" s="27" t="s">
        <v>570</v>
      </c>
      <c r="AD421" s="1409" t="s">
        <v>591</v>
      </c>
      <c r="AE421" s="1409"/>
    </row>
    <row r="422" spans="1:39" ht="12.95" customHeight="1">
      <c r="E422" t="s">
        <v>108</v>
      </c>
      <c r="S422" s="1266" t="s">
        <v>591</v>
      </c>
      <c r="T422" s="1266"/>
    </row>
    <row r="423" spans="1:39" ht="12.95" customHeight="1">
      <c r="E423" t="s">
        <v>170</v>
      </c>
      <c r="H423" s="1735" t="s">
        <v>2683</v>
      </c>
      <c r="I423" s="1735"/>
      <c r="J423" s="1735"/>
      <c r="K423" s="1735"/>
      <c r="L423" s="1735"/>
      <c r="M423" s="1735"/>
      <c r="N423" s="1735"/>
      <c r="O423" s="1735"/>
      <c r="P423" s="1735"/>
      <c r="Q423" s="1735"/>
      <c r="R423" s="1735"/>
      <c r="S423" s="1735"/>
      <c r="T423" s="1735"/>
      <c r="U423" s="1735"/>
      <c r="V423" s="1735"/>
      <c r="W423" s="1735"/>
      <c r="X423" s="1735"/>
      <c r="Y423" s="1735"/>
      <c r="Z423" s="1735"/>
      <c r="AA423" s="1735"/>
      <c r="AB423" s="1735"/>
      <c r="AC423" s="1735"/>
      <c r="AD423" s="1735"/>
      <c r="AE423" s="1735"/>
    </row>
    <row r="424" spans="1:39" ht="12.95" customHeight="1">
      <c r="H424" s="1736"/>
      <c r="I424" s="1736"/>
      <c r="J424" s="1736"/>
      <c r="K424" s="1736"/>
      <c r="L424" s="1736"/>
      <c r="M424" s="1736"/>
      <c r="N424" s="1736"/>
      <c r="O424" s="1736"/>
      <c r="P424" s="1736"/>
      <c r="Q424" s="1736"/>
      <c r="R424" s="1736"/>
      <c r="S424" s="1736"/>
      <c r="T424" s="1736"/>
      <c r="U424" s="1736"/>
      <c r="V424" s="1736"/>
      <c r="W424" s="1736"/>
      <c r="X424" s="1736"/>
      <c r="Y424" s="1736"/>
      <c r="Z424" s="1736"/>
      <c r="AA424" s="1736"/>
      <c r="AB424" s="1736"/>
      <c r="AC424" s="1736"/>
      <c r="AD424" s="1736"/>
      <c r="AE424" s="1736"/>
    </row>
    <row r="425" spans="1:39" ht="12.95" customHeight="1"/>
    <row r="426" spans="1:39" ht="12.95" customHeight="1">
      <c r="A426" s="2" t="s">
        <v>590</v>
      </c>
      <c r="B426" s="2"/>
      <c r="C426" s="2"/>
      <c r="D426" s="2" t="s">
        <v>114</v>
      </c>
      <c r="AF426" s="2" t="s">
        <v>957</v>
      </c>
    </row>
    <row r="427" spans="1:39" ht="12.95" customHeight="1">
      <c r="E427" s="1680"/>
      <c r="F427" s="1680"/>
      <c r="G427" s="1680"/>
      <c r="H427" s="13" t="s">
        <v>115</v>
      </c>
      <c r="I427" s="1680"/>
      <c r="J427" s="1680"/>
      <c r="K427" s="1680"/>
      <c r="L427" t="s">
        <v>116</v>
      </c>
      <c r="N427" s="27" t="s">
        <v>575</v>
      </c>
      <c r="P427" s="1728">
        <v>0.17</v>
      </c>
      <c r="Q427" s="1728"/>
      <c r="R427" s="1728"/>
      <c r="S427" t="s">
        <v>117</v>
      </c>
      <c r="W427" s="1767">
        <f>IF(E427&gt;0,(E427*I427),(P427*43560))</f>
        <v>7405.2000000000007</v>
      </c>
      <c r="X427" s="1767"/>
      <c r="Y427" s="1767"/>
      <c r="Z427" t="s">
        <v>118</v>
      </c>
      <c r="AF427" s="1740">
        <f>IFERROR(IF(P427&gt;0,(AG446/P427),(AG446/(W427/43560))),0)</f>
        <v>347.05882352941177</v>
      </c>
      <c r="AG427" s="1740"/>
      <c r="AH427" s="1740"/>
      <c r="AM427" s="3"/>
    </row>
    <row r="428" spans="1:39" ht="12.95" customHeight="1">
      <c r="E428" t="s">
        <v>51</v>
      </c>
    </row>
    <row r="429" spans="1:39" ht="12.95" customHeight="1">
      <c r="E429" s="1729"/>
      <c r="F429" s="1729"/>
      <c r="G429" s="1729"/>
      <c r="H429" s="1729"/>
      <c r="I429" s="1729"/>
      <c r="J429" s="1729"/>
      <c r="K429" s="1729"/>
      <c r="L429" s="1729"/>
      <c r="M429" s="1729"/>
      <c r="N429" s="1729"/>
      <c r="O429" s="1729"/>
      <c r="P429" s="1729"/>
      <c r="Q429" s="1729"/>
      <c r="R429" s="1729"/>
      <c r="S429" s="1729"/>
      <c r="T429" s="1729"/>
      <c r="U429" s="1729"/>
      <c r="V429" s="1729"/>
      <c r="W429" s="1729"/>
      <c r="X429" s="1729"/>
      <c r="Y429" s="1729"/>
      <c r="Z429" s="1729"/>
      <c r="AA429" s="1729"/>
      <c r="AB429" s="1729"/>
      <c r="AC429" s="1729"/>
      <c r="AD429" s="1729"/>
      <c r="AE429" s="1729"/>
      <c r="AF429" s="1729"/>
      <c r="AG429" s="1729"/>
      <c r="AH429" s="1729"/>
      <c r="AI429" s="1729"/>
      <c r="AJ429" s="1729"/>
    </row>
    <row r="430" spans="1:39" ht="12.95" customHeight="1">
      <c r="E430" s="118" t="s">
        <v>1724</v>
      </c>
      <c r="F430" s="1008"/>
      <c r="G430" s="1008"/>
      <c r="H430" s="1008"/>
      <c r="I430" s="1727">
        <v>0.17</v>
      </c>
      <c r="J430" s="1727"/>
      <c r="K430" s="1727"/>
      <c r="L430" s="1008"/>
      <c r="M430" s="118"/>
      <c r="N430" s="1008"/>
      <c r="O430" s="1008"/>
      <c r="P430" s="1654">
        <f>(DU763+DU786+DU808)/I430</f>
        <v>470.58823529411762</v>
      </c>
      <c r="Q430" s="1654"/>
      <c r="R430" s="1654"/>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266">
        <v>1</v>
      </c>
      <c r="Q433" s="1266"/>
      <c r="S433" t="s">
        <v>189</v>
      </c>
      <c r="AE433" s="1266">
        <v>1</v>
      </c>
      <c r="AF433" s="1266"/>
    </row>
    <row r="434" spans="1:36" ht="12.95" customHeight="1">
      <c r="E434" t="s">
        <v>190</v>
      </c>
      <c r="P434" s="1266">
        <v>0</v>
      </c>
      <c r="Q434" s="1266"/>
      <c r="S434" t="s">
        <v>131</v>
      </c>
      <c r="AE434" s="1266" t="s">
        <v>591</v>
      </c>
      <c r="AF434" s="1266"/>
    </row>
    <row r="435" spans="1:36" ht="12.95" customHeight="1">
      <c r="F435" s="28" t="s">
        <v>132</v>
      </c>
    </row>
    <row r="436" spans="1:36" ht="12.95" customHeight="1">
      <c r="F436" s="1699"/>
      <c r="G436" s="1699"/>
      <c r="H436" s="1699"/>
      <c r="I436" s="1699"/>
      <c r="J436" s="1699"/>
      <c r="K436" s="1699"/>
      <c r="L436" s="1699"/>
      <c r="M436" s="1699"/>
      <c r="N436" s="1699"/>
      <c r="O436" s="1699"/>
      <c r="P436" s="1699"/>
      <c r="Q436" s="1699"/>
      <c r="R436" s="1699"/>
      <c r="S436" s="1699"/>
      <c r="T436" s="1699"/>
      <c r="U436" s="1699"/>
      <c r="V436" s="1699"/>
      <c r="W436" s="1699"/>
      <c r="X436" s="1699"/>
      <c r="Y436" s="1699"/>
      <c r="Z436" s="1699"/>
      <c r="AA436" s="1699"/>
      <c r="AB436" s="1699"/>
      <c r="AC436" s="1699"/>
      <c r="AD436" s="1699"/>
      <c r="AE436" s="1699"/>
      <c r="AF436" s="1699"/>
      <c r="AG436" s="1699"/>
      <c r="AH436" s="1699"/>
    </row>
    <row r="437" spans="1:36" ht="12.95" customHeight="1">
      <c r="F437" s="1700"/>
      <c r="G437" s="1700"/>
      <c r="H437" s="1700"/>
      <c r="I437" s="1700"/>
      <c r="J437" s="1700"/>
      <c r="K437" s="1700"/>
      <c r="L437" s="1700"/>
      <c r="M437" s="1700"/>
      <c r="N437" s="1700"/>
      <c r="O437" s="1700"/>
      <c r="P437" s="1700"/>
      <c r="Q437" s="1700"/>
      <c r="R437" s="1700"/>
      <c r="S437" s="1700"/>
      <c r="T437" s="1700"/>
      <c r="U437" s="1700"/>
      <c r="V437" s="1700"/>
      <c r="W437" s="1700"/>
      <c r="X437" s="1700"/>
      <c r="Y437" s="1700"/>
      <c r="Z437" s="1700"/>
      <c r="AA437" s="1700"/>
      <c r="AB437" s="1700"/>
      <c r="AC437" s="1700"/>
      <c r="AD437" s="1700"/>
      <c r="AE437" s="1700"/>
      <c r="AF437" s="1700"/>
      <c r="AG437" s="1700"/>
      <c r="AH437" s="1700"/>
    </row>
    <row r="438" spans="1:36" ht="12.95" customHeight="1">
      <c r="E438" t="s">
        <v>608</v>
      </c>
      <c r="P438" s="1"/>
      <c r="Q438" s="1266" t="s">
        <v>545</v>
      </c>
      <c r="R438" s="1266"/>
    </row>
    <row r="439" spans="1:36" ht="12.95" customHeight="1">
      <c r="F439" t="s">
        <v>609</v>
      </c>
      <c r="P439" s="1"/>
      <c r="Q439" s="1"/>
      <c r="AF439" s="1266" t="s">
        <v>591</v>
      </c>
      <c r="AG439" s="1739"/>
    </row>
    <row r="440" spans="1:36" ht="12.95" customHeight="1"/>
    <row r="441" spans="1:36" ht="12.95" customHeight="1">
      <c r="A441" s="2"/>
      <c r="B441" s="2"/>
      <c r="C441" s="2"/>
      <c r="E441" s="4" t="s">
        <v>308</v>
      </c>
      <c r="Z441" s="1266" t="s">
        <v>669</v>
      </c>
      <c r="AA441" s="1266"/>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266" t="s">
        <v>591</v>
      </c>
      <c r="AA443" s="1266"/>
    </row>
    <row r="444" spans="1:36" ht="12.95" customHeight="1"/>
    <row r="445" spans="1:36" ht="12.95" customHeight="1">
      <c r="A445" s="2" t="s">
        <v>467</v>
      </c>
      <c r="B445" s="2"/>
      <c r="C445" s="2"/>
      <c r="D445" s="2" t="s">
        <v>764</v>
      </c>
      <c r="AF445" s="48"/>
    </row>
    <row r="446" spans="1:36" ht="12.95" customHeight="1">
      <c r="D446" s="1607" t="s">
        <v>43</v>
      </c>
      <c r="E446" s="1608"/>
      <c r="F446" s="1608"/>
      <c r="G446" s="1608"/>
      <c r="H446" s="1608"/>
      <c r="I446" s="1608"/>
      <c r="J446" s="1608"/>
      <c r="K446" s="1608"/>
      <c r="L446" s="1608"/>
      <c r="M446" s="1608"/>
      <c r="N446" s="1608"/>
      <c r="O446" s="1608"/>
      <c r="P446" s="1608"/>
      <c r="Q446" s="1608"/>
      <c r="R446" s="1608"/>
      <c r="S446" s="1608"/>
      <c r="T446" s="1608"/>
      <c r="U446" s="1608"/>
      <c r="V446" s="1608"/>
      <c r="W446" s="1608"/>
      <c r="X446" s="1608"/>
      <c r="Y446" s="1608"/>
      <c r="Z446" s="1608"/>
      <c r="AA446" s="1608"/>
      <c r="AB446" s="1608"/>
      <c r="AC446" s="1608"/>
      <c r="AD446" s="1608"/>
      <c r="AE446" s="1608"/>
      <c r="AF446" s="1679"/>
      <c r="AG446" s="1665">
        <v>59</v>
      </c>
      <c r="AH446" s="1665"/>
      <c r="AI446" s="1665"/>
      <c r="AJ446" s="1665"/>
    </row>
    <row r="447" spans="1:36" ht="12.95" customHeight="1">
      <c r="D447" s="1675" t="s">
        <v>1222</v>
      </c>
      <c r="E447" s="1676"/>
      <c r="F447" s="1676"/>
      <c r="G447" s="1676"/>
      <c r="H447" s="1676"/>
      <c r="I447" s="1676"/>
      <c r="J447" s="1676"/>
      <c r="K447" s="1676"/>
      <c r="L447" s="1676"/>
      <c r="M447" s="1676"/>
      <c r="N447" s="1676"/>
      <c r="O447" s="1676"/>
      <c r="P447" s="1676"/>
      <c r="Q447" s="1676"/>
      <c r="R447" s="1676"/>
      <c r="S447" s="1676"/>
      <c r="T447" s="1676"/>
      <c r="U447" s="1676"/>
      <c r="V447" s="1676"/>
      <c r="W447" s="1676"/>
      <c r="X447" s="1676"/>
      <c r="Y447" s="1676"/>
      <c r="Z447" s="1676"/>
      <c r="AA447" s="1676"/>
      <c r="AB447" s="1676"/>
      <c r="AC447" s="1676"/>
      <c r="AD447" s="1676"/>
      <c r="AE447" s="1676"/>
      <c r="AF447" s="1677"/>
      <c r="AG447" s="1748">
        <v>0</v>
      </c>
      <c r="AH447" s="1289"/>
      <c r="AI447" s="1289"/>
      <c r="AJ447" s="1289"/>
    </row>
    <row r="448" spans="1:36" ht="12.95" customHeight="1">
      <c r="D448" s="1675" t="s">
        <v>1031</v>
      </c>
      <c r="E448" s="1676"/>
      <c r="F448" s="1676"/>
      <c r="G448" s="1676"/>
      <c r="H448" s="1676"/>
      <c r="I448" s="1676"/>
      <c r="J448" s="1676"/>
      <c r="K448" s="1676"/>
      <c r="L448" s="1676"/>
      <c r="M448" s="1676"/>
      <c r="N448" s="1676"/>
      <c r="O448" s="1676"/>
      <c r="P448" s="1676"/>
      <c r="Q448" s="1676"/>
      <c r="R448" s="1676"/>
      <c r="S448" s="1676"/>
      <c r="T448" s="1676"/>
      <c r="U448" s="1676"/>
      <c r="V448" s="1676"/>
      <c r="W448" s="1676"/>
      <c r="X448" s="1676"/>
      <c r="Y448" s="1676"/>
      <c r="Z448" s="1676"/>
      <c r="AA448" s="1676"/>
      <c r="AB448" s="1676"/>
      <c r="AC448" s="1676"/>
      <c r="AD448" s="1676"/>
      <c r="AE448" s="1676"/>
      <c r="AF448" s="1677"/>
      <c r="AG448" s="1665">
        <v>58</v>
      </c>
      <c r="AH448" s="1665"/>
      <c r="AI448" s="1665"/>
      <c r="AJ448" s="1665"/>
    </row>
    <row r="449" spans="4:55" ht="12.95" customHeight="1">
      <c r="D449" s="1675" t="s">
        <v>1032</v>
      </c>
      <c r="E449" s="1676"/>
      <c r="F449" s="1676"/>
      <c r="G449" s="1676"/>
      <c r="H449" s="1676"/>
      <c r="I449" s="1676"/>
      <c r="J449" s="1676"/>
      <c r="K449" s="1676"/>
      <c r="L449" s="1676"/>
      <c r="M449" s="1676"/>
      <c r="N449" s="1676"/>
      <c r="O449" s="1676"/>
      <c r="P449" s="1676"/>
      <c r="Q449" s="1676"/>
      <c r="R449" s="1676"/>
      <c r="S449" s="1676"/>
      <c r="T449" s="1676"/>
      <c r="U449" s="1676"/>
      <c r="V449" s="1676"/>
      <c r="W449" s="1676"/>
      <c r="X449" s="1676"/>
      <c r="Y449" s="1676"/>
      <c r="Z449" s="1676"/>
      <c r="AA449" s="1676"/>
      <c r="AB449" s="1676"/>
      <c r="AC449" s="1676"/>
      <c r="AD449" s="1676"/>
      <c r="AE449" s="1676"/>
      <c r="AF449" s="1677"/>
      <c r="AG449" s="1665">
        <v>58</v>
      </c>
      <c r="AH449" s="1665"/>
      <c r="AI449" s="1665"/>
      <c r="AJ449" s="1665"/>
    </row>
    <row r="450" spans="4:55" ht="12.95" customHeight="1">
      <c r="D450" s="1675" t="s">
        <v>1034</v>
      </c>
      <c r="E450" s="1676"/>
      <c r="F450" s="1676"/>
      <c r="G450" s="1676"/>
      <c r="H450" s="1676"/>
      <c r="I450" s="1676"/>
      <c r="J450" s="1676"/>
      <c r="K450" s="1676"/>
      <c r="L450" s="1676"/>
      <c r="M450" s="1676"/>
      <c r="N450" s="1676"/>
      <c r="O450" s="1676"/>
      <c r="P450" s="1676"/>
      <c r="Q450" s="1676"/>
      <c r="R450" s="1676"/>
      <c r="S450" s="1676"/>
      <c r="T450" s="1676"/>
      <c r="U450" s="1676"/>
      <c r="V450" s="1676"/>
      <c r="W450" s="1676"/>
      <c r="X450" s="1676"/>
      <c r="Y450" s="1676"/>
      <c r="Z450" s="1676"/>
      <c r="AA450" s="1676"/>
      <c r="AB450" s="1676"/>
      <c r="AC450" s="1676"/>
      <c r="AD450" s="1676"/>
      <c r="AE450" s="1676"/>
      <c r="AF450" s="1677"/>
      <c r="AG450" s="1674">
        <f>IF(ISERROR(AG449/AG448),0,AG449/AG448)</f>
        <v>1</v>
      </c>
      <c r="AH450" s="1674"/>
      <c r="AI450" s="1674"/>
      <c r="AJ450" s="1674"/>
    </row>
    <row r="451" spans="4:55" ht="12.95" customHeight="1">
      <c r="D451" s="1675" t="s">
        <v>1033</v>
      </c>
      <c r="E451" s="1676"/>
      <c r="F451" s="1676"/>
      <c r="G451" s="1676"/>
      <c r="H451" s="1676"/>
      <c r="I451" s="1676"/>
      <c r="J451" s="1676"/>
      <c r="K451" s="1676"/>
      <c r="L451" s="1676"/>
      <c r="M451" s="1676"/>
      <c r="N451" s="1676"/>
      <c r="O451" s="1676"/>
      <c r="P451" s="1676"/>
      <c r="Q451" s="1676"/>
      <c r="R451" s="1676"/>
      <c r="S451" s="1676"/>
      <c r="T451" s="1676"/>
      <c r="U451" s="1676"/>
      <c r="V451" s="1676"/>
      <c r="W451" s="1676"/>
      <c r="X451" s="1676"/>
      <c r="Y451" s="1676"/>
      <c r="Z451" s="1676"/>
      <c r="AA451" s="1676"/>
      <c r="AB451" s="1676"/>
      <c r="AC451" s="1676"/>
      <c r="AD451" s="1676"/>
      <c r="AE451" s="1676"/>
      <c r="AF451" s="1677"/>
      <c r="AG451" s="1673">
        <v>30028</v>
      </c>
      <c r="AH451" s="1673"/>
      <c r="AI451" s="1673"/>
      <c r="AJ451" s="1673"/>
    </row>
    <row r="452" spans="4:55" ht="12.95" customHeight="1">
      <c r="D452" s="1675" t="s">
        <v>1035</v>
      </c>
      <c r="E452" s="1676"/>
      <c r="F452" s="1676"/>
      <c r="G452" s="1676"/>
      <c r="H452" s="1676"/>
      <c r="I452" s="1676"/>
      <c r="J452" s="1676"/>
      <c r="K452" s="1676"/>
      <c r="L452" s="1676"/>
      <c r="M452" s="1676"/>
      <c r="N452" s="1676"/>
      <c r="O452" s="1676"/>
      <c r="P452" s="1676"/>
      <c r="Q452" s="1676"/>
      <c r="R452" s="1676"/>
      <c r="S452" s="1676"/>
      <c r="T452" s="1676"/>
      <c r="U452" s="1676"/>
      <c r="V452" s="1676"/>
      <c r="W452" s="1676"/>
      <c r="X452" s="1676"/>
      <c r="Y452" s="1676"/>
      <c r="Z452" s="1676"/>
      <c r="AA452" s="1676"/>
      <c r="AB452" s="1676"/>
      <c r="AC452" s="1676"/>
      <c r="AD452" s="1676"/>
      <c r="AE452" s="1676"/>
      <c r="AF452" s="1677"/>
      <c r="AG452" s="1673">
        <f>AG451</f>
        <v>30028</v>
      </c>
      <c r="AH452" s="1673"/>
      <c r="AI452" s="1673"/>
      <c r="AJ452" s="1673"/>
    </row>
    <row r="453" spans="4:55" ht="12.95" customHeight="1">
      <c r="D453" s="1675" t="s">
        <v>1036</v>
      </c>
      <c r="E453" s="1676"/>
      <c r="F453" s="1676"/>
      <c r="G453" s="1676"/>
      <c r="H453" s="1676"/>
      <c r="I453" s="1676"/>
      <c r="J453" s="1676"/>
      <c r="K453" s="1676"/>
      <c r="L453" s="1676"/>
      <c r="M453" s="1676"/>
      <c r="N453" s="1676"/>
      <c r="O453" s="1676"/>
      <c r="P453" s="1676"/>
      <c r="Q453" s="1676"/>
      <c r="R453" s="1676"/>
      <c r="S453" s="1676"/>
      <c r="T453" s="1676"/>
      <c r="U453" s="1676"/>
      <c r="V453" s="1676"/>
      <c r="W453" s="1676"/>
      <c r="X453" s="1676"/>
      <c r="Y453" s="1676"/>
      <c r="Z453" s="1676"/>
      <c r="AA453" s="1676"/>
      <c r="AB453" s="1676"/>
      <c r="AC453" s="1676"/>
      <c r="AD453" s="1676"/>
      <c r="AE453" s="1676"/>
      <c r="AF453" s="1677"/>
      <c r="AG453" s="1674">
        <f>IF(ISERROR(AG452/AG451),0,AG452/AG451)</f>
        <v>1</v>
      </c>
      <c r="AH453" s="1674"/>
      <c r="AI453" s="1674"/>
      <c r="AJ453" s="1674"/>
    </row>
    <row r="454" spans="4:55" ht="12.95" customHeight="1">
      <c r="D454" s="1675" t="s">
        <v>1037</v>
      </c>
      <c r="E454" s="1676"/>
      <c r="F454" s="1676"/>
      <c r="G454" s="1676"/>
      <c r="H454" s="1676"/>
      <c r="I454" s="1676"/>
      <c r="J454" s="1676"/>
      <c r="K454" s="1676"/>
      <c r="L454" s="1676"/>
      <c r="M454" s="1676"/>
      <c r="N454" s="1676"/>
      <c r="O454" s="1676"/>
      <c r="P454" s="1676"/>
      <c r="Q454" s="1676"/>
      <c r="R454" s="1676"/>
      <c r="S454" s="1676"/>
      <c r="T454" s="1676"/>
      <c r="U454" s="1676"/>
      <c r="V454" s="1676"/>
      <c r="W454" s="1676"/>
      <c r="X454" s="1676"/>
      <c r="Y454" s="1676"/>
      <c r="Z454" s="1676"/>
      <c r="AA454" s="1676"/>
      <c r="AB454" s="1676"/>
      <c r="AC454" s="1676"/>
      <c r="AD454" s="1676"/>
      <c r="AE454" s="1676"/>
      <c r="AF454" s="1677"/>
      <c r="AG454" s="1674">
        <f>MIN(IF(AG450&gt;AG453,AG453,AG450),1)</f>
        <v>1</v>
      </c>
      <c r="AH454" s="1674"/>
      <c r="AI454" s="1674"/>
      <c r="AJ454" s="1674"/>
    </row>
    <row r="455" spans="4:55" ht="12.95" customHeight="1">
      <c r="D455" s="1675" t="s">
        <v>2042</v>
      </c>
      <c r="E455" s="1608"/>
      <c r="F455" s="1608"/>
      <c r="G455" s="1608"/>
      <c r="H455" s="1608"/>
      <c r="I455" s="1608"/>
      <c r="J455" s="1608"/>
      <c r="K455" s="1608"/>
      <c r="L455" s="1608"/>
      <c r="M455" s="1608"/>
      <c r="N455" s="1608"/>
      <c r="O455" s="1608"/>
      <c r="P455" s="1608"/>
      <c r="Q455" s="1608"/>
      <c r="R455" s="1608"/>
      <c r="S455" s="1608"/>
      <c r="T455" s="1608"/>
      <c r="U455" s="1608"/>
      <c r="V455" s="1608"/>
      <c r="W455" s="1608"/>
      <c r="X455" s="1608"/>
      <c r="Y455" s="1608"/>
      <c r="Z455" s="1608"/>
      <c r="AA455" s="1608"/>
      <c r="AB455" s="1608"/>
      <c r="AC455" s="1608"/>
      <c r="AD455" s="1608"/>
      <c r="AE455" s="1608"/>
      <c r="AF455" s="1679"/>
      <c r="AG455" s="1673">
        <f>93+118+110+424+130+250</f>
        <v>1125</v>
      </c>
      <c r="AH455" s="1673"/>
      <c r="AI455" s="1673"/>
      <c r="AJ455" s="1673"/>
      <c r="AZ455" s="34"/>
      <c r="BA455" s="34"/>
      <c r="BB455" s="34"/>
      <c r="BC455" s="34"/>
    </row>
    <row r="456" spans="4:55" ht="12.95" customHeight="1">
      <c r="D456" s="1607" t="s">
        <v>569</v>
      </c>
      <c r="E456" s="1608"/>
      <c r="F456" s="1608"/>
      <c r="G456" s="1608"/>
      <c r="H456" s="1608"/>
      <c r="I456" s="1608"/>
      <c r="J456" s="1608"/>
      <c r="K456" s="1608"/>
      <c r="L456" s="1608"/>
      <c r="M456" s="1608"/>
      <c r="N456" s="1608"/>
      <c r="O456" s="1608"/>
      <c r="P456" s="1608"/>
      <c r="Q456" s="1608"/>
      <c r="R456" s="1608"/>
      <c r="S456" s="1608"/>
      <c r="T456" s="1608"/>
      <c r="U456" s="1608"/>
      <c r="V456" s="1608"/>
      <c r="W456" s="1608"/>
      <c r="X456" s="1608"/>
      <c r="Y456" s="1608"/>
      <c r="Z456" s="1608"/>
      <c r="AA456" s="1608"/>
      <c r="AB456" s="1608"/>
      <c r="AC456" s="1608"/>
      <c r="AD456" s="1608"/>
      <c r="AE456" s="1608"/>
      <c r="AF456" s="1679"/>
      <c r="AG456" s="1673">
        <v>0</v>
      </c>
      <c r="AH456" s="1673"/>
      <c r="AI456" s="1673"/>
      <c r="AJ456" s="1673"/>
      <c r="AZ456" s="3"/>
      <c r="BA456" s="3"/>
      <c r="BB456" s="3"/>
      <c r="BC456" s="3"/>
    </row>
    <row r="457" spans="4:55" ht="12.95" customHeight="1">
      <c r="D457" s="1675" t="s">
        <v>1205</v>
      </c>
      <c r="E457" s="1608"/>
      <c r="F457" s="1608"/>
      <c r="G457" s="1608"/>
      <c r="H457" s="1608"/>
      <c r="I457" s="1608"/>
      <c r="J457" s="1608"/>
      <c r="K457" s="1608"/>
      <c r="L457" s="1608"/>
      <c r="M457" s="1608"/>
      <c r="N457" s="1608"/>
      <c r="O457" s="1608"/>
      <c r="P457" s="1608"/>
      <c r="Q457" s="1608"/>
      <c r="R457" s="1608"/>
      <c r="S457" s="1608"/>
      <c r="T457" s="1608"/>
      <c r="U457" s="1608"/>
      <c r="V457" s="1608"/>
      <c r="W457" s="1608"/>
      <c r="X457" s="1608"/>
      <c r="Y457" s="1608"/>
      <c r="Z457" s="1608"/>
      <c r="AA457" s="1608"/>
      <c r="AB457" s="1608"/>
      <c r="AC457" s="1608"/>
      <c r="AD457" s="1608"/>
      <c r="AE457" s="1608"/>
      <c r="AF457" s="1679"/>
      <c r="AG457" s="1673">
        <f>38899-AG451-AG455</f>
        <v>7746</v>
      </c>
      <c r="AH457" s="1673"/>
      <c r="AI457" s="1673"/>
      <c r="AJ457" s="1673"/>
      <c r="AZ457" s="3"/>
      <c r="BA457" s="3"/>
      <c r="BB457" s="3"/>
      <c r="BC457" s="3"/>
    </row>
    <row r="458" spans="4:55" ht="12.95" customHeight="1">
      <c r="D458" s="1675" t="s">
        <v>1038</v>
      </c>
      <c r="E458" s="1608"/>
      <c r="F458" s="1608"/>
      <c r="G458" s="1608"/>
      <c r="H458" s="1608"/>
      <c r="I458" s="1608"/>
      <c r="J458" s="1608"/>
      <c r="K458" s="1608"/>
      <c r="L458" s="1608"/>
      <c r="M458" s="1608"/>
      <c r="N458" s="1608"/>
      <c r="O458" s="1608"/>
      <c r="P458" s="1608"/>
      <c r="Q458" s="1608"/>
      <c r="R458" s="1608"/>
      <c r="S458" s="1608"/>
      <c r="T458" s="1608"/>
      <c r="U458" s="1608"/>
      <c r="V458" s="1608"/>
      <c r="W458" s="1608"/>
      <c r="X458" s="1608"/>
      <c r="Y458" s="1608"/>
      <c r="Z458" s="1608"/>
      <c r="AA458" s="1608"/>
      <c r="AB458" s="1608"/>
      <c r="AC458" s="1608"/>
      <c r="AD458" s="1608"/>
      <c r="AE458" s="1608"/>
      <c r="AF458" s="1679"/>
      <c r="AG458" s="1673">
        <v>0</v>
      </c>
      <c r="AH458" s="1673"/>
      <c r="AI458" s="1673"/>
      <c r="AJ458" s="1673"/>
      <c r="BB458" s="3"/>
      <c r="BC458" s="3"/>
    </row>
    <row r="459" spans="4:55" ht="12.95" customHeight="1">
      <c r="D459" s="1670" t="s">
        <v>1039</v>
      </c>
      <c r="E459" s="1671"/>
      <c r="F459" s="1671"/>
      <c r="G459" s="1671"/>
      <c r="H459" s="1671"/>
      <c r="I459" s="1671"/>
      <c r="J459" s="1671"/>
      <c r="K459" s="1671"/>
      <c r="L459" s="1671"/>
      <c r="M459" s="1671"/>
      <c r="N459" s="1671"/>
      <c r="O459" s="1671"/>
      <c r="P459" s="1671"/>
      <c r="Q459" s="1671"/>
      <c r="R459" s="1671"/>
      <c r="S459" s="1671"/>
      <c r="T459" s="1671"/>
      <c r="U459" s="1671"/>
      <c r="V459" s="1671"/>
      <c r="W459" s="1671"/>
      <c r="X459" s="1671"/>
      <c r="Y459" s="1671"/>
      <c r="Z459" s="1671"/>
      <c r="AA459" s="1671"/>
      <c r="AB459" s="1671"/>
      <c r="AC459" s="1671"/>
      <c r="AD459" s="1671"/>
      <c r="AE459" s="1671"/>
      <c r="AF459" s="1672"/>
      <c r="AG459" s="1784">
        <f>AG451+AG455+AG457+AG458</f>
        <v>38899</v>
      </c>
      <c r="AH459" s="1784"/>
      <c r="AI459" s="1784"/>
      <c r="AJ459" s="1784"/>
      <c r="AZ459" s="3"/>
      <c r="BA459" s="3"/>
      <c r="BB459" s="3"/>
      <c r="BC459" s="3"/>
    </row>
    <row r="460" spans="4:55" ht="12.95" customHeight="1">
      <c r="D460" s="1771" t="s">
        <v>1206</v>
      </c>
      <c r="E460" s="1771"/>
      <c r="F460" s="1771"/>
      <c r="G460" s="1771"/>
      <c r="H460" s="1771"/>
      <c r="I460" s="1771"/>
      <c r="J460" s="1771"/>
      <c r="K460" s="1771"/>
      <c r="L460" s="1771"/>
      <c r="M460" s="1771"/>
      <c r="N460" s="1771"/>
      <c r="O460" s="1771"/>
      <c r="P460" s="1771"/>
      <c r="Q460" s="1771"/>
      <c r="R460" s="1771"/>
      <c r="S460" s="1771"/>
      <c r="T460" s="1771"/>
      <c r="U460" s="1771"/>
      <c r="V460" s="1771"/>
      <c r="W460" s="1771"/>
      <c r="X460" s="1771"/>
      <c r="Y460" s="1771"/>
      <c r="Z460" s="1771"/>
      <c r="AA460" s="1771"/>
      <c r="AB460" s="1771"/>
      <c r="AC460" s="1771"/>
      <c r="AD460" s="1771"/>
      <c r="AE460" s="1771"/>
      <c r="AF460" s="1771"/>
      <c r="AG460" s="1771"/>
      <c r="AH460" s="1771"/>
      <c r="AI460" s="1771"/>
      <c r="AJ460" s="1771"/>
      <c r="AZ460" s="3"/>
      <c r="BA460" s="3"/>
      <c r="BB460" s="3"/>
      <c r="BC460" s="3"/>
    </row>
    <row r="461" spans="4:55" ht="12.95" customHeight="1">
      <c r="D461" s="1772"/>
      <c r="E461" s="1772"/>
      <c r="F461" s="1772"/>
      <c r="G461" s="1772"/>
      <c r="H461" s="1772"/>
      <c r="I461" s="1772"/>
      <c r="J461" s="1772"/>
      <c r="K461" s="1772"/>
      <c r="L461" s="1772"/>
      <c r="M461" s="1772"/>
      <c r="N461" s="1772"/>
      <c r="O461" s="1772"/>
      <c r="P461" s="1772"/>
      <c r="Q461" s="1772"/>
      <c r="R461" s="1772"/>
      <c r="S461" s="1772"/>
      <c r="T461" s="1772"/>
      <c r="U461" s="1772"/>
      <c r="V461" s="1772"/>
      <c r="W461" s="1772"/>
      <c r="X461" s="1772"/>
      <c r="Y461" s="1772"/>
      <c r="Z461" s="1772"/>
      <c r="AA461" s="1772"/>
      <c r="AB461" s="1772"/>
      <c r="AC461" s="1772"/>
      <c r="AD461" s="1772"/>
      <c r="AE461" s="1772"/>
      <c r="AF461" s="1772"/>
      <c r="AG461" s="1772"/>
      <c r="AH461" s="1772"/>
      <c r="AI461" s="1772"/>
      <c r="AJ461" s="1772"/>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669">
        <f>IF(AG446=0,"",'Sources and Uses Budget'!B105/Application!AG446)</f>
        <v>366226.89830508473</v>
      </c>
      <c r="AD463" s="1669"/>
      <c r="AE463" s="1669"/>
      <c r="AF463" s="1669"/>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669">
        <f>IF(AG446=0,"",'Sources and Uses Budget'!C105/Application!AG446)</f>
        <v>366226.89830508473</v>
      </c>
      <c r="AD464" s="1669"/>
      <c r="AE464" s="1669"/>
      <c r="AF464" s="1669"/>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669">
        <f>IF(AG446=0,"",('Sources and Uses Budget'!$S$107+'Sources and Uses Budget'!$T$107)/Application!AG446)</f>
        <v>330856.9152542373</v>
      </c>
      <c r="AD465" s="1669"/>
      <c r="AE465" s="1669"/>
      <c r="AF465" s="1669"/>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664" t="s">
        <v>2054</v>
      </c>
      <c r="E473" s="1656"/>
      <c r="F473" s="1656"/>
      <c r="G473" s="1656"/>
      <c r="H473" s="1656"/>
      <c r="I473" s="1656"/>
      <c r="J473" s="1656"/>
      <c r="K473" s="1656"/>
      <c r="L473" s="1656"/>
      <c r="M473" s="1656"/>
      <c r="N473" s="1656"/>
      <c r="O473" s="1656"/>
      <c r="P473" s="1656"/>
      <c r="Q473" s="1656"/>
      <c r="R473" s="1656"/>
      <c r="S473" s="1656"/>
      <c r="T473" s="1656"/>
      <c r="U473" s="1656"/>
      <c r="V473" s="1657"/>
      <c r="W473" s="1658">
        <v>0</v>
      </c>
      <c r="X473" s="1659"/>
      <c r="Y473" s="1660"/>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655" t="s">
        <v>693</v>
      </c>
      <c r="E474" s="1656"/>
      <c r="F474" s="1656"/>
      <c r="G474" s="1656"/>
      <c r="H474" s="1656"/>
      <c r="I474" s="1656"/>
      <c r="J474" s="1656"/>
      <c r="K474" s="1656"/>
      <c r="L474" s="1656"/>
      <c r="M474" s="1656"/>
      <c r="N474" s="1656"/>
      <c r="O474" s="1656"/>
      <c r="P474" s="1656"/>
      <c r="Q474" s="1656"/>
      <c r="R474" s="1656"/>
      <c r="S474" s="1656"/>
      <c r="T474" s="1656"/>
      <c r="U474" s="1656"/>
      <c r="V474" s="1657"/>
      <c r="W474" s="1658">
        <v>0</v>
      </c>
      <c r="X474" s="1659"/>
      <c r="Y474" s="1660"/>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655" t="s">
        <v>694</v>
      </c>
      <c r="E475" s="1656"/>
      <c r="F475" s="1656"/>
      <c r="G475" s="1656"/>
      <c r="H475" s="1656"/>
      <c r="I475" s="1656"/>
      <c r="J475" s="1656"/>
      <c r="K475" s="1656"/>
      <c r="L475" s="1656"/>
      <c r="M475" s="1656"/>
      <c r="N475" s="1656"/>
      <c r="O475" s="1656"/>
      <c r="P475" s="1656"/>
      <c r="Q475" s="1656"/>
      <c r="R475" s="1656"/>
      <c r="S475" s="1656"/>
      <c r="T475" s="1656"/>
      <c r="U475" s="1656"/>
      <c r="V475" s="1657"/>
      <c r="W475" s="1658">
        <v>0</v>
      </c>
      <c r="X475" s="1659"/>
      <c r="Y475" s="166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655" t="s">
        <v>695</v>
      </c>
      <c r="E476" s="1656"/>
      <c r="F476" s="1656"/>
      <c r="G476" s="1656"/>
      <c r="H476" s="1656"/>
      <c r="I476" s="1656"/>
      <c r="J476" s="1656"/>
      <c r="K476" s="1656"/>
      <c r="L476" s="1656"/>
      <c r="M476" s="1656"/>
      <c r="N476" s="1656"/>
      <c r="O476" s="1656"/>
      <c r="P476" s="1656"/>
      <c r="Q476" s="1656"/>
      <c r="R476" s="1656"/>
      <c r="S476" s="1656"/>
      <c r="T476" s="1656"/>
      <c r="U476" s="1656"/>
      <c r="V476" s="1657"/>
      <c r="W476" s="1658">
        <v>0</v>
      </c>
      <c r="X476" s="1659"/>
      <c r="Y476" s="1660"/>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655" t="s">
        <v>881</v>
      </c>
      <c r="E477" s="1656"/>
      <c r="F477" s="1656"/>
      <c r="G477" s="1656"/>
      <c r="H477" s="1656"/>
      <c r="I477" s="1656"/>
      <c r="J477" s="1656"/>
      <c r="K477" s="1656"/>
      <c r="L477" s="1656"/>
      <c r="M477" s="1656"/>
      <c r="N477" s="1656"/>
      <c r="O477" s="1656"/>
      <c r="P477" s="1656"/>
      <c r="Q477" s="1656"/>
      <c r="R477" s="1656"/>
      <c r="S477" s="1656"/>
      <c r="T477" s="1656"/>
      <c r="U477" s="1656"/>
      <c r="V477" s="1657"/>
      <c r="W477" s="1658">
        <v>0</v>
      </c>
      <c r="X477" s="1659"/>
      <c r="Y477" s="1660"/>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655" t="s">
        <v>696</v>
      </c>
      <c r="E478" s="1656"/>
      <c r="F478" s="1656"/>
      <c r="G478" s="1656"/>
      <c r="H478" s="1656"/>
      <c r="I478" s="1656"/>
      <c r="J478" s="1656"/>
      <c r="K478" s="1656"/>
      <c r="L478" s="1656"/>
      <c r="M478" s="1656"/>
      <c r="N478" s="1656"/>
      <c r="O478" s="1656"/>
      <c r="P478" s="1656"/>
      <c r="Q478" s="1656"/>
      <c r="R478" s="1656"/>
      <c r="S478" s="1656"/>
      <c r="T478" s="1656"/>
      <c r="U478" s="1656"/>
      <c r="V478" s="1657"/>
      <c r="W478" s="1658">
        <v>0</v>
      </c>
      <c r="X478" s="1659"/>
      <c r="Y478" s="1660"/>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655" t="s">
        <v>1012</v>
      </c>
      <c r="E479" s="1656"/>
      <c r="F479" s="1656"/>
      <c r="G479" s="1656"/>
      <c r="H479" s="1656"/>
      <c r="I479" s="1656"/>
      <c r="J479" s="1656"/>
      <c r="K479" s="1656"/>
      <c r="L479" s="1656"/>
      <c r="M479" s="1656"/>
      <c r="N479" s="1656"/>
      <c r="O479" s="1656"/>
      <c r="P479" s="1656"/>
      <c r="Q479" s="1656"/>
      <c r="R479" s="1656"/>
      <c r="S479" s="1656"/>
      <c r="T479" s="1656"/>
      <c r="U479" s="1656"/>
      <c r="V479" s="1657"/>
      <c r="W479" s="1658">
        <v>0</v>
      </c>
      <c r="X479" s="1659"/>
      <c r="Y479" s="1660"/>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664" t="s">
        <v>2144</v>
      </c>
      <c r="E480" s="1737"/>
      <c r="F480" s="1737"/>
      <c r="G480" s="1737"/>
      <c r="H480" s="1737"/>
      <c r="I480" s="1737"/>
      <c r="J480" s="1737"/>
      <c r="K480" s="1737"/>
      <c r="L480" s="1737"/>
      <c r="M480" s="1737"/>
      <c r="N480" s="1737"/>
      <c r="O480" s="1737"/>
      <c r="P480" s="1737"/>
      <c r="Q480" s="1737"/>
      <c r="R480" s="1737"/>
      <c r="S480" s="1737"/>
      <c r="T480" s="1737"/>
      <c r="U480" s="1737"/>
      <c r="V480" s="1738"/>
      <c r="W480" s="1658">
        <v>0</v>
      </c>
      <c r="X480" s="1659"/>
      <c r="Y480" s="1660"/>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664" t="s">
        <v>1643</v>
      </c>
      <c r="E481" s="1656"/>
      <c r="F481" s="1656"/>
      <c r="G481" s="1656"/>
      <c r="H481" s="1656"/>
      <c r="I481" s="1656"/>
      <c r="J481" s="1656"/>
      <c r="K481" s="1656"/>
      <c r="L481" s="1656"/>
      <c r="M481" s="1656"/>
      <c r="N481" s="1656"/>
      <c r="O481" s="1656"/>
      <c r="P481" s="1656"/>
      <c r="Q481" s="1656"/>
      <c r="R481" s="1656"/>
      <c r="S481" s="1656"/>
      <c r="T481" s="1656"/>
      <c r="U481" s="1656"/>
      <c r="V481" s="1657"/>
      <c r="W481" s="1658">
        <v>15</v>
      </c>
      <c r="X481" s="1659"/>
      <c r="Y481" s="1660"/>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730"/>
      <c r="H482" s="1731"/>
      <c r="I482" s="1731"/>
      <c r="J482" s="1731"/>
      <c r="K482" s="1731"/>
      <c r="L482" s="1731"/>
      <c r="M482" s="1731"/>
      <c r="N482" s="1731"/>
      <c r="O482" s="1731"/>
      <c r="P482" s="1731"/>
      <c r="Q482" s="1731"/>
      <c r="R482" s="1731"/>
      <c r="S482" s="1731"/>
      <c r="T482" s="1731"/>
      <c r="U482" s="1731"/>
      <c r="V482" s="1732"/>
      <c r="W482" s="1658">
        <v>0</v>
      </c>
      <c r="X482" s="1659"/>
      <c r="Y482" s="1660"/>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t="s">
        <v>591</v>
      </c>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t="s">
        <v>591</v>
      </c>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t="s">
        <v>591</v>
      </c>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380" t="s">
        <v>810</v>
      </c>
      <c r="B488" s="1380"/>
      <c r="C488" s="1380"/>
      <c r="D488" s="1380"/>
      <c r="E488" s="1380"/>
      <c r="F488" s="1380"/>
      <c r="G488" s="1380"/>
      <c r="H488" s="1380"/>
      <c r="I488" s="1380"/>
      <c r="J488" s="1380"/>
      <c r="K488" s="1380"/>
      <c r="L488" s="1380"/>
      <c r="M488" s="1380"/>
      <c r="N488" s="1380"/>
      <c r="O488" s="1380"/>
      <c r="P488" s="1380"/>
      <c r="Q488" s="1380"/>
      <c r="R488" s="1380"/>
      <c r="S488" s="1380"/>
      <c r="T488" s="1380"/>
      <c r="U488" s="1380"/>
      <c r="V488" s="1380"/>
      <c r="W488" s="1380"/>
      <c r="X488" s="1380"/>
      <c r="Y488" s="1380"/>
      <c r="Z488" s="1380"/>
      <c r="AA488" s="1380"/>
      <c r="AB488" s="1380"/>
      <c r="AC488" s="1380"/>
      <c r="AD488" s="1380"/>
      <c r="AE488" s="1380"/>
      <c r="AF488" s="1380"/>
      <c r="AG488" s="1380"/>
      <c r="AH488" s="1380"/>
      <c r="AI488" s="1380"/>
      <c r="AJ488" s="1380"/>
      <c r="AK488" s="1380"/>
      <c r="AL488" s="1380"/>
      <c r="AM488" s="1380"/>
      <c r="AN488" s="1380"/>
      <c r="AO488" s="1380"/>
      <c r="AP488" s="1380"/>
      <c r="AQ488" s="1380"/>
      <c r="AR488" s="1380"/>
      <c r="AS488" s="1380"/>
      <c r="AT488" s="1380"/>
      <c r="AU488" s="95"/>
      <c r="AV488" s="95"/>
      <c r="AW488" s="95"/>
      <c r="AX488" s="95"/>
      <c r="AY488" s="95"/>
      <c r="AZ488" s="3"/>
      <c r="BB488" s="3"/>
      <c r="BC488" s="3"/>
    </row>
    <row r="489" spans="1:55" ht="12.95" customHeight="1">
      <c r="A489" s="1380"/>
      <c r="B489" s="1380"/>
      <c r="C489" s="1380"/>
      <c r="D489" s="1380"/>
      <c r="E489" s="1380"/>
      <c r="F489" s="1380"/>
      <c r="G489" s="1380"/>
      <c r="H489" s="1380"/>
      <c r="I489" s="1380"/>
      <c r="J489" s="1380"/>
      <c r="K489" s="1380"/>
      <c r="L489" s="1380"/>
      <c r="M489" s="1380"/>
      <c r="N489" s="1380"/>
      <c r="O489" s="1380"/>
      <c r="P489" s="1380"/>
      <c r="Q489" s="1380"/>
      <c r="R489" s="1380"/>
      <c r="S489" s="1380"/>
      <c r="T489" s="1380"/>
      <c r="U489" s="1380"/>
      <c r="V489" s="1380"/>
      <c r="W489" s="1380"/>
      <c r="X489" s="1380"/>
      <c r="Y489" s="1380"/>
      <c r="Z489" s="1380"/>
      <c r="AA489" s="1380"/>
      <c r="AB489" s="1380"/>
      <c r="AC489" s="1380"/>
      <c r="AD489" s="1380"/>
      <c r="AE489" s="1380"/>
      <c r="AF489" s="1380"/>
      <c r="AG489" s="1380"/>
      <c r="AH489" s="1380"/>
      <c r="AI489" s="1380"/>
      <c r="AJ489" s="1380"/>
      <c r="AK489" s="1380"/>
      <c r="AL489" s="1380"/>
      <c r="AM489" s="1380"/>
      <c r="AN489" s="1380"/>
      <c r="AO489" s="1380"/>
      <c r="AP489" s="1380"/>
      <c r="AQ489" s="1380"/>
      <c r="AR489" s="1380"/>
      <c r="AS489" s="1380"/>
      <c r="AT489" s="1380"/>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666" t="s">
        <v>393</v>
      </c>
      <c r="R493" s="1667"/>
      <c r="S493" s="1667"/>
      <c r="T493" s="1667"/>
      <c r="U493" s="1667"/>
      <c r="V493" s="1667"/>
      <c r="W493" s="1667"/>
      <c r="X493" s="1667"/>
      <c r="Y493" s="1667"/>
      <c r="Z493" s="1667"/>
      <c r="AA493" s="1667"/>
      <c r="AB493" s="1667"/>
      <c r="AC493" s="1667"/>
      <c r="AD493" s="1667"/>
      <c r="AE493" s="1667"/>
      <c r="AF493" s="1667"/>
      <c r="AG493" s="1667"/>
      <c r="AH493" s="1667"/>
      <c r="AI493" s="1667"/>
      <c r="AJ493" s="1667"/>
      <c r="AK493" s="1668"/>
      <c r="AZ493" s="3"/>
      <c r="BB493" s="3"/>
      <c r="BC493" s="3"/>
    </row>
    <row r="494" spans="1:55" ht="12.95" customHeight="1">
      <c r="B494" s="45" t="s">
        <v>394</v>
      </c>
      <c r="C494" s="5"/>
      <c r="D494" s="5"/>
      <c r="E494" s="5"/>
      <c r="F494" s="5"/>
      <c r="G494" s="5"/>
      <c r="H494" s="5"/>
      <c r="I494" s="5"/>
      <c r="J494" s="5"/>
      <c r="K494" s="5"/>
      <c r="L494" s="5"/>
      <c r="M494" s="5"/>
      <c r="N494" s="5"/>
      <c r="O494" s="5"/>
      <c r="P494" s="5"/>
      <c r="Q494" s="1378" t="s">
        <v>2698</v>
      </c>
      <c r="R494" s="1419"/>
      <c r="S494" s="1419"/>
      <c r="T494" s="1419"/>
      <c r="U494" s="1419"/>
      <c r="V494" s="1419"/>
      <c r="W494" s="1419"/>
      <c r="X494" s="1419"/>
      <c r="Y494" s="1419"/>
      <c r="Z494" s="1419"/>
      <c r="AA494" s="1419"/>
      <c r="AB494" s="1419"/>
      <c r="AC494" s="1419"/>
      <c r="AD494" s="1419"/>
      <c r="AE494" s="1419"/>
      <c r="AF494" s="1419"/>
      <c r="AG494" s="1419"/>
      <c r="AH494" s="1419"/>
      <c r="AI494" s="1419"/>
      <c r="AJ494" s="1419"/>
      <c r="AK494" s="1379"/>
      <c r="AZ494" s="3"/>
      <c r="BB494" s="3"/>
      <c r="BC494" s="3"/>
    </row>
    <row r="495" spans="1:55" ht="12.95" customHeight="1">
      <c r="B495" s="45" t="s">
        <v>395</v>
      </c>
      <c r="C495" s="5"/>
      <c r="D495" s="5"/>
      <c r="E495" s="5"/>
      <c r="F495" s="5"/>
      <c r="G495" s="5"/>
      <c r="H495" s="5"/>
      <c r="I495" s="5"/>
      <c r="J495" s="5"/>
      <c r="K495" s="5"/>
      <c r="L495" s="5"/>
      <c r="M495" s="5"/>
      <c r="N495" s="5"/>
      <c r="O495" s="5"/>
      <c r="P495" s="5"/>
      <c r="Q495" s="1378" t="s">
        <v>2712</v>
      </c>
      <c r="R495" s="1419"/>
      <c r="S495" s="1419"/>
      <c r="T495" s="1419"/>
      <c r="U495" s="1419"/>
      <c r="V495" s="1419"/>
      <c r="W495" s="1419"/>
      <c r="X495" s="1419"/>
      <c r="Y495" s="1419"/>
      <c r="Z495" s="1419"/>
      <c r="AA495" s="1419"/>
      <c r="AB495" s="1419"/>
      <c r="AC495" s="1419"/>
      <c r="AD495" s="1419"/>
      <c r="AE495" s="1419"/>
      <c r="AF495" s="1419"/>
      <c r="AG495" s="1419"/>
      <c r="AH495" s="1419"/>
      <c r="AI495" s="1419"/>
      <c r="AJ495" s="1419"/>
      <c r="AK495" s="1379"/>
      <c r="AZ495" s="3"/>
      <c r="BB495" s="3"/>
      <c r="BC495" s="3"/>
    </row>
    <row r="496" spans="1:55" ht="12.95" customHeight="1">
      <c r="B496" s="45" t="s">
        <v>396</v>
      </c>
      <c r="C496" s="5"/>
      <c r="D496" s="5"/>
      <c r="E496" s="5"/>
      <c r="F496" s="5"/>
      <c r="G496" s="5"/>
      <c r="H496" s="5"/>
      <c r="I496" s="5"/>
      <c r="J496" s="5"/>
      <c r="K496" s="5"/>
      <c r="L496" s="5"/>
      <c r="M496" s="5"/>
      <c r="N496" s="5"/>
      <c r="O496" s="5"/>
      <c r="P496" s="5"/>
      <c r="Q496" s="1378" t="s">
        <v>2712</v>
      </c>
      <c r="R496" s="1419"/>
      <c r="S496" s="1419"/>
      <c r="T496" s="1419"/>
      <c r="U496" s="1419"/>
      <c r="V496" s="1419"/>
      <c r="W496" s="1419"/>
      <c r="X496" s="1419"/>
      <c r="Y496" s="1419"/>
      <c r="Z496" s="1419"/>
      <c r="AA496" s="1419"/>
      <c r="AB496" s="1419"/>
      <c r="AC496" s="1419"/>
      <c r="AD496" s="1419"/>
      <c r="AE496" s="1419"/>
      <c r="AF496" s="1419"/>
      <c r="AG496" s="1419"/>
      <c r="AH496" s="1419"/>
      <c r="AI496" s="1419"/>
      <c r="AJ496" s="1419"/>
      <c r="AK496" s="1379"/>
      <c r="AZ496" s="3"/>
      <c r="BA496" s="3"/>
      <c r="BB496" s="3"/>
      <c r="BC496" s="3"/>
    </row>
    <row r="497" spans="1:66" ht="12.95" customHeight="1">
      <c r="B497" s="1778" t="s">
        <v>397</v>
      </c>
      <c r="C497" s="1779"/>
      <c r="D497" s="1779"/>
      <c r="E497" s="1779"/>
      <c r="F497" s="1779"/>
      <c r="G497" s="1779"/>
      <c r="H497" s="1779"/>
      <c r="I497" s="1779"/>
      <c r="J497" s="1779"/>
      <c r="K497" s="1779"/>
      <c r="L497" s="1779"/>
      <c r="M497" s="1779"/>
      <c r="N497" s="1779"/>
      <c r="O497" s="1779"/>
      <c r="P497" s="1780"/>
      <c r="Q497" s="1744" t="s">
        <v>669</v>
      </c>
      <c r="R497" s="1745"/>
      <c r="S497" s="1721" t="s">
        <v>166</v>
      </c>
      <c r="T497" s="1722"/>
      <c r="U497" s="1722"/>
      <c r="V497" s="1722"/>
      <c r="W497" s="1722"/>
      <c r="X497" s="1722"/>
      <c r="Y497" s="1722"/>
      <c r="Z497" s="1722"/>
      <c r="AA497" s="1722"/>
      <c r="AB497" s="1722"/>
      <c r="AC497" s="1722"/>
      <c r="AD497" s="1722"/>
      <c r="AE497" s="1722"/>
      <c r="AF497" s="1722"/>
      <c r="AG497" s="1722"/>
      <c r="AH497" s="1722"/>
      <c r="AI497" s="1722"/>
      <c r="AJ497" s="1722"/>
      <c r="AK497" s="1723"/>
      <c r="AZ497" s="3"/>
      <c r="BA497" s="3"/>
      <c r="BB497" s="3"/>
      <c r="BC497" s="3"/>
    </row>
    <row r="498" spans="1:66" ht="12.95" customHeight="1">
      <c r="B498" s="1781"/>
      <c r="C498" s="1782"/>
      <c r="D498" s="1782"/>
      <c r="E498" s="1782"/>
      <c r="F498" s="1782"/>
      <c r="G498" s="1782"/>
      <c r="H498" s="1782"/>
      <c r="I498" s="1782"/>
      <c r="J498" s="1782"/>
      <c r="K498" s="1782"/>
      <c r="L498" s="1782"/>
      <c r="M498" s="1782"/>
      <c r="N498" s="1782"/>
      <c r="O498" s="1782"/>
      <c r="P498" s="1783"/>
      <c r="Q498" s="1746"/>
      <c r="R498" s="1747"/>
      <c r="S498" s="1724"/>
      <c r="T498" s="1700"/>
      <c r="U498" s="1700"/>
      <c r="V498" s="1700"/>
      <c r="W498" s="1700"/>
      <c r="X498" s="1700"/>
      <c r="Y498" s="1700"/>
      <c r="Z498" s="1700"/>
      <c r="AA498" s="1700"/>
      <c r="AB498" s="1700"/>
      <c r="AC498" s="1700"/>
      <c r="AD498" s="1700"/>
      <c r="AE498" s="1700"/>
      <c r="AF498" s="1700"/>
      <c r="AG498" s="1700"/>
      <c r="AH498" s="1700"/>
      <c r="AI498" s="1700"/>
      <c r="AJ498" s="1700"/>
      <c r="AK498" s="1725"/>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741" t="s">
        <v>669</v>
      </c>
      <c r="R499" s="1742"/>
      <c r="S499" s="1742"/>
      <c r="T499" s="1742"/>
      <c r="U499" s="1742"/>
      <c r="V499" s="1742"/>
      <c r="W499" s="1742"/>
      <c r="X499" s="1742"/>
      <c r="Y499" s="1742"/>
      <c r="Z499" s="1742"/>
      <c r="AA499" s="1742"/>
      <c r="AB499" s="1742"/>
      <c r="AC499" s="1742"/>
      <c r="AD499" s="1742"/>
      <c r="AE499" s="1742"/>
      <c r="AF499" s="1742"/>
      <c r="AG499" s="1742"/>
      <c r="AH499" s="1742"/>
      <c r="AI499" s="1742"/>
      <c r="AJ499" s="1742"/>
      <c r="AK499" s="1743"/>
      <c r="AZ499" s="3"/>
      <c r="BA499" s="3"/>
      <c r="BB499" s="3"/>
      <c r="BC499" s="3"/>
    </row>
    <row r="500" spans="1:66" ht="12.95" customHeight="1">
      <c r="B500" s="45" t="s">
        <v>398</v>
      </c>
      <c r="C500" s="5"/>
      <c r="D500" s="5"/>
      <c r="E500" s="5"/>
      <c r="F500" s="5"/>
      <c r="G500" s="5"/>
      <c r="H500" s="5"/>
      <c r="I500" s="5"/>
      <c r="J500" s="5"/>
      <c r="K500" s="5"/>
      <c r="L500" s="5"/>
      <c r="M500" s="5"/>
      <c r="N500" s="5"/>
      <c r="O500" s="5"/>
      <c r="P500" s="5"/>
      <c r="Q500" s="1378" t="s">
        <v>2697</v>
      </c>
      <c r="R500" s="1419"/>
      <c r="S500" s="1419"/>
      <c r="T500" s="1419"/>
      <c r="U500" s="1419"/>
      <c r="V500" s="1419"/>
      <c r="W500" s="1419"/>
      <c r="X500" s="1419"/>
      <c r="Y500" s="1419"/>
      <c r="Z500" s="1419"/>
      <c r="AA500" s="1419"/>
      <c r="AB500" s="1419"/>
      <c r="AC500" s="1419"/>
      <c r="AD500" s="1419"/>
      <c r="AE500" s="1419"/>
      <c r="AF500" s="1419"/>
      <c r="AG500" s="1419"/>
      <c r="AH500" s="1419"/>
      <c r="AI500" s="1419"/>
      <c r="AJ500" s="1419"/>
      <c r="AK500" s="1379"/>
      <c r="AZ500" s="3"/>
      <c r="BA500" s="3"/>
      <c r="BB500" s="3"/>
      <c r="BC500" s="3"/>
    </row>
    <row r="501" spans="1:66" ht="12.95" customHeight="1">
      <c r="B501" s="45" t="s">
        <v>399</v>
      </c>
      <c r="C501" s="5"/>
      <c r="D501" s="5"/>
      <c r="E501" s="5"/>
      <c r="F501" s="5"/>
      <c r="G501" s="5"/>
      <c r="H501" s="5"/>
      <c r="I501" s="5"/>
      <c r="J501" s="5"/>
      <c r="K501" s="5"/>
      <c r="L501" s="5"/>
      <c r="M501" s="5"/>
      <c r="N501" s="5"/>
      <c r="O501" s="5"/>
      <c r="P501" s="5"/>
      <c r="Q501" s="1378">
        <v>0</v>
      </c>
      <c r="R501" s="1419"/>
      <c r="S501" s="1419"/>
      <c r="T501" s="1419"/>
      <c r="U501" s="1419"/>
      <c r="V501" s="1419"/>
      <c r="W501" s="1419"/>
      <c r="X501" s="1419"/>
      <c r="Y501" s="1419"/>
      <c r="Z501" s="1419"/>
      <c r="AA501" s="1419"/>
      <c r="AB501" s="1419"/>
      <c r="AC501" s="1419"/>
      <c r="AD501" s="1419"/>
      <c r="AE501" s="1419"/>
      <c r="AF501" s="1419"/>
      <c r="AG501" s="1419"/>
      <c r="AH501" s="1419"/>
      <c r="AI501" s="1419"/>
      <c r="AJ501" s="1419"/>
      <c r="AK501" s="1379"/>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378">
        <v>0</v>
      </c>
      <c r="R502" s="1419"/>
      <c r="S502" s="1419"/>
      <c r="T502" s="1419"/>
      <c r="U502" s="1419"/>
      <c r="V502" s="1419"/>
      <c r="W502" s="1419"/>
      <c r="X502" s="1419"/>
      <c r="Y502" s="1419"/>
      <c r="Z502" s="1419"/>
      <c r="AA502" s="1419"/>
      <c r="AB502" s="1419"/>
      <c r="AC502" s="1419"/>
      <c r="AD502" s="1419"/>
      <c r="AE502" s="1419"/>
      <c r="AF502" s="1419"/>
      <c r="AG502" s="1419"/>
      <c r="AH502" s="1419"/>
      <c r="AI502" s="1419"/>
      <c r="AJ502" s="1419"/>
      <c r="AK502" s="1379"/>
      <c r="AZ502" s="3"/>
      <c r="BA502" s="3"/>
      <c r="BB502" s="3"/>
      <c r="BC502" s="3"/>
    </row>
    <row r="503" spans="1:66" ht="12.95" customHeight="1">
      <c r="B503" s="121" t="s">
        <v>1658</v>
      </c>
      <c r="C503" s="5"/>
      <c r="D503" s="5"/>
      <c r="E503" s="5"/>
      <c r="F503" s="5"/>
      <c r="G503" s="5"/>
      <c r="H503" s="5"/>
      <c r="I503" s="5"/>
      <c r="J503" s="5"/>
      <c r="K503" s="5"/>
      <c r="L503" s="5"/>
      <c r="M503" s="1432">
        <v>0</v>
      </c>
      <c r="N503" s="1433"/>
      <c r="O503" s="1433"/>
      <c r="P503" s="1434"/>
      <c r="Q503" s="121" t="s">
        <v>1659</v>
      </c>
      <c r="R503" s="5"/>
      <c r="S503" s="5"/>
      <c r="T503" s="5"/>
      <c r="U503" s="5"/>
      <c r="V503" s="5"/>
      <c r="W503" s="5"/>
      <c r="X503" s="5"/>
      <c r="Y503" s="5"/>
      <c r="Z503" s="5"/>
      <c r="AA503" s="5"/>
      <c r="AB503" s="5"/>
      <c r="AC503" s="5"/>
      <c r="AD503" s="5"/>
      <c r="AE503" s="5"/>
      <c r="AF503" s="5"/>
      <c r="AG503" s="5"/>
      <c r="AH503" s="1432">
        <v>0</v>
      </c>
      <c r="AI503" s="1433"/>
      <c r="AJ503" s="1433"/>
      <c r="AK503" s="1434"/>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666" t="s">
        <v>401</v>
      </c>
      <c r="AD507" s="1667"/>
      <c r="AE507" s="1667"/>
      <c r="AF507" s="1667"/>
      <c r="AG507" s="1667"/>
      <c r="AH507" s="1667"/>
      <c r="AI507" s="1667"/>
      <c r="AJ507" s="1667"/>
      <c r="AK507" s="1668"/>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666" t="s">
        <v>402</v>
      </c>
      <c r="AD508" s="1667"/>
      <c r="AE508" s="1667"/>
      <c r="AF508" s="1667"/>
      <c r="AG508" s="50" t="s">
        <v>403</v>
      </c>
      <c r="AH508" s="1667" t="s">
        <v>404</v>
      </c>
      <c r="AI508" s="1667"/>
      <c r="AJ508" s="1667"/>
      <c r="AK508" s="1668"/>
      <c r="AZ508" s="3"/>
      <c r="BA508" s="3"/>
      <c r="BB508" s="3"/>
      <c r="BC508" s="3"/>
      <c r="BD508" s="3"/>
      <c r="BE508" s="3"/>
      <c r="BF508" s="3"/>
      <c r="BG508" s="3"/>
      <c r="BH508" s="3"/>
      <c r="BI508" s="3"/>
      <c r="BJ508" s="3"/>
      <c r="BK508" s="3"/>
      <c r="BL508" s="3"/>
      <c r="BM508" s="3"/>
      <c r="BN508" s="3"/>
    </row>
    <row r="509" spans="1:66" ht="12.95" customHeight="1">
      <c r="B509" s="1464" t="s">
        <v>405</v>
      </c>
      <c r="C509" s="1465"/>
      <c r="D509" s="1465"/>
      <c r="E509" s="1465"/>
      <c r="F509" s="1465"/>
      <c r="G509" s="1465"/>
      <c r="H509" s="1466"/>
      <c r="I509" s="42" t="s">
        <v>406</v>
      </c>
      <c r="J509" s="42"/>
      <c r="K509" s="42"/>
      <c r="L509" s="42"/>
      <c r="M509" s="42"/>
      <c r="N509" s="42"/>
      <c r="O509" s="42"/>
      <c r="P509" s="42"/>
      <c r="Q509" s="42"/>
      <c r="R509" s="42"/>
      <c r="S509" s="42"/>
      <c r="T509" s="42"/>
      <c r="U509" s="42"/>
      <c r="V509" s="42"/>
      <c r="W509" s="42"/>
      <c r="AC509" s="1408">
        <v>2</v>
      </c>
      <c r="AD509" s="1409"/>
      <c r="AE509" s="1409"/>
      <c r="AF509" s="1409"/>
      <c r="AG509" s="13" t="s">
        <v>403</v>
      </c>
      <c r="AH509" s="1292">
        <v>2026</v>
      </c>
      <c r="AI509" s="1292"/>
      <c r="AJ509" s="1292"/>
      <c r="AK509" s="1293"/>
      <c r="AZ509" s="3"/>
      <c r="BA509" s="3"/>
      <c r="BB509" s="3"/>
      <c r="BC509" s="3"/>
      <c r="BD509" s="3"/>
      <c r="BE509" s="3"/>
      <c r="BF509" s="3"/>
      <c r="BG509" s="3"/>
      <c r="BH509" s="3"/>
      <c r="BI509" s="3"/>
      <c r="BJ509" s="3"/>
      <c r="BK509" s="3"/>
      <c r="BL509" s="3"/>
      <c r="BM509" s="3"/>
      <c r="BN509" s="3"/>
    </row>
    <row r="510" spans="1:66" ht="12.95" customHeight="1">
      <c r="B510" s="1467"/>
      <c r="C510" s="1468"/>
      <c r="D510" s="1468"/>
      <c r="E510" s="1468"/>
      <c r="F510" s="1468"/>
      <c r="G510" s="1468"/>
      <c r="H510" s="1469"/>
      <c r="I510" s="48" t="s">
        <v>407</v>
      </c>
      <c r="J510" s="48"/>
      <c r="K510" s="48"/>
      <c r="L510" s="48"/>
      <c r="M510" s="48"/>
      <c r="N510" s="48"/>
      <c r="O510" s="48"/>
      <c r="P510" s="48"/>
      <c r="Q510" s="48"/>
      <c r="R510" s="48"/>
      <c r="S510" s="48"/>
      <c r="T510" s="48"/>
      <c r="U510" s="48"/>
      <c r="V510" s="48"/>
      <c r="W510" s="48"/>
      <c r="X510" s="48"/>
      <c r="Y510" s="48"/>
      <c r="Z510" s="48"/>
      <c r="AA510" s="48"/>
      <c r="AB510" s="48"/>
      <c r="AC510" s="1408">
        <v>2</v>
      </c>
      <c r="AD510" s="1409"/>
      <c r="AE510" s="1409"/>
      <c r="AF510" s="1409"/>
      <c r="AG510" s="38" t="s">
        <v>403</v>
      </c>
      <c r="AH510" s="1292">
        <v>2027</v>
      </c>
      <c r="AI510" s="1292"/>
      <c r="AJ510" s="1292"/>
      <c r="AK510" s="1293"/>
      <c r="AZ510" s="3"/>
      <c r="BA510" s="3"/>
      <c r="BB510" s="3"/>
      <c r="BC510" s="3"/>
      <c r="BD510" s="3"/>
      <c r="BE510" s="3"/>
      <c r="BF510" s="3"/>
      <c r="BG510" s="3"/>
      <c r="BH510" s="3"/>
      <c r="BI510" s="3"/>
      <c r="BJ510" s="3"/>
      <c r="BK510" s="3"/>
      <c r="BL510" s="3"/>
      <c r="BM510" s="3"/>
      <c r="BN510" s="3"/>
    </row>
    <row r="511" spans="1:66" ht="12.95" customHeight="1">
      <c r="B511" s="1464" t="s">
        <v>408</v>
      </c>
      <c r="C511" s="1465"/>
      <c r="D511" s="1465"/>
      <c r="E511" s="1465"/>
      <c r="F511" s="1465"/>
      <c r="G511" s="1465"/>
      <c r="H511" s="1466"/>
      <c r="I511" s="42" t="s">
        <v>409</v>
      </c>
      <c r="J511" s="42"/>
      <c r="K511" s="42"/>
      <c r="L511" s="42"/>
      <c r="M511" s="42"/>
      <c r="N511" s="42"/>
      <c r="O511" s="42"/>
      <c r="P511" s="42"/>
      <c r="Q511" s="42"/>
      <c r="R511" s="42"/>
      <c r="S511" s="42"/>
      <c r="T511" s="42"/>
      <c r="U511" s="42"/>
      <c r="V511" s="42"/>
      <c r="W511" s="42"/>
      <c r="AC511" s="1408" t="s">
        <v>591</v>
      </c>
      <c r="AD511" s="1409"/>
      <c r="AE511" s="1409"/>
      <c r="AF511" s="1409"/>
      <c r="AG511" s="13" t="s">
        <v>403</v>
      </c>
      <c r="AH511" s="1292"/>
      <c r="AI511" s="1292"/>
      <c r="AJ511" s="1292"/>
      <c r="AK511" s="1293"/>
      <c r="AZ511" s="3"/>
      <c r="BA511" s="3"/>
      <c r="BB511" s="3"/>
      <c r="BC511" s="3"/>
      <c r="BD511" s="3"/>
      <c r="BE511" s="3"/>
      <c r="BF511" s="3"/>
      <c r="BG511" s="3"/>
      <c r="BH511" s="3"/>
      <c r="BI511" s="3"/>
      <c r="BJ511" s="3"/>
      <c r="BK511" s="3"/>
      <c r="BL511" s="3"/>
      <c r="BM511" s="3"/>
      <c r="BN511" s="3"/>
    </row>
    <row r="512" spans="1:66" ht="12.95" customHeight="1">
      <c r="B512" s="1467"/>
      <c r="C512" s="1468"/>
      <c r="D512" s="1468"/>
      <c r="E512" s="1468"/>
      <c r="F512" s="1468"/>
      <c r="G512" s="1468"/>
      <c r="H512" s="1469"/>
      <c r="I512" t="s">
        <v>410</v>
      </c>
      <c r="AC512" s="1408" t="s">
        <v>591</v>
      </c>
      <c r="AD512" s="1409"/>
      <c r="AE512" s="1409"/>
      <c r="AF512" s="1409"/>
      <c r="AG512" s="13" t="s">
        <v>403</v>
      </c>
      <c r="AH512" s="1292"/>
      <c r="AI512" s="1292"/>
      <c r="AJ512" s="1292"/>
      <c r="AK512" s="1293"/>
      <c r="AZ512" s="3"/>
      <c r="BA512" s="3"/>
      <c r="BB512" s="3"/>
      <c r="BC512" s="3"/>
      <c r="BD512" s="3"/>
      <c r="BE512" s="3"/>
      <c r="BF512" s="3"/>
      <c r="BG512" s="3"/>
      <c r="BH512" s="3"/>
      <c r="BI512" s="3"/>
      <c r="BJ512" s="3"/>
      <c r="BK512" s="3"/>
      <c r="BL512" s="3"/>
      <c r="BM512" s="3"/>
      <c r="BN512" s="3"/>
    </row>
    <row r="513" spans="2:66" ht="12.95" customHeight="1">
      <c r="B513" s="1467"/>
      <c r="C513" s="1468"/>
      <c r="D513" s="1468"/>
      <c r="E513" s="1468"/>
      <c r="F513" s="1468"/>
      <c r="G513" s="1468"/>
      <c r="H513" s="1469"/>
      <c r="I513" t="s">
        <v>411</v>
      </c>
      <c r="AC513" s="1408" t="s">
        <v>591</v>
      </c>
      <c r="AD513" s="1409"/>
      <c r="AE513" s="1409"/>
      <c r="AF513" s="1409"/>
      <c r="AG513" s="13" t="s">
        <v>403</v>
      </c>
      <c r="AH513" s="1292"/>
      <c r="AI513" s="1292"/>
      <c r="AJ513" s="1292"/>
      <c r="AK513" s="1293"/>
      <c r="AZ513" s="3"/>
      <c r="BA513" s="3"/>
      <c r="BB513" s="3"/>
      <c r="BC513" s="3"/>
      <c r="BD513" s="3"/>
      <c r="BE513" s="3"/>
      <c r="BF513" s="3"/>
      <c r="BG513" s="3"/>
      <c r="BH513" s="3"/>
      <c r="BI513" s="3"/>
      <c r="BJ513" s="3"/>
      <c r="BK513" s="3"/>
      <c r="BL513" s="3"/>
      <c r="BM513" s="3"/>
      <c r="BN513" s="3"/>
    </row>
    <row r="514" spans="2:66" ht="12.95" customHeight="1">
      <c r="B514" s="1467"/>
      <c r="C514" s="1468"/>
      <c r="D514" s="1468"/>
      <c r="E514" s="1468"/>
      <c r="F514" s="1468"/>
      <c r="G514" s="1468"/>
      <c r="H514" s="1469"/>
      <c r="I514" t="s">
        <v>412</v>
      </c>
      <c r="AC514" s="1408">
        <v>1</v>
      </c>
      <c r="AD514" s="1409"/>
      <c r="AE514" s="1409"/>
      <c r="AF514" s="1409"/>
      <c r="AG514" s="13" t="s">
        <v>403</v>
      </c>
      <c r="AH514" s="1292">
        <v>2027</v>
      </c>
      <c r="AI514" s="1292"/>
      <c r="AJ514" s="1292"/>
      <c r="AK514" s="1293"/>
      <c r="AZ514" s="3"/>
      <c r="BA514" s="3"/>
      <c r="BB514" s="3"/>
      <c r="BC514" s="3"/>
      <c r="BD514" s="3"/>
      <c r="BE514" s="3"/>
      <c r="BF514" s="3"/>
      <c r="BG514" s="3"/>
      <c r="BH514" s="3"/>
      <c r="BI514" s="3"/>
      <c r="BJ514" s="3"/>
      <c r="BK514" s="3"/>
      <c r="BL514" s="3"/>
      <c r="BM514" s="3"/>
      <c r="BN514" s="3"/>
    </row>
    <row r="515" spans="2:66" ht="12.95" customHeight="1">
      <c r="B515" s="1467"/>
      <c r="C515" s="1468"/>
      <c r="D515" s="1468"/>
      <c r="E515" s="1468"/>
      <c r="F515" s="1468"/>
      <c r="G515" s="1468"/>
      <c r="H515" s="1469"/>
      <c r="I515" s="3" t="s">
        <v>413</v>
      </c>
      <c r="AC515" s="1425">
        <v>1</v>
      </c>
      <c r="AD515" s="1426"/>
      <c r="AE515" s="1426"/>
      <c r="AF515" s="1426"/>
      <c r="AG515" s="13" t="s">
        <v>403</v>
      </c>
      <c r="AH515" s="1292">
        <v>2027</v>
      </c>
      <c r="AI515" s="1292"/>
      <c r="AJ515" s="1292"/>
      <c r="AK515" s="1293"/>
      <c r="AZ515" s="3"/>
      <c r="BA515" s="3"/>
      <c r="BB515" s="3"/>
      <c r="BC515" s="3"/>
      <c r="BD515" s="3"/>
      <c r="BE515" s="3"/>
      <c r="BF515" s="3"/>
      <c r="BG515" s="3"/>
      <c r="BH515" s="3"/>
      <c r="BI515" s="3"/>
      <c r="BJ515" s="3"/>
      <c r="BK515" s="3"/>
      <c r="BL515" s="3"/>
      <c r="BM515" s="3"/>
      <c r="BN515" s="3"/>
    </row>
    <row r="516" spans="2:66" ht="12.95" customHeight="1">
      <c r="B516" s="1467"/>
      <c r="C516" s="1468"/>
      <c r="D516" s="1468"/>
      <c r="E516" s="1468"/>
      <c r="F516" s="1468"/>
      <c r="G516" s="1468"/>
      <c r="H516" s="1469"/>
      <c r="I516" s="892" t="s">
        <v>170</v>
      </c>
      <c r="J516" s="48"/>
      <c r="K516" s="48"/>
      <c r="L516" s="1410" t="s">
        <v>334</v>
      </c>
      <c r="M516" s="1411"/>
      <c r="N516" s="1411"/>
      <c r="O516" s="1411"/>
      <c r="P516" s="1411"/>
      <c r="Q516" s="1411"/>
      <c r="R516" s="1411"/>
      <c r="S516" s="1411"/>
      <c r="T516" s="1411"/>
      <c r="U516" s="1411"/>
      <c r="V516" s="1411"/>
      <c r="W516" s="1411"/>
      <c r="X516" s="1411"/>
      <c r="Y516" s="1411"/>
      <c r="Z516" s="1411"/>
      <c r="AA516" s="1411"/>
      <c r="AB516" s="1734"/>
      <c r="AC516" s="1408" t="s">
        <v>591</v>
      </c>
      <c r="AD516" s="1409"/>
      <c r="AE516" s="1409"/>
      <c r="AF516" s="1409"/>
      <c r="AG516" s="38" t="s">
        <v>403</v>
      </c>
      <c r="AH516" s="1292"/>
      <c r="AI516" s="1292"/>
      <c r="AJ516" s="1292"/>
      <c r="AK516" s="1293"/>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665" t="s">
        <v>669</v>
      </c>
      <c r="AD517" s="1665"/>
      <c r="AE517" s="1665"/>
      <c r="AF517" s="1665"/>
      <c r="AG517" s="13"/>
      <c r="AH517" s="1271"/>
      <c r="AI517" s="1271"/>
      <c r="AJ517" s="1271"/>
      <c r="AK517" s="1616"/>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425"/>
      <c r="AD518" s="1426"/>
      <c r="AE518" s="1426"/>
      <c r="AF518" s="1427"/>
      <c r="AG518" s="13"/>
      <c r="AH518" s="1271"/>
      <c r="AI518" s="1271"/>
      <c r="AJ518" s="1271"/>
      <c r="AK518" s="1616"/>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768">
        <v>0.5</v>
      </c>
      <c r="AD520" s="1769"/>
      <c r="AE520" s="1769"/>
      <c r="AF520" s="1770"/>
      <c r="AG520" s="38"/>
      <c r="AH520" s="1786"/>
      <c r="AI520" s="1786"/>
      <c r="AJ520" s="1786"/>
      <c r="AK520" s="1787"/>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85" t="s">
        <v>402</v>
      </c>
      <c r="AD521" s="1592"/>
      <c r="AE521" s="1592"/>
      <c r="AF521" s="1592"/>
      <c r="AG521" s="38" t="s">
        <v>403</v>
      </c>
      <c r="AH521" s="1592" t="s">
        <v>404</v>
      </c>
      <c r="AI521" s="1592"/>
      <c r="AJ521" s="1592"/>
      <c r="AK521" s="1777"/>
      <c r="AZ521" s="3"/>
      <c r="BA521" s="3"/>
      <c r="BB521" s="3"/>
      <c r="BC521" s="3"/>
      <c r="BD521" s="3"/>
      <c r="BE521" s="3"/>
      <c r="BF521" s="3"/>
      <c r="BG521" s="3"/>
      <c r="BH521" s="3"/>
      <c r="BI521" s="3"/>
      <c r="BJ521" s="3"/>
      <c r="BK521" s="3"/>
      <c r="BL521" s="3"/>
      <c r="BM521" s="3"/>
      <c r="BN521" s="3" t="s">
        <v>2059</v>
      </c>
    </row>
    <row r="522" spans="2:66" ht="12.95" customHeight="1">
      <c r="B522" s="1464" t="s">
        <v>414</v>
      </c>
      <c r="C522" s="1465"/>
      <c r="D522" s="1465"/>
      <c r="E522" s="1465"/>
      <c r="F522" s="1465"/>
      <c r="G522" s="1465"/>
      <c r="H522" s="1466"/>
      <c r="I522" s="42" t="s">
        <v>415</v>
      </c>
      <c r="J522" s="42"/>
      <c r="K522" s="42"/>
      <c r="L522" s="42"/>
      <c r="M522" s="42"/>
      <c r="N522" s="42"/>
      <c r="O522" s="42"/>
      <c r="P522" s="42"/>
      <c r="Q522" s="42"/>
      <c r="R522" s="42"/>
      <c r="S522" s="42"/>
      <c r="T522" s="42"/>
      <c r="U522" s="42"/>
      <c r="V522" s="42"/>
      <c r="W522" s="42"/>
      <c r="AC522" s="1408">
        <v>5</v>
      </c>
      <c r="AD522" s="1409"/>
      <c r="AE522" s="1409"/>
      <c r="AF522" s="1409"/>
      <c r="AG522" s="13" t="s">
        <v>403</v>
      </c>
      <c r="AH522" s="1292">
        <v>2026</v>
      </c>
      <c r="AI522" s="1292"/>
      <c r="AJ522" s="1292"/>
      <c r="AK522" s="1293"/>
      <c r="AZ522" s="3"/>
      <c r="BA522" s="3"/>
      <c r="BB522" s="3"/>
      <c r="BC522" s="3"/>
      <c r="BD522" s="3"/>
      <c r="BE522" s="3"/>
      <c r="BF522" s="3"/>
      <c r="BG522" s="3"/>
      <c r="BH522" s="3"/>
      <c r="BI522" s="3"/>
      <c r="BJ522" s="3"/>
      <c r="BK522" s="3"/>
      <c r="BL522" s="3"/>
      <c r="BM522" s="3"/>
      <c r="BN522" s="3" t="s">
        <v>2060</v>
      </c>
    </row>
    <row r="523" spans="2:66" ht="12.95" customHeight="1">
      <c r="B523" s="1467"/>
      <c r="C523" s="1468"/>
      <c r="D523" s="1468"/>
      <c r="E523" s="1468"/>
      <c r="F523" s="1468"/>
      <c r="G523" s="1468"/>
      <c r="H523" s="1469"/>
      <c r="I523" t="s">
        <v>416</v>
      </c>
      <c r="AC523" s="1408">
        <v>5</v>
      </c>
      <c r="AD523" s="1409"/>
      <c r="AE523" s="1409"/>
      <c r="AF523" s="1409"/>
      <c r="AG523" s="13" t="s">
        <v>403</v>
      </c>
      <c r="AH523" s="1292">
        <v>2026</v>
      </c>
      <c r="AI523" s="1292"/>
      <c r="AJ523" s="1292"/>
      <c r="AK523" s="1293"/>
      <c r="AZ523" s="3"/>
      <c r="BA523" s="3"/>
      <c r="BB523" s="3"/>
      <c r="BC523" s="3"/>
      <c r="BD523" s="3"/>
      <c r="BE523" s="3"/>
      <c r="BF523" s="3"/>
      <c r="BG523" s="3"/>
      <c r="BH523" s="3"/>
      <c r="BI523" s="3"/>
      <c r="BJ523" s="3"/>
      <c r="BK523" s="3"/>
      <c r="BL523" s="3"/>
      <c r="BM523" s="3"/>
      <c r="BN523" s="3" t="s">
        <v>2061</v>
      </c>
    </row>
    <row r="524" spans="2:66" ht="12.95" customHeight="1">
      <c r="B524" s="1467"/>
      <c r="C524" s="1468"/>
      <c r="D524" s="1468"/>
      <c r="E524" s="1468"/>
      <c r="F524" s="1468"/>
      <c r="G524" s="1468"/>
      <c r="H524" s="1469"/>
      <c r="I524" s="48" t="s">
        <v>417</v>
      </c>
      <c r="J524" s="48"/>
      <c r="K524" s="48"/>
      <c r="L524" s="48"/>
      <c r="M524" s="48"/>
      <c r="N524" s="48"/>
      <c r="O524" s="48"/>
      <c r="P524" s="48"/>
      <c r="Q524" s="48"/>
      <c r="R524" s="48"/>
      <c r="S524" s="48"/>
      <c r="T524" s="48"/>
      <c r="U524" s="48"/>
      <c r="V524" s="48"/>
      <c r="W524" s="48"/>
      <c r="X524" s="48"/>
      <c r="Y524" s="48"/>
      <c r="Z524" s="48"/>
      <c r="AA524" s="48"/>
      <c r="AB524" s="48"/>
      <c r="AC524" s="1408">
        <v>2</v>
      </c>
      <c r="AD524" s="1409"/>
      <c r="AE524" s="1409"/>
      <c r="AF524" s="1409"/>
      <c r="AG524" s="38" t="s">
        <v>403</v>
      </c>
      <c r="AH524" s="1292">
        <v>2027</v>
      </c>
      <c r="AI524" s="1292"/>
      <c r="AJ524" s="1292"/>
      <c r="AK524" s="1293"/>
      <c r="AZ524" s="3"/>
      <c r="BA524" s="3"/>
      <c r="BB524" s="3"/>
      <c r="BC524" s="3"/>
      <c r="BD524" s="3"/>
      <c r="BE524" s="3"/>
      <c r="BF524" s="3"/>
      <c r="BG524" s="3"/>
      <c r="BH524" s="3"/>
      <c r="BI524" s="3"/>
      <c r="BJ524" s="3"/>
      <c r="BK524" s="3"/>
      <c r="BL524" s="3"/>
      <c r="BM524" s="3"/>
      <c r="BN524" s="3" t="s">
        <v>2062</v>
      </c>
    </row>
    <row r="525" spans="2:66" ht="12.95" customHeight="1">
      <c r="B525" s="1464" t="s">
        <v>418</v>
      </c>
      <c r="C525" s="1465"/>
      <c r="D525" s="1465"/>
      <c r="E525" s="1465"/>
      <c r="F525" s="1465"/>
      <c r="G525" s="1465"/>
      <c r="H525" s="1466"/>
      <c r="I525" s="42" t="s">
        <v>415</v>
      </c>
      <c r="J525" s="42"/>
      <c r="K525" s="42"/>
      <c r="L525" s="42"/>
      <c r="M525" s="42"/>
      <c r="N525" s="42"/>
      <c r="O525" s="42"/>
      <c r="P525" s="42"/>
      <c r="Q525" s="42"/>
      <c r="R525" s="42"/>
      <c r="S525" s="42"/>
      <c r="T525" s="42"/>
      <c r="U525" s="42"/>
      <c r="V525" s="42"/>
      <c r="W525" s="42"/>
      <c r="X525" s="42"/>
      <c r="Y525" s="42"/>
      <c r="Z525" s="42"/>
      <c r="AA525" s="42"/>
      <c r="AB525" s="42"/>
      <c r="AC525" s="1425">
        <v>5</v>
      </c>
      <c r="AD525" s="1426"/>
      <c r="AE525" s="1426"/>
      <c r="AF525" s="1426"/>
      <c r="AG525" s="129" t="s">
        <v>403</v>
      </c>
      <c r="AH525" s="1292">
        <v>2026</v>
      </c>
      <c r="AI525" s="1292"/>
      <c r="AJ525" s="1292"/>
      <c r="AK525" s="1293"/>
      <c r="AZ525" s="3"/>
      <c r="BB525" s="3"/>
      <c r="BC525" s="3"/>
      <c r="BD525" s="3"/>
      <c r="BE525" s="3"/>
      <c r="BF525" s="3"/>
      <c r="BG525" s="3"/>
      <c r="BH525" s="3"/>
      <c r="BI525" s="3"/>
      <c r="BJ525" s="3"/>
      <c r="BK525" s="3"/>
      <c r="BL525" s="3"/>
      <c r="BM525" s="3"/>
      <c r="BN525" s="3" t="s">
        <v>2063</v>
      </c>
    </row>
    <row r="526" spans="2:66" ht="12.95" customHeight="1">
      <c r="B526" s="1467"/>
      <c r="C526" s="1468"/>
      <c r="D526" s="1468"/>
      <c r="E526" s="1468"/>
      <c r="F526" s="1468"/>
      <c r="G526" s="1468"/>
      <c r="H526" s="1469"/>
      <c r="I526" t="s">
        <v>416</v>
      </c>
      <c r="AC526" s="1408">
        <v>5</v>
      </c>
      <c r="AD526" s="1409"/>
      <c r="AE526" s="1409"/>
      <c r="AF526" s="1409"/>
      <c r="AG526" s="13" t="s">
        <v>403</v>
      </c>
      <c r="AH526" s="1292">
        <v>2026</v>
      </c>
      <c r="AI526" s="1292"/>
      <c r="AJ526" s="1292"/>
      <c r="AK526" s="1293"/>
      <c r="BB526" s="3"/>
      <c r="BC526" s="3"/>
      <c r="BD526" s="3"/>
      <c r="BE526" s="3"/>
      <c r="BF526" s="3"/>
      <c r="BG526" s="3"/>
      <c r="BH526" s="3"/>
      <c r="BI526" s="3"/>
      <c r="BJ526" s="3"/>
      <c r="BK526" s="3"/>
      <c r="BL526" s="3"/>
      <c r="BM526" s="3"/>
      <c r="BN526" s="3" t="s">
        <v>2064</v>
      </c>
    </row>
    <row r="527" spans="2:66" ht="12.95" customHeight="1">
      <c r="B527" s="1470"/>
      <c r="C527" s="1471"/>
      <c r="D527" s="1471"/>
      <c r="E527" s="1471"/>
      <c r="F527" s="1471"/>
      <c r="G527" s="1471"/>
      <c r="H527" s="1472"/>
      <c r="I527" s="48" t="s">
        <v>417</v>
      </c>
      <c r="J527" s="48"/>
      <c r="K527" s="48"/>
      <c r="L527" s="48"/>
      <c r="M527" s="48"/>
      <c r="N527" s="48"/>
      <c r="O527" s="48"/>
      <c r="P527" s="48"/>
      <c r="Q527" s="48"/>
      <c r="R527" s="48"/>
      <c r="S527" s="48"/>
      <c r="T527" s="48"/>
      <c r="U527" s="48"/>
      <c r="V527" s="48"/>
      <c r="W527" s="48"/>
      <c r="X527" s="48"/>
      <c r="Y527" s="48"/>
      <c r="Z527" s="48"/>
      <c r="AA527" s="48"/>
      <c r="AB527" s="48"/>
      <c r="AC527" s="1408">
        <v>1</v>
      </c>
      <c r="AD527" s="1409"/>
      <c r="AE527" s="1409"/>
      <c r="AF527" s="1409"/>
      <c r="AG527" s="38" t="s">
        <v>403</v>
      </c>
      <c r="AH527" s="1292">
        <v>2029</v>
      </c>
      <c r="AI527" s="1292"/>
      <c r="AJ527" s="1292"/>
      <c r="AK527" s="1293"/>
      <c r="BB527" s="3"/>
      <c r="BC527" s="3"/>
      <c r="BD527" s="3"/>
      <c r="BE527" s="3"/>
      <c r="BF527" s="3"/>
      <c r="BG527" s="3"/>
      <c r="BH527" s="3"/>
      <c r="BI527" s="3"/>
      <c r="BJ527" s="3"/>
      <c r="BK527" s="3"/>
      <c r="BL527" s="3"/>
      <c r="BM527" s="3"/>
      <c r="BN527" s="3" t="s">
        <v>2065</v>
      </c>
    </row>
    <row r="528" spans="2:66" ht="12.95" customHeight="1">
      <c r="B528" s="1464" t="s">
        <v>419</v>
      </c>
      <c r="C528" s="1465"/>
      <c r="D528" s="1465"/>
      <c r="E528" s="1465"/>
      <c r="F528" s="1465"/>
      <c r="G528" s="1465"/>
      <c r="H528" s="1466"/>
      <c r="I528" s="41" t="s">
        <v>420</v>
      </c>
      <c r="J528" s="42"/>
      <c r="K528" s="42"/>
      <c r="L528" s="42"/>
      <c r="M528" s="42"/>
      <c r="N528" s="42"/>
      <c r="O528" s="1410" t="s">
        <v>334</v>
      </c>
      <c r="P528" s="1411"/>
      <c r="Q528" s="1411"/>
      <c r="R528" s="1411"/>
      <c r="S528" s="1411"/>
      <c r="T528" s="1411"/>
      <c r="U528" s="1411"/>
      <c r="V528" s="1411"/>
      <c r="W528" s="1411"/>
      <c r="X528" s="1411"/>
      <c r="Y528" s="1411"/>
      <c r="Z528" s="1411"/>
      <c r="AA528" s="1411"/>
      <c r="AB528" s="58"/>
      <c r="AC528" s="1425" t="s">
        <v>591</v>
      </c>
      <c r="AD528" s="1426"/>
      <c r="AE528" s="1426"/>
      <c r="AF528" s="1426"/>
      <c r="AG528" s="129" t="s">
        <v>403</v>
      </c>
      <c r="AH528" s="1292"/>
      <c r="AI528" s="1292"/>
      <c r="AJ528" s="1292"/>
      <c r="AK528" s="1293"/>
      <c r="AZ528" s="3"/>
      <c r="BB528" s="3"/>
      <c r="BC528" s="3"/>
      <c r="BD528" s="3"/>
      <c r="BE528" s="3"/>
      <c r="BF528" s="3"/>
      <c r="BG528" s="3"/>
      <c r="BH528" s="3"/>
      <c r="BI528" s="3"/>
      <c r="BJ528" s="3"/>
      <c r="BK528" s="3"/>
      <c r="BL528" s="3"/>
      <c r="BM528" s="3"/>
      <c r="BN528" s="3" t="s">
        <v>2066</v>
      </c>
    </row>
    <row r="529" spans="2:66" ht="12.95" customHeight="1">
      <c r="B529" s="1467"/>
      <c r="C529" s="1468"/>
      <c r="D529" s="1468"/>
      <c r="E529" s="1468"/>
      <c r="F529" s="1468"/>
      <c r="G529" s="1468"/>
      <c r="H529" s="1469"/>
      <c r="I529" s="114" t="s">
        <v>421</v>
      </c>
      <c r="AB529" s="65"/>
      <c r="AC529" s="1408" t="s">
        <v>591</v>
      </c>
      <c r="AD529" s="1409"/>
      <c r="AE529" s="1409"/>
      <c r="AF529" s="1409"/>
      <c r="AG529" s="13" t="s">
        <v>403</v>
      </c>
      <c r="AH529" s="1292"/>
      <c r="AI529" s="1292"/>
      <c r="AJ529" s="1292"/>
      <c r="AK529" s="1293"/>
      <c r="AZ529" s="3"/>
      <c r="BB529" s="3"/>
      <c r="BC529" s="3"/>
      <c r="BD529" s="3"/>
      <c r="BE529" s="3"/>
      <c r="BF529" s="3"/>
      <c r="BG529" s="3"/>
      <c r="BH529" s="3"/>
      <c r="BI529" s="3"/>
      <c r="BJ529" s="3"/>
      <c r="BK529" s="3"/>
      <c r="BL529" s="3"/>
      <c r="BM529" s="3"/>
      <c r="BN529" s="3" t="s">
        <v>2067</v>
      </c>
    </row>
    <row r="530" spans="2:66" ht="12.95" customHeight="1">
      <c r="B530" s="1467"/>
      <c r="C530" s="1468"/>
      <c r="D530" s="1468"/>
      <c r="E530" s="1468"/>
      <c r="F530" s="1468"/>
      <c r="G530" s="1468"/>
      <c r="H530" s="1469"/>
      <c r="I530" s="47" t="s">
        <v>422</v>
      </c>
      <c r="J530" s="48"/>
      <c r="K530" s="48"/>
      <c r="L530" s="48"/>
      <c r="M530" s="48"/>
      <c r="N530" s="48"/>
      <c r="O530" s="48"/>
      <c r="P530" s="48"/>
      <c r="Q530" s="48"/>
      <c r="R530" s="48"/>
      <c r="S530" s="48"/>
      <c r="T530" s="48"/>
      <c r="U530" s="48"/>
      <c r="V530" s="48"/>
      <c r="W530" s="48"/>
      <c r="X530" s="48"/>
      <c r="Y530" s="48"/>
      <c r="Z530" s="48"/>
      <c r="AA530" s="48"/>
      <c r="AB530" s="49"/>
      <c r="AC530" s="1408" t="s">
        <v>591</v>
      </c>
      <c r="AD530" s="1409"/>
      <c r="AE530" s="1409"/>
      <c r="AF530" s="1409"/>
      <c r="AG530" s="38" t="s">
        <v>403</v>
      </c>
      <c r="AH530" s="1292"/>
      <c r="AI530" s="1292"/>
      <c r="AJ530" s="1292"/>
      <c r="AK530" s="1293"/>
      <c r="AZ530" s="3"/>
      <c r="BA530" s="3"/>
      <c r="BB530" s="3"/>
      <c r="BC530" s="3"/>
      <c r="BD530" s="3"/>
      <c r="BE530" s="3"/>
      <c r="BF530" s="3"/>
      <c r="BG530" s="3"/>
      <c r="BH530" s="3"/>
      <c r="BI530" s="3"/>
      <c r="BJ530" s="3"/>
      <c r="BK530" s="3"/>
      <c r="BL530" s="3"/>
      <c r="BM530" s="3"/>
      <c r="BN530" s="3" t="s">
        <v>2068</v>
      </c>
    </row>
    <row r="531" spans="2:66" ht="12.95" customHeight="1">
      <c r="B531" s="1467"/>
      <c r="C531" s="1468"/>
      <c r="D531" s="1468"/>
      <c r="E531" s="1468"/>
      <c r="F531" s="1468"/>
      <c r="G531" s="1468"/>
      <c r="H531" s="1469"/>
      <c r="I531" s="42" t="s">
        <v>423</v>
      </c>
      <c r="J531" s="42"/>
      <c r="K531" s="42"/>
      <c r="L531" s="42"/>
      <c r="M531" s="42"/>
      <c r="N531" s="42"/>
      <c r="O531" s="1410" t="s">
        <v>334</v>
      </c>
      <c r="P531" s="1411"/>
      <c r="Q531" s="1411"/>
      <c r="R531" s="1411"/>
      <c r="S531" s="1411"/>
      <c r="T531" s="1411"/>
      <c r="U531" s="1411"/>
      <c r="V531" s="1411"/>
      <c r="W531" s="1411"/>
      <c r="X531" s="1411"/>
      <c r="Y531" s="1411"/>
      <c r="Z531" s="1411"/>
      <c r="AA531" s="1411"/>
      <c r="AC531" s="1408" t="s">
        <v>591</v>
      </c>
      <c r="AD531" s="1409"/>
      <c r="AE531" s="1409"/>
      <c r="AF531" s="1409"/>
      <c r="AG531" s="13" t="s">
        <v>403</v>
      </c>
      <c r="AH531" s="1292"/>
      <c r="AI531" s="1292"/>
      <c r="AJ531" s="1292"/>
      <c r="AK531" s="1293"/>
      <c r="AZ531" s="3"/>
      <c r="BA531" s="3"/>
      <c r="BB531" s="3"/>
      <c r="BC531" s="3"/>
      <c r="BD531" s="3"/>
      <c r="BE531" s="3"/>
      <c r="BF531" s="3"/>
      <c r="BG531" s="3"/>
      <c r="BH531" s="3"/>
      <c r="BI531" s="3"/>
      <c r="BJ531" s="3"/>
      <c r="BK531" s="3"/>
      <c r="BL531" s="3"/>
      <c r="BM531" s="3"/>
      <c r="BN531" s="3" t="s">
        <v>2069</v>
      </c>
    </row>
    <row r="532" spans="2:66" ht="12.95" customHeight="1">
      <c r="B532" s="1467"/>
      <c r="C532" s="1468"/>
      <c r="D532" s="1468"/>
      <c r="E532" s="1468"/>
      <c r="F532" s="1468"/>
      <c r="G532" s="1468"/>
      <c r="H532" s="1469"/>
      <c r="I532" t="s">
        <v>421</v>
      </c>
      <c r="AC532" s="1408" t="s">
        <v>591</v>
      </c>
      <c r="AD532" s="1409"/>
      <c r="AE532" s="1409"/>
      <c r="AF532" s="1409"/>
      <c r="AG532" s="13" t="s">
        <v>403</v>
      </c>
      <c r="AH532" s="1292"/>
      <c r="AI532" s="1292"/>
      <c r="AJ532" s="1292"/>
      <c r="AK532" s="1293"/>
      <c r="AZ532" s="3"/>
      <c r="BA532" s="3"/>
      <c r="BB532" s="3"/>
      <c r="BC532" s="3"/>
      <c r="BD532" s="3"/>
      <c r="BE532" s="3"/>
      <c r="BF532" s="3"/>
      <c r="BG532" s="3"/>
      <c r="BH532" s="3"/>
      <c r="BI532" s="3"/>
      <c r="BJ532" s="3"/>
      <c r="BK532" s="3"/>
      <c r="BL532" s="3"/>
      <c r="BM532" s="3"/>
      <c r="BN532" s="3" t="s">
        <v>2070</v>
      </c>
    </row>
    <row r="533" spans="2:66" ht="12.95" customHeight="1">
      <c r="B533" s="1467"/>
      <c r="C533" s="1468"/>
      <c r="D533" s="1468"/>
      <c r="E533" s="1468"/>
      <c r="F533" s="1468"/>
      <c r="G533" s="1468"/>
      <c r="H533" s="1469"/>
      <c r="I533" s="48" t="s">
        <v>422</v>
      </c>
      <c r="J533" s="48"/>
      <c r="K533" s="48"/>
      <c r="L533" s="48"/>
      <c r="M533" s="48"/>
      <c r="N533" s="48"/>
      <c r="O533" s="48"/>
      <c r="P533" s="48"/>
      <c r="Q533" s="48"/>
      <c r="R533" s="48"/>
      <c r="S533" s="48"/>
      <c r="T533" s="48"/>
      <c r="U533" s="48"/>
      <c r="V533" s="48"/>
      <c r="W533" s="48"/>
      <c r="X533" s="48"/>
      <c r="Y533" s="48"/>
      <c r="Z533" s="48"/>
      <c r="AA533" s="48"/>
      <c r="AB533" s="48"/>
      <c r="AC533" s="1408" t="s">
        <v>591</v>
      </c>
      <c r="AD533" s="1409"/>
      <c r="AE533" s="1409"/>
      <c r="AF533" s="1409"/>
      <c r="AG533" s="38" t="s">
        <v>403</v>
      </c>
      <c r="AH533" s="1292"/>
      <c r="AI533" s="1292"/>
      <c r="AJ533" s="1292"/>
      <c r="AK533" s="1293"/>
      <c r="AZ533" s="3"/>
      <c r="BA533" s="3"/>
      <c r="BB533" s="3"/>
      <c r="BC533" s="3"/>
      <c r="BD533" s="3"/>
      <c r="BE533" s="3"/>
      <c r="BF533" s="3"/>
      <c r="BG533" s="3"/>
      <c r="BH533" s="3"/>
      <c r="BI533" s="3"/>
      <c r="BJ533" s="3"/>
      <c r="BK533" s="3"/>
      <c r="BL533" s="3"/>
      <c r="BM533" s="3"/>
      <c r="BN533" s="3" t="s">
        <v>2071</v>
      </c>
    </row>
    <row r="534" spans="2:66" ht="12.95" customHeight="1">
      <c r="B534" s="1467"/>
      <c r="C534" s="1468"/>
      <c r="D534" s="1468"/>
      <c r="E534" s="1468"/>
      <c r="F534" s="1468"/>
      <c r="G534" s="1468"/>
      <c r="H534" s="1469"/>
      <c r="I534" s="42" t="s">
        <v>423</v>
      </c>
      <c r="J534" s="42"/>
      <c r="K534" s="42"/>
      <c r="L534" s="42"/>
      <c r="M534" s="42"/>
      <c r="N534" s="42"/>
      <c r="O534" s="1410" t="s">
        <v>334</v>
      </c>
      <c r="P534" s="1411"/>
      <c r="Q534" s="1411"/>
      <c r="R534" s="1411"/>
      <c r="S534" s="1411"/>
      <c r="T534" s="1411"/>
      <c r="U534" s="1411"/>
      <c r="V534" s="1411"/>
      <c r="W534" s="1411"/>
      <c r="X534" s="1411"/>
      <c r="Y534" s="1411"/>
      <c r="Z534" s="1411"/>
      <c r="AA534" s="1411"/>
      <c r="AC534" s="1408" t="s">
        <v>591</v>
      </c>
      <c r="AD534" s="1409"/>
      <c r="AE534" s="1409"/>
      <c r="AF534" s="1409"/>
      <c r="AG534" s="13" t="s">
        <v>403</v>
      </c>
      <c r="AH534" s="1292"/>
      <c r="AI534" s="1292"/>
      <c r="AJ534" s="1292"/>
      <c r="AK534" s="1293"/>
      <c r="AZ534" s="3"/>
      <c r="BA534" s="3"/>
      <c r="BB534" s="3"/>
      <c r="BC534" s="3"/>
      <c r="BD534" s="3"/>
      <c r="BE534" s="3"/>
      <c r="BF534" s="3"/>
      <c r="BG534" s="3"/>
      <c r="BH534" s="3"/>
      <c r="BI534" s="3"/>
      <c r="BJ534" s="3"/>
      <c r="BK534" s="3"/>
      <c r="BL534" s="3"/>
      <c r="BM534" s="3"/>
      <c r="BN534" s="3" t="s">
        <v>2072</v>
      </c>
    </row>
    <row r="535" spans="2:66" ht="12.95" customHeight="1">
      <c r="B535" s="1467"/>
      <c r="C535" s="1468"/>
      <c r="D535" s="1468"/>
      <c r="E535" s="1468"/>
      <c r="F535" s="1468"/>
      <c r="G535" s="1468"/>
      <c r="H535" s="1469"/>
      <c r="I535" t="s">
        <v>421</v>
      </c>
      <c r="AC535" s="1408" t="s">
        <v>591</v>
      </c>
      <c r="AD535" s="1409"/>
      <c r="AE535" s="1409"/>
      <c r="AF535" s="1409"/>
      <c r="AG535" s="13" t="s">
        <v>403</v>
      </c>
      <c r="AH535" s="1292"/>
      <c r="AI535" s="1292"/>
      <c r="AJ535" s="1292"/>
      <c r="AK535" s="1293"/>
      <c r="AZ535" s="3"/>
      <c r="BA535" s="3"/>
      <c r="BB535" s="3"/>
      <c r="BC535" s="3"/>
      <c r="BD535" s="3"/>
      <c r="BE535" s="3"/>
      <c r="BF535" s="3"/>
      <c r="BG535" s="3"/>
      <c r="BH535" s="3"/>
      <c r="BI535" s="3"/>
      <c r="BJ535" s="3"/>
      <c r="BK535" s="3"/>
      <c r="BL535" s="3"/>
      <c r="BM535" s="3"/>
      <c r="BN535" s="3" t="s">
        <v>2073</v>
      </c>
    </row>
    <row r="536" spans="2:66" ht="12.95" customHeight="1">
      <c r="B536" s="1467"/>
      <c r="C536" s="1468"/>
      <c r="D536" s="1468"/>
      <c r="E536" s="1468"/>
      <c r="F536" s="1468"/>
      <c r="G536" s="1468"/>
      <c r="H536" s="1469"/>
      <c r="I536" s="48" t="s">
        <v>422</v>
      </c>
      <c r="J536" s="48"/>
      <c r="K536" s="48"/>
      <c r="L536" s="48"/>
      <c r="M536" s="48"/>
      <c r="N536" s="48"/>
      <c r="O536" s="48"/>
      <c r="P536" s="48"/>
      <c r="Q536" s="48"/>
      <c r="R536" s="48"/>
      <c r="S536" s="48"/>
      <c r="T536" s="48"/>
      <c r="U536" s="48"/>
      <c r="V536" s="48"/>
      <c r="W536" s="48"/>
      <c r="X536" s="48"/>
      <c r="Y536" s="48"/>
      <c r="Z536" s="48"/>
      <c r="AA536" s="48"/>
      <c r="AB536" s="48"/>
      <c r="AC536" s="1408" t="s">
        <v>591</v>
      </c>
      <c r="AD536" s="1409"/>
      <c r="AE536" s="1409"/>
      <c r="AF536" s="1409"/>
      <c r="AG536" s="38" t="s">
        <v>403</v>
      </c>
      <c r="AH536" s="1292"/>
      <c r="AI536" s="1292"/>
      <c r="AJ536" s="1292"/>
      <c r="AK536" s="1293"/>
      <c r="AZ536" s="3"/>
      <c r="BA536" s="3"/>
      <c r="BB536" s="3"/>
      <c r="BC536" s="3"/>
      <c r="BD536" s="3"/>
      <c r="BE536" s="3"/>
      <c r="BF536" s="3"/>
      <c r="BG536" s="3"/>
      <c r="BH536" s="3"/>
      <c r="BI536" s="3"/>
      <c r="BJ536" s="3"/>
      <c r="BK536" s="3"/>
      <c r="BL536" s="3"/>
      <c r="BM536" s="3"/>
      <c r="BN536" s="3" t="s">
        <v>2074</v>
      </c>
    </row>
    <row r="537" spans="2:66" ht="12.95" customHeight="1">
      <c r="B537" s="1467"/>
      <c r="C537" s="1468"/>
      <c r="D537" s="1468"/>
      <c r="E537" s="1468"/>
      <c r="F537" s="1468"/>
      <c r="G537" s="1468"/>
      <c r="H537" s="1469"/>
      <c r="I537" s="42" t="s">
        <v>423</v>
      </c>
      <c r="J537" s="42"/>
      <c r="K537" s="42"/>
      <c r="L537" s="42"/>
      <c r="M537" s="42"/>
      <c r="N537" s="42"/>
      <c r="O537" s="1410" t="s">
        <v>334</v>
      </c>
      <c r="P537" s="1411"/>
      <c r="Q537" s="1411"/>
      <c r="R537" s="1411"/>
      <c r="S537" s="1411"/>
      <c r="T537" s="1411"/>
      <c r="U537" s="1411"/>
      <c r="V537" s="1411"/>
      <c r="W537" s="1411"/>
      <c r="X537" s="1411"/>
      <c r="Y537" s="1411"/>
      <c r="Z537" s="1411"/>
      <c r="AA537" s="1411"/>
      <c r="AC537" s="1408" t="s">
        <v>591</v>
      </c>
      <c r="AD537" s="1409"/>
      <c r="AE537" s="1409"/>
      <c r="AF537" s="1409"/>
      <c r="AG537" s="13" t="s">
        <v>403</v>
      </c>
      <c r="AH537" s="1292"/>
      <c r="AI537" s="1292"/>
      <c r="AJ537" s="1292"/>
      <c r="AK537" s="1293"/>
      <c r="AZ537" s="3"/>
      <c r="BA537" s="3"/>
      <c r="BB537" s="3"/>
      <c r="BC537" s="3"/>
      <c r="BD537" s="3"/>
      <c r="BE537" s="3"/>
      <c r="BF537" s="3"/>
      <c r="BG537" s="3"/>
      <c r="BH537" s="3"/>
      <c r="BI537" s="3"/>
      <c r="BJ537" s="3"/>
      <c r="BK537" s="3"/>
      <c r="BL537" s="3"/>
      <c r="BM537" s="3"/>
      <c r="BN537" s="3" t="s">
        <v>2075</v>
      </c>
    </row>
    <row r="538" spans="2:66" ht="12.95" customHeight="1">
      <c r="B538" s="1467"/>
      <c r="C538" s="1468"/>
      <c r="D538" s="1468"/>
      <c r="E538" s="1468"/>
      <c r="F538" s="1468"/>
      <c r="G538" s="1468"/>
      <c r="H538" s="1469"/>
      <c r="I538" t="s">
        <v>421</v>
      </c>
      <c r="AC538" s="1408" t="s">
        <v>591</v>
      </c>
      <c r="AD538" s="1409"/>
      <c r="AE538" s="1409"/>
      <c r="AF538" s="1409"/>
      <c r="AG538" s="13" t="s">
        <v>403</v>
      </c>
      <c r="AH538" s="1292"/>
      <c r="AI538" s="1292"/>
      <c r="AJ538" s="1292"/>
      <c r="AK538" s="1293"/>
      <c r="AZ538" s="3"/>
      <c r="BA538" s="3"/>
      <c r="BB538" s="3"/>
      <c r="BC538" s="3"/>
      <c r="BD538" s="3"/>
      <c r="BE538" s="3"/>
      <c r="BF538" s="3"/>
      <c r="BG538" s="3"/>
      <c r="BH538" s="3"/>
      <c r="BI538" s="3"/>
      <c r="BJ538" s="3"/>
      <c r="BK538" s="3"/>
      <c r="BL538" s="3"/>
      <c r="BM538" s="3"/>
      <c r="BN538" s="3" t="s">
        <v>2076</v>
      </c>
    </row>
    <row r="539" spans="2:66" ht="12.95" customHeight="1">
      <c r="B539" s="1467"/>
      <c r="C539" s="1468"/>
      <c r="D539" s="1468"/>
      <c r="E539" s="1468"/>
      <c r="F539" s="1468"/>
      <c r="G539" s="1468"/>
      <c r="H539" s="1469"/>
      <c r="I539" s="48" t="s">
        <v>422</v>
      </c>
      <c r="J539" s="48"/>
      <c r="K539" s="48"/>
      <c r="L539" s="48"/>
      <c r="M539" s="48"/>
      <c r="N539" s="48"/>
      <c r="O539" s="48"/>
      <c r="P539" s="48"/>
      <c r="Q539" s="48"/>
      <c r="R539" s="48"/>
      <c r="S539" s="48"/>
      <c r="T539" s="48"/>
      <c r="U539" s="48"/>
      <c r="V539" s="48"/>
      <c r="W539" s="48"/>
      <c r="X539" s="48"/>
      <c r="Y539" s="48"/>
      <c r="Z539" s="48"/>
      <c r="AA539" s="48"/>
      <c r="AB539" s="48"/>
      <c r="AC539" s="1408" t="s">
        <v>591</v>
      </c>
      <c r="AD539" s="1409"/>
      <c r="AE539" s="1409"/>
      <c r="AF539" s="1409"/>
      <c r="AG539" s="38" t="s">
        <v>403</v>
      </c>
      <c r="AH539" s="1292"/>
      <c r="AI539" s="1292"/>
      <c r="AJ539" s="1292"/>
      <c r="AK539" s="1293"/>
      <c r="AZ539" s="3"/>
      <c r="BA539" s="3"/>
      <c r="BB539" s="3"/>
      <c r="BC539" s="3"/>
      <c r="BD539" s="3"/>
      <c r="BE539" s="3"/>
      <c r="BF539" s="3"/>
      <c r="BG539" s="3"/>
      <c r="BH539" s="3"/>
      <c r="BI539" s="3"/>
      <c r="BJ539" s="3"/>
      <c r="BK539" s="3"/>
      <c r="BL539" s="3"/>
      <c r="BM539" s="3"/>
      <c r="BN539" s="3" t="s">
        <v>2077</v>
      </c>
    </row>
    <row r="540" spans="2:66" ht="12.95" customHeight="1">
      <c r="B540" s="1467"/>
      <c r="C540" s="1468"/>
      <c r="D540" s="1468"/>
      <c r="E540" s="1468"/>
      <c r="F540" s="1468"/>
      <c r="G540" s="1468"/>
      <c r="H540" s="1469"/>
      <c r="I540" s="42" t="s">
        <v>423</v>
      </c>
      <c r="J540" s="42"/>
      <c r="K540" s="42"/>
      <c r="L540" s="42"/>
      <c r="M540" s="42"/>
      <c r="N540" s="42"/>
      <c r="O540" s="1410" t="s">
        <v>334</v>
      </c>
      <c r="P540" s="1411"/>
      <c r="Q540" s="1411"/>
      <c r="R540" s="1411"/>
      <c r="S540" s="1411"/>
      <c r="T540" s="1411"/>
      <c r="U540" s="1411"/>
      <c r="V540" s="1411"/>
      <c r="W540" s="1411"/>
      <c r="X540" s="1411"/>
      <c r="Y540" s="1411"/>
      <c r="Z540" s="1411"/>
      <c r="AA540" s="1411"/>
      <c r="AC540" s="1408" t="s">
        <v>591</v>
      </c>
      <c r="AD540" s="1409"/>
      <c r="AE540" s="1409"/>
      <c r="AF540" s="1409"/>
      <c r="AG540" s="13" t="s">
        <v>403</v>
      </c>
      <c r="AH540" s="1292"/>
      <c r="AI540" s="1292"/>
      <c r="AJ540" s="1292"/>
      <c r="AK540" s="1293"/>
      <c r="AZ540" s="3"/>
      <c r="BA540" s="3"/>
      <c r="BB540" s="3"/>
      <c r="BC540" s="3"/>
      <c r="BD540" s="3"/>
      <c r="BE540" s="3"/>
      <c r="BF540" s="3"/>
      <c r="BG540" s="3"/>
      <c r="BH540" s="3"/>
      <c r="BI540" s="3"/>
      <c r="BJ540" s="3"/>
      <c r="BK540" s="3"/>
      <c r="BL540" s="3"/>
      <c r="BM540" s="3"/>
      <c r="BN540" s="3" t="s">
        <v>2078</v>
      </c>
    </row>
    <row r="541" spans="2:66" ht="12.95" customHeight="1">
      <c r="B541" s="1467"/>
      <c r="C541" s="1468"/>
      <c r="D541" s="1468"/>
      <c r="E541" s="1468"/>
      <c r="F541" s="1468"/>
      <c r="G541" s="1468"/>
      <c r="H541" s="1469"/>
      <c r="I541" t="s">
        <v>421</v>
      </c>
      <c r="AC541" s="1408" t="s">
        <v>591</v>
      </c>
      <c r="AD541" s="1409"/>
      <c r="AE541" s="1409"/>
      <c r="AF541" s="1409"/>
      <c r="AG541" s="38" t="s">
        <v>403</v>
      </c>
      <c r="AH541" s="1292"/>
      <c r="AI541" s="1292"/>
      <c r="AJ541" s="1292"/>
      <c r="AK541" s="1293"/>
      <c r="AZ541" s="3"/>
      <c r="BA541" s="3"/>
      <c r="BB541" s="3"/>
      <c r="BC541" s="3"/>
      <c r="BD541" s="3"/>
      <c r="BE541" s="3"/>
      <c r="BF541" s="3"/>
      <c r="BG541" s="3"/>
      <c r="BH541" s="3"/>
      <c r="BI541" s="3"/>
      <c r="BJ541" s="3"/>
      <c r="BK541" s="3"/>
      <c r="BL541" s="3"/>
      <c r="BM541" s="3"/>
      <c r="BN541" s="3" t="s">
        <v>2079</v>
      </c>
    </row>
    <row r="542" spans="2:66" ht="12.95" customHeight="1">
      <c r="B542" s="1467"/>
      <c r="C542" s="1468"/>
      <c r="D542" s="1468"/>
      <c r="E542" s="1468"/>
      <c r="F542" s="1468"/>
      <c r="G542" s="1468"/>
      <c r="H542" s="1469"/>
      <c r="I542" s="48" t="s">
        <v>422</v>
      </c>
      <c r="J542" s="48"/>
      <c r="K542" s="48"/>
      <c r="L542" s="48"/>
      <c r="M542" s="48"/>
      <c r="N542" s="48"/>
      <c r="O542" s="48"/>
      <c r="P542" s="48"/>
      <c r="Q542" s="48"/>
      <c r="R542" s="48"/>
      <c r="S542" s="48"/>
      <c r="T542" s="48"/>
      <c r="U542" s="48"/>
      <c r="V542" s="48"/>
      <c r="W542" s="48"/>
      <c r="X542" s="48"/>
      <c r="Y542" s="48"/>
      <c r="Z542" s="48"/>
      <c r="AA542" s="48"/>
      <c r="AB542" s="48"/>
      <c r="AC542" s="1408" t="s">
        <v>591</v>
      </c>
      <c r="AD542" s="1409"/>
      <c r="AE542" s="1409"/>
      <c r="AF542" s="1409"/>
      <c r="AG542" s="13" t="s">
        <v>403</v>
      </c>
      <c r="AH542" s="1292"/>
      <c r="AI542" s="1292"/>
      <c r="AJ542" s="1292"/>
      <c r="AK542" s="1293"/>
      <c r="AZ542" s="3"/>
      <c r="BA542" s="3"/>
      <c r="BB542" s="3"/>
      <c r="BC542" s="3"/>
      <c r="BD542" s="3"/>
      <c r="BE542" s="3"/>
      <c r="BF542" s="3"/>
      <c r="BG542" s="3"/>
      <c r="BH542" s="3"/>
      <c r="BI542" s="3"/>
      <c r="BJ542" s="3"/>
      <c r="BK542" s="3"/>
      <c r="BL542" s="3"/>
      <c r="BM542" s="3"/>
      <c r="BN542" s="3" t="s">
        <v>2080</v>
      </c>
    </row>
    <row r="543" spans="2:66" ht="12.95" customHeight="1">
      <c r="B543" s="1467"/>
      <c r="C543" s="1468"/>
      <c r="D543" s="1468"/>
      <c r="E543" s="1468"/>
      <c r="F543" s="1468"/>
      <c r="G543" s="1468"/>
      <c r="H543" s="1469"/>
      <c r="I543" s="42" t="s">
        <v>423</v>
      </c>
      <c r="J543" s="42"/>
      <c r="K543" s="42"/>
      <c r="L543" s="42"/>
      <c r="M543" s="42"/>
      <c r="N543" s="42"/>
      <c r="O543" s="1410" t="s">
        <v>334</v>
      </c>
      <c r="P543" s="1411"/>
      <c r="Q543" s="1411"/>
      <c r="R543" s="1411"/>
      <c r="S543" s="1411"/>
      <c r="T543" s="1411"/>
      <c r="U543" s="1411"/>
      <c r="V543" s="1411"/>
      <c r="W543" s="1411"/>
      <c r="X543" s="1411"/>
      <c r="Y543" s="1411"/>
      <c r="Z543" s="1411"/>
      <c r="AA543" s="1411"/>
      <c r="AC543" s="1408" t="s">
        <v>591</v>
      </c>
      <c r="AD543" s="1409"/>
      <c r="AE543" s="1409"/>
      <c r="AF543" s="1409"/>
      <c r="AG543" s="38" t="s">
        <v>403</v>
      </c>
      <c r="AH543" s="1292"/>
      <c r="AI543" s="1292"/>
      <c r="AJ543" s="1292"/>
      <c r="AK543" s="1293"/>
      <c r="AZ543" s="3"/>
      <c r="BA543" s="3"/>
      <c r="BB543" s="3"/>
      <c r="BC543" s="3"/>
      <c r="BD543" s="3"/>
      <c r="BE543" s="3"/>
      <c r="BF543" s="3"/>
      <c r="BG543" s="3"/>
      <c r="BH543" s="3"/>
      <c r="BI543" s="3"/>
      <c r="BJ543" s="3"/>
      <c r="BK543" s="3"/>
      <c r="BL543" s="3"/>
      <c r="BM543" s="3"/>
      <c r="BN543" s="3" t="s">
        <v>2081</v>
      </c>
    </row>
    <row r="544" spans="2:66" ht="12.95" customHeight="1">
      <c r="B544" s="1467"/>
      <c r="C544" s="1468"/>
      <c r="D544" s="1468"/>
      <c r="E544" s="1468"/>
      <c r="F544" s="1468"/>
      <c r="G544" s="1468"/>
      <c r="H544" s="1469"/>
      <c r="I544" t="s">
        <v>421</v>
      </c>
      <c r="AC544" s="1408" t="s">
        <v>591</v>
      </c>
      <c r="AD544" s="1409"/>
      <c r="AE544" s="1409"/>
      <c r="AF544" s="1409"/>
      <c r="AG544" s="13" t="s">
        <v>403</v>
      </c>
      <c r="AH544" s="1292"/>
      <c r="AI544" s="1292"/>
      <c r="AJ544" s="1292"/>
      <c r="AK544" s="1293"/>
      <c r="AZ544" s="3"/>
      <c r="BA544" s="3"/>
      <c r="BB544" s="3"/>
      <c r="BC544" s="3"/>
      <c r="BD544" s="3"/>
      <c r="BE544" s="3"/>
      <c r="BF544" s="3"/>
      <c r="BG544" s="3"/>
      <c r="BH544" s="3"/>
      <c r="BI544" s="3"/>
      <c r="BJ544" s="3"/>
      <c r="BK544" s="3"/>
      <c r="BL544" s="3"/>
      <c r="BM544" s="3"/>
      <c r="BN544" s="3" t="s">
        <v>2082</v>
      </c>
    </row>
    <row r="545" spans="1:66" ht="12.95" customHeight="1">
      <c r="B545" s="1467"/>
      <c r="C545" s="1468"/>
      <c r="D545" s="1468"/>
      <c r="E545" s="1468"/>
      <c r="F545" s="1468"/>
      <c r="G545" s="1468"/>
      <c r="H545" s="1469"/>
      <c r="I545" s="48" t="s">
        <v>422</v>
      </c>
      <c r="J545" s="48"/>
      <c r="K545" s="48"/>
      <c r="L545" s="48"/>
      <c r="M545" s="48"/>
      <c r="N545" s="48"/>
      <c r="O545" s="48"/>
      <c r="P545" s="48"/>
      <c r="Q545" s="48"/>
      <c r="R545" s="48"/>
      <c r="S545" s="48"/>
      <c r="T545" s="48"/>
      <c r="U545" s="48"/>
      <c r="V545" s="48"/>
      <c r="W545" s="48"/>
      <c r="X545" s="48"/>
      <c r="Y545" s="48"/>
      <c r="Z545" s="48"/>
      <c r="AA545" s="48"/>
      <c r="AB545" s="48"/>
      <c r="AC545" s="1408" t="s">
        <v>591</v>
      </c>
      <c r="AD545" s="1409"/>
      <c r="AE545" s="1409"/>
      <c r="AF545" s="1409"/>
      <c r="AG545" s="38" t="s">
        <v>403</v>
      </c>
      <c r="AH545" s="1292"/>
      <c r="AI545" s="1292"/>
      <c r="AJ545" s="1292"/>
      <c r="AK545" s="1293"/>
      <c r="AZ545" s="3"/>
      <c r="BA545" s="3"/>
      <c r="BB545" s="3"/>
      <c r="BC545" s="3"/>
      <c r="BD545" s="3"/>
      <c r="BE545" s="3"/>
      <c r="BF545" s="3"/>
      <c r="BG545" s="3"/>
      <c r="BH545" s="3"/>
      <c r="BI545" s="3"/>
      <c r="BJ545" s="3"/>
      <c r="BK545" s="3"/>
      <c r="BL545" s="3"/>
      <c r="BM545" s="3"/>
      <c r="BN545" s="3" t="s">
        <v>2083</v>
      </c>
    </row>
    <row r="546" spans="1:66" ht="12.95" customHeight="1">
      <c r="B546" s="1467"/>
      <c r="C546" s="1468"/>
      <c r="D546" s="1468"/>
      <c r="E546" s="1468"/>
      <c r="F546" s="1468"/>
      <c r="G546" s="1468"/>
      <c r="H546" s="1469"/>
      <c r="I546" s="42" t="s">
        <v>562</v>
      </c>
      <c r="J546" s="42"/>
      <c r="K546" s="42"/>
      <c r="L546" s="42"/>
      <c r="M546" s="42"/>
      <c r="N546" s="42"/>
      <c r="O546" s="42"/>
      <c r="P546" s="42"/>
      <c r="Q546" s="42"/>
      <c r="R546" s="42"/>
      <c r="S546" s="42"/>
      <c r="T546" s="42"/>
      <c r="U546" s="42"/>
      <c r="V546" s="42"/>
      <c r="W546" s="42"/>
      <c r="AC546" s="1408">
        <v>2</v>
      </c>
      <c r="AD546" s="1409"/>
      <c r="AE546" s="1409"/>
      <c r="AF546" s="1409"/>
      <c r="AG546" s="38" t="s">
        <v>403</v>
      </c>
      <c r="AH546" s="1292">
        <v>2027</v>
      </c>
      <c r="AI546" s="1292"/>
      <c r="AJ546" s="1292"/>
      <c r="AK546" s="1293"/>
      <c r="AZ546" s="3"/>
      <c r="BA546" s="3"/>
      <c r="BB546" s="3"/>
      <c r="BC546" s="3"/>
      <c r="BD546" s="3"/>
      <c r="BE546" s="3"/>
      <c r="BF546" s="3"/>
      <c r="BG546" s="3"/>
      <c r="BH546" s="3"/>
      <c r="BI546" s="3"/>
      <c r="BJ546" s="3"/>
      <c r="BK546" s="3"/>
      <c r="BL546" s="3"/>
      <c r="BM546" s="3"/>
      <c r="BN546" s="3"/>
    </row>
    <row r="547" spans="1:66" ht="12.95" customHeight="1">
      <c r="B547" s="1467"/>
      <c r="C547" s="1468"/>
      <c r="D547" s="1468"/>
      <c r="E547" s="1468"/>
      <c r="F547" s="1468"/>
      <c r="G547" s="1468"/>
      <c r="H547" s="1469"/>
      <c r="I547" t="s">
        <v>563</v>
      </c>
      <c r="AC547" s="1408">
        <v>2</v>
      </c>
      <c r="AD547" s="1409"/>
      <c r="AE547" s="1409"/>
      <c r="AF547" s="1409"/>
      <c r="AG547" s="13" t="s">
        <v>403</v>
      </c>
      <c r="AH547" s="1292">
        <v>2027</v>
      </c>
      <c r="AI547" s="1292"/>
      <c r="AJ547" s="1292"/>
      <c r="AK547" s="1293"/>
      <c r="AZ547" s="3"/>
      <c r="BA547" s="3"/>
      <c r="BB547" s="3"/>
      <c r="BC547" s="3"/>
      <c r="BD547" s="3"/>
      <c r="BE547" s="3"/>
      <c r="BF547" s="3"/>
      <c r="BG547" s="3"/>
      <c r="BH547" s="3"/>
      <c r="BI547" s="3"/>
      <c r="BJ547" s="3"/>
      <c r="BK547" s="3"/>
      <c r="BL547" s="3"/>
      <c r="BM547" s="3"/>
      <c r="BN547" s="3"/>
    </row>
    <row r="548" spans="1:66" ht="12.95" customHeight="1">
      <c r="B548" s="1467"/>
      <c r="C548" s="1468"/>
      <c r="D548" s="1468"/>
      <c r="E548" s="1468"/>
      <c r="F548" s="1468"/>
      <c r="G548" s="1468"/>
      <c r="H548" s="1469"/>
      <c r="I548" t="s">
        <v>564</v>
      </c>
      <c r="AC548" s="1408">
        <v>7</v>
      </c>
      <c r="AD548" s="1409"/>
      <c r="AE548" s="1409"/>
      <c r="AF548" s="1409"/>
      <c r="AG548" s="38" t="s">
        <v>403</v>
      </c>
      <c r="AH548" s="1292">
        <v>2028</v>
      </c>
      <c r="AI548" s="1292"/>
      <c r="AJ548" s="1292"/>
      <c r="AK548" s="1293"/>
      <c r="AZ548" s="3"/>
      <c r="BA548" s="3"/>
      <c r="BB548" s="3"/>
      <c r="BC548" s="3"/>
      <c r="BD548" s="3"/>
      <c r="BE548" s="3"/>
      <c r="BF548" s="3"/>
      <c r="BG548" s="3"/>
      <c r="BH548" s="3"/>
      <c r="BI548" s="3"/>
      <c r="BJ548" s="3"/>
      <c r="BK548" s="3"/>
      <c r="BL548" s="3"/>
      <c r="BM548" s="3"/>
      <c r="BN548" s="3"/>
    </row>
    <row r="549" spans="1:66" ht="12.95" customHeight="1">
      <c r="B549" s="1467"/>
      <c r="C549" s="1468"/>
      <c r="D549" s="1468"/>
      <c r="E549" s="1468"/>
      <c r="F549" s="1468"/>
      <c r="G549" s="1468"/>
      <c r="H549" s="1469"/>
      <c r="I549" t="s">
        <v>565</v>
      </c>
      <c r="AC549" s="1408">
        <v>7</v>
      </c>
      <c r="AD549" s="1409"/>
      <c r="AE549" s="1409"/>
      <c r="AF549" s="1409"/>
      <c r="AG549" s="38" t="s">
        <v>403</v>
      </c>
      <c r="AH549" s="1292">
        <v>2028</v>
      </c>
      <c r="AI549" s="1292"/>
      <c r="AJ549" s="1292"/>
      <c r="AK549" s="1293"/>
      <c r="AZ549" s="3"/>
      <c r="BA549" s="3"/>
      <c r="BB549" s="3"/>
      <c r="BC549" s="3"/>
      <c r="BD549" s="3"/>
      <c r="BE549" s="3"/>
      <c r="BF549" s="3"/>
      <c r="BG549" s="3"/>
      <c r="BH549" s="3"/>
      <c r="BI549" s="3"/>
      <c r="BJ549" s="3"/>
      <c r="BK549" s="3"/>
      <c r="BL549" s="3"/>
      <c r="BM549" s="3"/>
      <c r="BN549" s="3"/>
    </row>
    <row r="550" spans="1:66" ht="12.95" customHeight="1">
      <c r="B550" s="1470"/>
      <c r="C550" s="1471"/>
      <c r="D550" s="1471"/>
      <c r="E550" s="1471"/>
      <c r="F550" s="1471"/>
      <c r="G550" s="1471"/>
      <c r="H550" s="1472"/>
      <c r="I550" s="48" t="s">
        <v>451</v>
      </c>
      <c r="J550" s="48"/>
      <c r="K550" s="48"/>
      <c r="L550" s="48"/>
      <c r="M550" s="48"/>
      <c r="N550" s="48"/>
      <c r="O550" s="48"/>
      <c r="P550" s="48"/>
      <c r="Q550" s="48"/>
      <c r="R550" s="48"/>
      <c r="S550" s="48"/>
      <c r="T550" s="48"/>
      <c r="U550" s="48"/>
      <c r="V550" s="48"/>
      <c r="W550" s="48"/>
      <c r="X550" s="48"/>
      <c r="Y550" s="48"/>
      <c r="Z550" s="48"/>
      <c r="AA550" s="48"/>
      <c r="AB550" s="48"/>
      <c r="AC550" s="1408">
        <v>11</v>
      </c>
      <c r="AD550" s="1409"/>
      <c r="AE550" s="1409"/>
      <c r="AF550" s="1409"/>
      <c r="AG550" s="38" t="s">
        <v>403</v>
      </c>
      <c r="AH550" s="1292">
        <v>2028</v>
      </c>
      <c r="AI550" s="1292"/>
      <c r="AJ550" s="1292"/>
      <c r="AK550" s="1293"/>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403" t="s">
        <v>543</v>
      </c>
      <c r="B552" s="1403"/>
      <c r="C552" s="1403"/>
      <c r="D552" s="1403"/>
      <c r="E552" s="1403"/>
      <c r="F552" s="1403"/>
      <c r="G552" s="1403"/>
      <c r="H552" s="1403"/>
      <c r="I552" s="1403"/>
      <c r="J552" s="1403"/>
      <c r="K552" s="1403"/>
      <c r="L552" s="1403"/>
      <c r="M552" s="1403"/>
      <c r="N552" s="1403"/>
      <c r="O552" s="1403"/>
      <c r="P552" s="1403"/>
      <c r="Q552" s="1403"/>
      <c r="R552" s="1403"/>
      <c r="S552" s="1403"/>
      <c r="T552" s="1403"/>
      <c r="U552" s="1403"/>
      <c r="V552" s="1403"/>
      <c r="W552" s="1403"/>
      <c r="X552" s="1403"/>
      <c r="Y552" s="1403"/>
      <c r="Z552" s="1403"/>
      <c r="AA552" s="1403"/>
      <c r="AB552" s="1403"/>
      <c r="AC552" s="1403"/>
      <c r="AD552" s="1403"/>
      <c r="AE552" s="1403"/>
      <c r="AF552" s="1403"/>
      <c r="AG552" s="1403"/>
      <c r="AH552" s="1403"/>
      <c r="AI552" s="1403"/>
      <c r="AJ552" s="1403"/>
      <c r="AK552" s="1403"/>
      <c r="AL552" s="1403"/>
      <c r="AM552" s="1403"/>
      <c r="AN552" s="1403"/>
      <c r="AO552" s="1403"/>
      <c r="AP552" s="1403"/>
      <c r="AQ552" s="1403"/>
      <c r="AR552" s="1403"/>
      <c r="AS552" s="1403"/>
      <c r="AT552" s="1403"/>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403"/>
      <c r="B553" s="1403"/>
      <c r="C553" s="1403"/>
      <c r="D553" s="1403"/>
      <c r="E553" s="1403"/>
      <c r="F553" s="1403"/>
      <c r="G553" s="1403"/>
      <c r="H553" s="1403"/>
      <c r="I553" s="1403"/>
      <c r="J553" s="1403"/>
      <c r="K553" s="1403"/>
      <c r="L553" s="1403"/>
      <c r="M553" s="1403"/>
      <c r="N553" s="1403"/>
      <c r="O553" s="1403"/>
      <c r="P553" s="1403"/>
      <c r="Q553" s="1403"/>
      <c r="R553" s="1403"/>
      <c r="S553" s="1403"/>
      <c r="T553" s="1403"/>
      <c r="U553" s="1403"/>
      <c r="V553" s="1403"/>
      <c r="W553" s="1403"/>
      <c r="X553" s="1403"/>
      <c r="Y553" s="1403"/>
      <c r="Z553" s="1403"/>
      <c r="AA553" s="1403"/>
      <c r="AB553" s="1403"/>
      <c r="AC553" s="1403"/>
      <c r="AD553" s="1403"/>
      <c r="AE553" s="1403"/>
      <c r="AF553" s="1403"/>
      <c r="AG553" s="1403"/>
      <c r="AH553" s="1403"/>
      <c r="AI553" s="1403"/>
      <c r="AJ553" s="1403"/>
      <c r="AK553" s="1403"/>
      <c r="AL553" s="1403"/>
      <c r="AM553" s="1403"/>
      <c r="AN553" s="1403"/>
      <c r="AO553" s="1403"/>
      <c r="AP553" s="1403"/>
      <c r="AQ553" s="1403"/>
      <c r="AR553" s="1403"/>
      <c r="AS553" s="1403"/>
      <c r="AT553" s="1403"/>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64" t="s">
        <v>2057</v>
      </c>
      <c r="C559" s="1465"/>
      <c r="D559" s="1465"/>
      <c r="E559" s="1465"/>
      <c r="F559" s="1465"/>
      <c r="G559" s="1465"/>
      <c r="H559" s="1465"/>
      <c r="I559" s="1465"/>
      <c r="J559" s="1465"/>
      <c r="K559" s="1465"/>
      <c r="L559" s="1466"/>
      <c r="M559" s="1464" t="s">
        <v>2058</v>
      </c>
      <c r="N559" s="1465"/>
      <c r="O559" s="1465"/>
      <c r="P559" s="1466"/>
      <c r="Q559" s="1464" t="s">
        <v>2084</v>
      </c>
      <c r="R559" s="1465"/>
      <c r="S559" s="1466"/>
      <c r="T559" s="1464" t="s">
        <v>2085</v>
      </c>
      <c r="U559" s="1465"/>
      <c r="V559" s="1466"/>
      <c r="W559" s="1464" t="s">
        <v>453</v>
      </c>
      <c r="X559" s="1465"/>
      <c r="Y559" s="1466"/>
      <c r="Z559" s="1464" t="s">
        <v>1827</v>
      </c>
      <c r="AA559" s="1465"/>
      <c r="AB559" s="1465"/>
      <c r="AC559" s="1465"/>
      <c r="AD559" s="1466"/>
      <c r="AE559" s="1464" t="s">
        <v>1665</v>
      </c>
      <c r="AF559" s="1465"/>
      <c r="AG559" s="1465"/>
      <c r="AH559" s="1466"/>
      <c r="AI559" s="1464" t="s">
        <v>1666</v>
      </c>
      <c r="AJ559" s="1465"/>
      <c r="AK559" s="1465"/>
      <c r="AL559" s="1466"/>
      <c r="AM559" s="1464" t="s">
        <v>454</v>
      </c>
      <c r="AN559" s="1465"/>
      <c r="AO559" s="1465"/>
      <c r="AP559" s="1465"/>
      <c r="AQ559" s="1465"/>
      <c r="AR559" s="1465"/>
      <c r="AS559" s="1466"/>
      <c r="BB559" s="3"/>
      <c r="BC559" s="3"/>
      <c r="BD559" s="3"/>
      <c r="BE559" s="3"/>
      <c r="BF559" s="3"/>
      <c r="BG559" s="3"/>
      <c r="BH559" s="3" t="s">
        <v>581</v>
      </c>
      <c r="BI559" s="3" t="str">
        <f>AG665</f>
        <v>No</v>
      </c>
    </row>
    <row r="560" spans="1:66" ht="12.95" customHeight="1">
      <c r="B560" s="1467"/>
      <c r="C560" s="1468"/>
      <c r="D560" s="1468"/>
      <c r="E560" s="1468"/>
      <c r="F560" s="1468"/>
      <c r="G560" s="1468"/>
      <c r="H560" s="1468"/>
      <c r="I560" s="1468"/>
      <c r="J560" s="1468"/>
      <c r="K560" s="1468"/>
      <c r="L560" s="1469"/>
      <c r="M560" s="1467"/>
      <c r="N560" s="1468"/>
      <c r="O560" s="1468"/>
      <c r="P560" s="1469"/>
      <c r="Q560" s="1467"/>
      <c r="R560" s="1468"/>
      <c r="S560" s="1469"/>
      <c r="T560" s="1467"/>
      <c r="U560" s="1468"/>
      <c r="V560" s="1469"/>
      <c r="W560" s="1467"/>
      <c r="X560" s="1468"/>
      <c r="Y560" s="1469"/>
      <c r="Z560" s="1467"/>
      <c r="AA560" s="1468"/>
      <c r="AB560" s="1468"/>
      <c r="AC560" s="1468"/>
      <c r="AD560" s="1469"/>
      <c r="AE560" s="1467"/>
      <c r="AF560" s="1468"/>
      <c r="AG560" s="1468"/>
      <c r="AH560" s="1469"/>
      <c r="AI560" s="1467"/>
      <c r="AJ560" s="1468"/>
      <c r="AK560" s="1468"/>
      <c r="AL560" s="1469"/>
      <c r="AM560" s="1467"/>
      <c r="AN560" s="1468"/>
      <c r="AO560" s="1468"/>
      <c r="AP560" s="1468"/>
      <c r="AQ560" s="1468"/>
      <c r="AR560" s="1468"/>
      <c r="AS560" s="1469"/>
      <c r="AU560" s="1141"/>
      <c r="BB560" s="3"/>
      <c r="BC560" s="3"/>
      <c r="BD560" s="3"/>
      <c r="BE560" s="3"/>
      <c r="BF560" s="3"/>
      <c r="BG560" s="3"/>
      <c r="BH560" s="3"/>
      <c r="BI560" s="3"/>
    </row>
    <row r="561" spans="1:61" ht="12.95" customHeight="1">
      <c r="B561" s="1470"/>
      <c r="C561" s="1471"/>
      <c r="D561" s="1471"/>
      <c r="E561" s="1471"/>
      <c r="F561" s="1471"/>
      <c r="G561" s="1471"/>
      <c r="H561" s="1471"/>
      <c r="I561" s="1471"/>
      <c r="J561" s="1471"/>
      <c r="K561" s="1471"/>
      <c r="L561" s="1472"/>
      <c r="M561" s="1470"/>
      <c r="N561" s="1471"/>
      <c r="O561" s="1471"/>
      <c r="P561" s="1472"/>
      <c r="Q561" s="1470"/>
      <c r="R561" s="1471"/>
      <c r="S561" s="1472"/>
      <c r="T561" s="1470"/>
      <c r="U561" s="1471"/>
      <c r="V561" s="1472"/>
      <c r="W561" s="1470"/>
      <c r="X561" s="1471"/>
      <c r="Y561" s="1472"/>
      <c r="Z561" s="1470"/>
      <c r="AA561" s="1471"/>
      <c r="AB561" s="1471"/>
      <c r="AC561" s="1471"/>
      <c r="AD561" s="1472"/>
      <c r="AE561" s="1470"/>
      <c r="AF561" s="1471"/>
      <c r="AG561" s="1471"/>
      <c r="AH561" s="1472"/>
      <c r="AI561" s="1470"/>
      <c r="AJ561" s="1471"/>
      <c r="AK561" s="1471"/>
      <c r="AL561" s="1472"/>
      <c r="AM561" s="1470"/>
      <c r="AN561" s="1471"/>
      <c r="AO561" s="1471"/>
      <c r="AP561" s="1471"/>
      <c r="AQ561" s="1471"/>
      <c r="AR561" s="1471"/>
      <c r="AS561" s="1472"/>
      <c r="AU561" s="1141"/>
      <c r="BB561" s="3"/>
      <c r="BC561" s="3"/>
      <c r="BD561" s="3"/>
      <c r="BE561" s="3"/>
      <c r="BF561" s="3"/>
      <c r="BG561" s="3"/>
      <c r="BH561" s="3"/>
      <c r="BI561" s="3"/>
    </row>
    <row r="562" spans="1:61" ht="12.95" customHeight="1">
      <c r="B562" s="51" t="s">
        <v>112</v>
      </c>
      <c r="C562" s="1420" t="s">
        <v>2693</v>
      </c>
      <c r="D562" s="1420"/>
      <c r="E562" s="1420"/>
      <c r="F562" s="1420"/>
      <c r="G562" s="1420"/>
      <c r="H562" s="1420"/>
      <c r="I562" s="1420"/>
      <c r="J562" s="1420"/>
      <c r="K562" s="1420"/>
      <c r="L562" s="1420"/>
      <c r="M562" s="1420" t="s">
        <v>2074</v>
      </c>
      <c r="N562" s="1420"/>
      <c r="O562" s="1420"/>
      <c r="P562" s="1420"/>
      <c r="Q562" s="1442">
        <v>22</v>
      </c>
      <c r="R562" s="1442"/>
      <c r="S562" s="1443"/>
      <c r="T562" s="1441"/>
      <c r="U562" s="1442"/>
      <c r="V562" s="1443"/>
      <c r="W562" s="1422">
        <v>5.7500000000000002E-2</v>
      </c>
      <c r="X562" s="1423"/>
      <c r="Y562" s="1424"/>
      <c r="Z562" s="1428" t="s">
        <v>2692</v>
      </c>
      <c r="AA562" s="1428"/>
      <c r="AB562" s="1428"/>
      <c r="AC562" s="1428"/>
      <c r="AD562" s="1428"/>
      <c r="AE562" s="1444"/>
      <c r="AF562" s="1445"/>
      <c r="AG562" s="1445"/>
      <c r="AH562" s="1446"/>
      <c r="AI562" s="1412"/>
      <c r="AJ562" s="1413"/>
      <c r="AK562" s="1413"/>
      <c r="AL562" s="1414"/>
      <c r="AM562" s="1438">
        <v>5423153</v>
      </c>
      <c r="AN562" s="1439"/>
      <c r="AO562" s="1439"/>
      <c r="AP562" s="1439"/>
      <c r="AQ562" s="1439"/>
      <c r="AR562" s="1439"/>
      <c r="AS562" s="1440"/>
      <c r="AT562" s="1142"/>
      <c r="AU562" s="1141"/>
      <c r="BB562" s="3"/>
      <c r="BC562" s="3"/>
      <c r="BD562" s="3"/>
      <c r="BE562" s="3"/>
      <c r="BF562" s="3"/>
      <c r="BG562" s="3"/>
      <c r="BH562" s="3"/>
      <c r="BI562" s="3"/>
    </row>
    <row r="563" spans="1:61" ht="12.95" customHeight="1">
      <c r="B563" s="52" t="s">
        <v>113</v>
      </c>
      <c r="C563" s="1421" t="s">
        <v>2694</v>
      </c>
      <c r="D563" s="1421"/>
      <c r="E563" s="1421"/>
      <c r="F563" s="1421"/>
      <c r="G563" s="1421"/>
      <c r="H563" s="1421"/>
      <c r="I563" s="1421"/>
      <c r="J563" s="1421"/>
      <c r="K563" s="1421"/>
      <c r="L563" s="1421"/>
      <c r="M563" s="1420" t="s">
        <v>2073</v>
      </c>
      <c r="N563" s="1420"/>
      <c r="O563" s="1420"/>
      <c r="P563" s="1420"/>
      <c r="Q563" s="1441">
        <v>22</v>
      </c>
      <c r="R563" s="1442"/>
      <c r="S563" s="1443"/>
      <c r="T563" s="1441"/>
      <c r="U563" s="1442"/>
      <c r="V563" s="1443"/>
      <c r="W563" s="1422">
        <v>6.1499999999999999E-2</v>
      </c>
      <c r="X563" s="1423"/>
      <c r="Y563" s="1424"/>
      <c r="Z563" s="1428" t="s">
        <v>2692</v>
      </c>
      <c r="AA563" s="1428"/>
      <c r="AB563" s="1428"/>
      <c r="AC563" s="1428"/>
      <c r="AD563" s="1428"/>
      <c r="AE563" s="1444"/>
      <c r="AF563" s="1445"/>
      <c r="AG563" s="1445"/>
      <c r="AH563" s="1446"/>
      <c r="AI563" s="1412"/>
      <c r="AJ563" s="1413"/>
      <c r="AK563" s="1413"/>
      <c r="AL563" s="1414"/>
      <c r="AM563" s="1438">
        <f>15813727-SUM(AM562,AM564)</f>
        <v>9890574</v>
      </c>
      <c r="AN563" s="1439"/>
      <c r="AO563" s="1439"/>
      <c r="AP563" s="1439"/>
      <c r="AQ563" s="1439"/>
      <c r="AR563" s="1439"/>
      <c r="AS563" s="1440"/>
      <c r="AT563" s="1142" t="str">
        <f>IF(AND(NOT(C562=""),C563="",NOT(C564="")),"!","")</f>
        <v/>
      </c>
      <c r="AU563" s="1141"/>
      <c r="BB563" s="3"/>
      <c r="BC563" s="3"/>
      <c r="BD563" s="3"/>
      <c r="BE563" s="3"/>
      <c r="BF563" s="3"/>
      <c r="BG563" s="3"/>
      <c r="BH563" s="3"/>
      <c r="BI563" s="3"/>
    </row>
    <row r="564" spans="1:61" ht="12.95" customHeight="1">
      <c r="B564" s="52" t="s">
        <v>119</v>
      </c>
      <c r="C564" s="1421" t="s">
        <v>2768</v>
      </c>
      <c r="D564" s="1421"/>
      <c r="E564" s="1421"/>
      <c r="F564" s="1421"/>
      <c r="G564" s="1421"/>
      <c r="H564" s="1421"/>
      <c r="I564" s="1421"/>
      <c r="J564" s="1421"/>
      <c r="K564" s="1421"/>
      <c r="L564" s="1421"/>
      <c r="M564" s="1420" t="s">
        <v>2075</v>
      </c>
      <c r="N564" s="1420"/>
      <c r="O564" s="1420"/>
      <c r="P564" s="1420"/>
      <c r="Q564" s="1441">
        <v>22</v>
      </c>
      <c r="R564" s="1442"/>
      <c r="S564" s="1443"/>
      <c r="T564" s="1441"/>
      <c r="U564" s="1442"/>
      <c r="V564" s="1443"/>
      <c r="W564" s="1422">
        <v>5.7500000000000002E-2</v>
      </c>
      <c r="X564" s="1423"/>
      <c r="Y564" s="1424"/>
      <c r="Z564" s="1428" t="s">
        <v>2692</v>
      </c>
      <c r="AA564" s="1428"/>
      <c r="AB564" s="1428"/>
      <c r="AC564" s="1428"/>
      <c r="AD564" s="1428"/>
      <c r="AE564" s="1444"/>
      <c r="AF564" s="1445"/>
      <c r="AG564" s="1445"/>
      <c r="AH564" s="1446"/>
      <c r="AI564" s="1412"/>
      <c r="AJ564" s="1413"/>
      <c r="AK564" s="1413"/>
      <c r="AL564" s="1414"/>
      <c r="AM564" s="1438">
        <v>500000</v>
      </c>
      <c r="AN564" s="1439"/>
      <c r="AO564" s="1439"/>
      <c r="AP564" s="1439"/>
      <c r="AQ564" s="1439"/>
      <c r="AR564" s="1439"/>
      <c r="AS564" s="1440"/>
      <c r="AT564" s="1142" t="str">
        <f>IF(AND(NOT(C563=""),C564="",NOT(C565="")),"!","")</f>
        <v/>
      </c>
      <c r="AU564" s="1141"/>
      <c r="BB564" s="3"/>
      <c r="BC564" s="3"/>
      <c r="BD564" s="3"/>
      <c r="BE564" s="3"/>
      <c r="BF564" s="3"/>
      <c r="BG564" s="3"/>
      <c r="BH564" s="3"/>
      <c r="BI564" s="3"/>
    </row>
    <row r="565" spans="1:61" ht="12.95" customHeight="1">
      <c r="B565" s="52" t="s">
        <v>581</v>
      </c>
      <c r="C565" s="1421" t="s">
        <v>2691</v>
      </c>
      <c r="D565" s="1421"/>
      <c r="E565" s="1421"/>
      <c r="F565" s="1421"/>
      <c r="G565" s="1421"/>
      <c r="H565" s="1421"/>
      <c r="I565" s="1421"/>
      <c r="J565" s="1421"/>
      <c r="K565" s="1421"/>
      <c r="L565" s="1421"/>
      <c r="M565" s="1420" t="s">
        <v>2060</v>
      </c>
      <c r="N565" s="1420"/>
      <c r="O565" s="1420"/>
      <c r="P565" s="1420"/>
      <c r="Q565" s="1441"/>
      <c r="R565" s="1442"/>
      <c r="S565" s="1443"/>
      <c r="T565" s="1441"/>
      <c r="U565" s="1442"/>
      <c r="V565" s="1443"/>
      <c r="W565" s="1422"/>
      <c r="X565" s="1423"/>
      <c r="Y565" s="1424"/>
      <c r="Z565" s="1428" t="s">
        <v>591</v>
      </c>
      <c r="AA565" s="1428"/>
      <c r="AB565" s="1428"/>
      <c r="AC565" s="1428"/>
      <c r="AD565" s="1428"/>
      <c r="AE565" s="1444"/>
      <c r="AF565" s="1445"/>
      <c r="AG565" s="1445"/>
      <c r="AH565" s="1446"/>
      <c r="AI565" s="1412"/>
      <c r="AJ565" s="1413"/>
      <c r="AK565" s="1413"/>
      <c r="AL565" s="1414"/>
      <c r="AM565" s="1438">
        <v>3932448</v>
      </c>
      <c r="AN565" s="1439"/>
      <c r="AO565" s="1439"/>
      <c r="AP565" s="1439"/>
      <c r="AQ565" s="1439"/>
      <c r="AR565" s="1439"/>
      <c r="AS565" s="1440"/>
      <c r="AT565" s="1142" t="str">
        <f>IF(AND(NOT(C564=""),C565="",NOT(C566="")),"!","")</f>
        <v/>
      </c>
      <c r="AU565" s="1141"/>
      <c r="BB565" s="3"/>
      <c r="BC565" s="3"/>
      <c r="BD565" s="3"/>
      <c r="BE565" s="3"/>
      <c r="BF565" s="3"/>
      <c r="BG565" s="3"/>
      <c r="BH565" s="3"/>
      <c r="BI565" s="3"/>
    </row>
    <row r="566" spans="1:61" ht="12.95" customHeight="1">
      <c r="B566" s="52" t="s">
        <v>763</v>
      </c>
      <c r="C566" s="1421" t="s">
        <v>2690</v>
      </c>
      <c r="D566" s="1421"/>
      <c r="E566" s="1421"/>
      <c r="F566" s="1421"/>
      <c r="G566" s="1421"/>
      <c r="H566" s="1421"/>
      <c r="I566" s="1421"/>
      <c r="J566" s="1421"/>
      <c r="K566" s="1421"/>
      <c r="L566" s="1421"/>
      <c r="M566" s="1420" t="s">
        <v>2065</v>
      </c>
      <c r="N566" s="1420"/>
      <c r="O566" s="1420"/>
      <c r="P566" s="1420"/>
      <c r="Q566" s="1441"/>
      <c r="R566" s="1442"/>
      <c r="S566" s="1443"/>
      <c r="T566" s="1441"/>
      <c r="U566" s="1442"/>
      <c r="V566" s="1443"/>
      <c r="W566" s="1422"/>
      <c r="X566" s="1423"/>
      <c r="Y566" s="1424"/>
      <c r="Z566" s="1428" t="s">
        <v>591</v>
      </c>
      <c r="AA566" s="1428"/>
      <c r="AB566" s="1428"/>
      <c r="AC566" s="1428"/>
      <c r="AD566" s="1428"/>
      <c r="AE566" s="1444"/>
      <c r="AF566" s="1445"/>
      <c r="AG566" s="1445"/>
      <c r="AH566" s="1446"/>
      <c r="AI566" s="1412"/>
      <c r="AJ566" s="1413"/>
      <c r="AK566" s="1413"/>
      <c r="AL566" s="1414"/>
      <c r="AM566" s="1438">
        <v>1861212</v>
      </c>
      <c r="AN566" s="1439"/>
      <c r="AO566" s="1439"/>
      <c r="AP566" s="1439"/>
      <c r="AQ566" s="1439"/>
      <c r="AR566" s="1439"/>
      <c r="AS566" s="1440"/>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421"/>
      <c r="D567" s="1421"/>
      <c r="E567" s="1421"/>
      <c r="F567" s="1421"/>
      <c r="G567" s="1421"/>
      <c r="H567" s="1421"/>
      <c r="I567" s="1421"/>
      <c r="J567" s="1421"/>
      <c r="K567" s="1421"/>
      <c r="L567" s="1421"/>
      <c r="M567" s="1420" t="s">
        <v>1184</v>
      </c>
      <c r="N567" s="1420"/>
      <c r="O567" s="1420"/>
      <c r="P567" s="1420"/>
      <c r="Q567" s="1441"/>
      <c r="R567" s="1442"/>
      <c r="S567" s="1443"/>
      <c r="T567" s="1441"/>
      <c r="U567" s="1442"/>
      <c r="V567" s="1443"/>
      <c r="W567" s="1422"/>
      <c r="X567" s="1423"/>
      <c r="Y567" s="1424"/>
      <c r="Z567" s="1428" t="s">
        <v>1184</v>
      </c>
      <c r="AA567" s="1428"/>
      <c r="AB567" s="1428"/>
      <c r="AC567" s="1428"/>
      <c r="AD567" s="1428"/>
      <c r="AE567" s="1444"/>
      <c r="AF567" s="1445"/>
      <c r="AG567" s="1445"/>
      <c r="AH567" s="1446"/>
      <c r="AI567" s="1412"/>
      <c r="AJ567" s="1413"/>
      <c r="AK567" s="1413"/>
      <c r="AL567" s="1414"/>
      <c r="AM567" s="1438"/>
      <c r="AN567" s="1439"/>
      <c r="AO567" s="1439"/>
      <c r="AP567" s="1439"/>
      <c r="AQ567" s="1439"/>
      <c r="AR567" s="1439"/>
      <c r="AS567" s="1440"/>
      <c r="AT567" s="1142" t="str">
        <f t="shared" si="2"/>
        <v/>
      </c>
      <c r="AU567" s="1141"/>
      <c r="BB567" s="3"/>
      <c r="BC567" s="3"/>
      <c r="BD567" s="3"/>
      <c r="BE567" s="3"/>
      <c r="BF567" s="3"/>
      <c r="BG567" s="3"/>
      <c r="BH567" s="3" t="s">
        <v>584</v>
      </c>
      <c r="BI567" s="3" t="str">
        <f>AG673</f>
        <v>No</v>
      </c>
    </row>
    <row r="568" spans="1:61" ht="12.95" customHeight="1">
      <c r="B568" s="52" t="s">
        <v>455</v>
      </c>
      <c r="C568" s="1421"/>
      <c r="D568" s="1421"/>
      <c r="E568" s="1421"/>
      <c r="F568" s="1421"/>
      <c r="G568" s="1421"/>
      <c r="H568" s="1421"/>
      <c r="I568" s="1421"/>
      <c r="J568" s="1421"/>
      <c r="K568" s="1421"/>
      <c r="L568" s="1421"/>
      <c r="M568" s="1420" t="s">
        <v>1184</v>
      </c>
      <c r="N568" s="1420"/>
      <c r="O568" s="1420"/>
      <c r="P568" s="1420"/>
      <c r="Q568" s="1441"/>
      <c r="R568" s="1442"/>
      <c r="S568" s="1443"/>
      <c r="T568" s="1441"/>
      <c r="U568" s="1442"/>
      <c r="V568" s="1443"/>
      <c r="W568" s="1422"/>
      <c r="X568" s="1423"/>
      <c r="Y568" s="1424"/>
      <c r="Z568" s="1428" t="s">
        <v>1184</v>
      </c>
      <c r="AA568" s="1428"/>
      <c r="AB568" s="1428"/>
      <c r="AC568" s="1428"/>
      <c r="AD568" s="1428"/>
      <c r="AE568" s="1444"/>
      <c r="AF568" s="1445"/>
      <c r="AG568" s="1445"/>
      <c r="AH568" s="1446"/>
      <c r="AI568" s="1412"/>
      <c r="AJ568" s="1413"/>
      <c r="AK568" s="1413"/>
      <c r="AL568" s="1414"/>
      <c r="AM568" s="1438"/>
      <c r="AN568" s="1439"/>
      <c r="AO568" s="1439"/>
      <c r="AP568" s="1439"/>
      <c r="AQ568" s="1439"/>
      <c r="AR568" s="1439"/>
      <c r="AS568" s="1440"/>
      <c r="AT568" s="1142" t="str">
        <f t="shared" si="2"/>
        <v/>
      </c>
      <c r="AU568" s="1141"/>
      <c r="BB568" s="3"/>
      <c r="BC568" s="3"/>
      <c r="BD568" s="3"/>
      <c r="BE568" s="3"/>
      <c r="BF568" s="3"/>
      <c r="BG568" s="3"/>
      <c r="BH568" s="3"/>
      <c r="BI568" s="3"/>
    </row>
    <row r="569" spans="1:61" ht="12.95" customHeight="1">
      <c r="B569" s="52" t="s">
        <v>456</v>
      </c>
      <c r="C569" s="1421"/>
      <c r="D569" s="1421"/>
      <c r="E569" s="1421"/>
      <c r="F569" s="1421"/>
      <c r="G569" s="1421"/>
      <c r="H569" s="1421"/>
      <c r="I569" s="1421"/>
      <c r="J569" s="1421"/>
      <c r="K569" s="1421"/>
      <c r="L569" s="1421"/>
      <c r="M569" s="1420" t="s">
        <v>1184</v>
      </c>
      <c r="N569" s="1420"/>
      <c r="O569" s="1420"/>
      <c r="P569" s="1420"/>
      <c r="Q569" s="1441"/>
      <c r="R569" s="1442"/>
      <c r="S569" s="1443"/>
      <c r="T569" s="1441"/>
      <c r="U569" s="1442"/>
      <c r="V569" s="1443"/>
      <c r="W569" s="1422"/>
      <c r="X569" s="1423"/>
      <c r="Y569" s="1424"/>
      <c r="Z569" s="1428" t="s">
        <v>1184</v>
      </c>
      <c r="AA569" s="1428"/>
      <c r="AB569" s="1428"/>
      <c r="AC569" s="1428"/>
      <c r="AD569" s="1428"/>
      <c r="AE569" s="1444"/>
      <c r="AF569" s="1445"/>
      <c r="AG569" s="1445"/>
      <c r="AH569" s="1446"/>
      <c r="AI569" s="1412"/>
      <c r="AJ569" s="1413"/>
      <c r="AK569" s="1413"/>
      <c r="AL569" s="1414"/>
      <c r="AM569" s="1438"/>
      <c r="AN569" s="1439"/>
      <c r="AO569" s="1439"/>
      <c r="AP569" s="1439"/>
      <c r="AQ569" s="1439"/>
      <c r="AR569" s="1439"/>
      <c r="AS569" s="1440"/>
      <c r="AT569" s="1142" t="str">
        <f t="shared" si="2"/>
        <v/>
      </c>
      <c r="AU569" s="1141"/>
      <c r="BB569" s="3"/>
      <c r="BC569" s="3"/>
      <c r="BD569" s="3"/>
      <c r="BE569" s="3"/>
      <c r="BF569" s="3"/>
      <c r="BG569" s="3"/>
      <c r="BH569" s="3"/>
      <c r="BI569" s="3"/>
    </row>
    <row r="570" spans="1:61" ht="12.95" customHeight="1">
      <c r="B570" s="52" t="s">
        <v>461</v>
      </c>
      <c r="C570" s="1421"/>
      <c r="D570" s="1421"/>
      <c r="E570" s="1421"/>
      <c r="F570" s="1421"/>
      <c r="G570" s="1421"/>
      <c r="H570" s="1421"/>
      <c r="I570" s="1421"/>
      <c r="J570" s="1421"/>
      <c r="K570" s="1421"/>
      <c r="L570" s="1421"/>
      <c r="M570" s="1420" t="s">
        <v>1184</v>
      </c>
      <c r="N570" s="1420"/>
      <c r="O570" s="1420"/>
      <c r="P570" s="1420"/>
      <c r="Q570" s="1441"/>
      <c r="R570" s="1442"/>
      <c r="S570" s="1443"/>
      <c r="T570" s="1441"/>
      <c r="U570" s="1442"/>
      <c r="V570" s="1443"/>
      <c r="W570" s="1422"/>
      <c r="X570" s="1423"/>
      <c r="Y570" s="1424"/>
      <c r="Z570" s="1428" t="s">
        <v>1184</v>
      </c>
      <c r="AA570" s="1428"/>
      <c r="AB570" s="1428"/>
      <c r="AC570" s="1428"/>
      <c r="AD570" s="1428"/>
      <c r="AE570" s="1444"/>
      <c r="AF570" s="1445"/>
      <c r="AG570" s="1445"/>
      <c r="AH570" s="1446"/>
      <c r="AI570" s="1412"/>
      <c r="AJ570" s="1413"/>
      <c r="AK570" s="1413"/>
      <c r="AL570" s="1414"/>
      <c r="AM570" s="1438"/>
      <c r="AN570" s="1439"/>
      <c r="AO570" s="1439"/>
      <c r="AP570" s="1439"/>
      <c r="AQ570" s="1439"/>
      <c r="AR570" s="1439"/>
      <c r="AS570" s="1440"/>
      <c r="AT570" s="1142" t="str">
        <f t="shared" si="2"/>
        <v/>
      </c>
      <c r="AU570" s="1141"/>
      <c r="BB570" s="3"/>
      <c r="BC570" s="3"/>
      <c r="BD570" s="3"/>
      <c r="BE570" s="3"/>
      <c r="BF570" s="3"/>
      <c r="BG570" s="3"/>
      <c r="BH570" s="3"/>
      <c r="BI570" s="3"/>
    </row>
    <row r="571" spans="1:61" ht="12.95" customHeight="1">
      <c r="B571" s="52" t="s">
        <v>646</v>
      </c>
      <c r="C571" s="1421"/>
      <c r="D571" s="1421"/>
      <c r="E571" s="1421"/>
      <c r="F571" s="1421"/>
      <c r="G571" s="1421"/>
      <c r="H571" s="1421"/>
      <c r="I571" s="1421"/>
      <c r="J571" s="1421"/>
      <c r="K571" s="1421"/>
      <c r="L571" s="1421"/>
      <c r="M571" s="1420" t="s">
        <v>1184</v>
      </c>
      <c r="N571" s="1420"/>
      <c r="O571" s="1420"/>
      <c r="P571" s="1420"/>
      <c r="Q571" s="1441"/>
      <c r="R571" s="1442"/>
      <c r="S571" s="1443"/>
      <c r="T571" s="1441"/>
      <c r="U571" s="1442"/>
      <c r="V571" s="1443"/>
      <c r="W571" s="1422"/>
      <c r="X571" s="1423"/>
      <c r="Y571" s="1424"/>
      <c r="Z571" s="1428" t="s">
        <v>1184</v>
      </c>
      <c r="AA571" s="1428"/>
      <c r="AB571" s="1428"/>
      <c r="AC571" s="1428"/>
      <c r="AD571" s="1428"/>
      <c r="AE571" s="1444"/>
      <c r="AF571" s="1445"/>
      <c r="AG571" s="1445"/>
      <c r="AH571" s="1446"/>
      <c r="AI571" s="1412"/>
      <c r="AJ571" s="1413"/>
      <c r="AK571" s="1413"/>
      <c r="AL571" s="1414"/>
      <c r="AM571" s="1438"/>
      <c r="AN571" s="1439"/>
      <c r="AO571" s="1439"/>
      <c r="AP571" s="1439"/>
      <c r="AQ571" s="1439"/>
      <c r="AR571" s="1439"/>
      <c r="AS571" s="1440"/>
      <c r="AT571" s="1142" t="str">
        <f t="shared" si="2"/>
        <v/>
      </c>
      <c r="BB571" s="3"/>
      <c r="BC571" s="3"/>
      <c r="BD571" s="3"/>
      <c r="BE571" s="3"/>
      <c r="BF571" s="3"/>
      <c r="BG571" s="3"/>
      <c r="BH571" s="3"/>
      <c r="BI571" s="3"/>
    </row>
    <row r="572" spans="1:61" ht="12.95" customHeight="1">
      <c r="B572" s="52" t="s">
        <v>362</v>
      </c>
      <c r="C572" s="1421"/>
      <c r="D572" s="1421"/>
      <c r="E572" s="1421"/>
      <c r="F572" s="1421"/>
      <c r="G572" s="1421"/>
      <c r="H572" s="1421"/>
      <c r="I572" s="1421"/>
      <c r="J572" s="1421"/>
      <c r="K572" s="1421"/>
      <c r="L572" s="1421"/>
      <c r="M572" s="1420" t="s">
        <v>1184</v>
      </c>
      <c r="N572" s="1420"/>
      <c r="O572" s="1420"/>
      <c r="P572" s="1420"/>
      <c r="Q572" s="1441"/>
      <c r="R572" s="1442"/>
      <c r="S572" s="1443"/>
      <c r="T572" s="1441"/>
      <c r="U572" s="1442"/>
      <c r="V572" s="1443"/>
      <c r="W572" s="1422"/>
      <c r="X572" s="1423"/>
      <c r="Y572" s="1424"/>
      <c r="Z572" s="1428" t="s">
        <v>1184</v>
      </c>
      <c r="AA572" s="1428"/>
      <c r="AB572" s="1428"/>
      <c r="AC572" s="1428"/>
      <c r="AD572" s="1428"/>
      <c r="AE572" s="1444"/>
      <c r="AF572" s="1445"/>
      <c r="AG572" s="1445"/>
      <c r="AH572" s="1446"/>
      <c r="AI572" s="1412"/>
      <c r="AJ572" s="1413"/>
      <c r="AK572" s="1413"/>
      <c r="AL572" s="1414"/>
      <c r="AM572" s="1438"/>
      <c r="AN572" s="1439"/>
      <c r="AO572" s="1439"/>
      <c r="AP572" s="1439"/>
      <c r="AQ572" s="1439"/>
      <c r="AR572" s="1439"/>
      <c r="AS572" s="1440"/>
      <c r="AT572" s="1142" t="str">
        <f t="shared" si="2"/>
        <v/>
      </c>
      <c r="BB572" s="3"/>
      <c r="BC572" s="3"/>
      <c r="BD572" s="3"/>
      <c r="BE572" s="3"/>
      <c r="BF572" s="3"/>
      <c r="BG572" s="3"/>
      <c r="BH572" s="3"/>
      <c r="BI572" s="3"/>
    </row>
    <row r="573" spans="1:61" ht="12.95" customHeight="1">
      <c r="B573" s="52" t="s">
        <v>363</v>
      </c>
      <c r="C573" s="1421"/>
      <c r="D573" s="1421"/>
      <c r="E573" s="1421"/>
      <c r="F573" s="1421"/>
      <c r="G573" s="1421"/>
      <c r="H573" s="1421"/>
      <c r="I573" s="1421"/>
      <c r="J573" s="1421"/>
      <c r="K573" s="1421"/>
      <c r="L573" s="1421"/>
      <c r="M573" s="1420" t="s">
        <v>1184</v>
      </c>
      <c r="N573" s="1420"/>
      <c r="O573" s="1420"/>
      <c r="P573" s="1420"/>
      <c r="Q573" s="1441"/>
      <c r="R573" s="1442"/>
      <c r="S573" s="1443"/>
      <c r="T573" s="1441"/>
      <c r="U573" s="1442"/>
      <c r="V573" s="1443"/>
      <c r="W573" s="1422"/>
      <c r="X573" s="1423"/>
      <c r="Y573" s="1424"/>
      <c r="Z573" s="1428" t="s">
        <v>1184</v>
      </c>
      <c r="AA573" s="1428"/>
      <c r="AB573" s="1428"/>
      <c r="AC573" s="1428"/>
      <c r="AD573" s="1428"/>
      <c r="AE573" s="1444"/>
      <c r="AF573" s="1445"/>
      <c r="AG573" s="1445"/>
      <c r="AH573" s="1446"/>
      <c r="AI573" s="1412"/>
      <c r="AJ573" s="1413"/>
      <c r="AK573" s="1413"/>
      <c r="AL573" s="1414"/>
      <c r="AM573" s="1438"/>
      <c r="AN573" s="1439"/>
      <c r="AO573" s="1439"/>
      <c r="AP573" s="1439"/>
      <c r="AQ573" s="1439"/>
      <c r="AR573" s="1439"/>
      <c r="AS573" s="1440"/>
      <c r="AT573" s="1142" t="str">
        <f t="shared" si="2"/>
        <v/>
      </c>
      <c r="BB573" s="3"/>
      <c r="BC573" s="3"/>
      <c r="BD573" s="3"/>
      <c r="BE573" s="3"/>
      <c r="BF573" s="3"/>
      <c r="BG573" s="3"/>
      <c r="BH573" s="3"/>
      <c r="BI573" s="3"/>
    </row>
    <row r="574" spans="1:61" ht="12.95" customHeight="1">
      <c r="B574" s="1489" t="s">
        <v>127</v>
      </c>
      <c r="C574" s="1490"/>
      <c r="D574" s="1490"/>
      <c r="E574" s="1490"/>
      <c r="F574" s="1490"/>
      <c r="G574" s="1490"/>
      <c r="H574" s="1490"/>
      <c r="I574" s="1490"/>
      <c r="J574" s="1490"/>
      <c r="K574" s="1490"/>
      <c r="L574" s="1490"/>
      <c r="M574" s="1490"/>
      <c r="N574" s="1490"/>
      <c r="O574" s="1490"/>
      <c r="P574" s="1490"/>
      <c r="Q574" s="1490"/>
      <c r="R574" s="1490"/>
      <c r="S574" s="1490"/>
      <c r="T574" s="1490"/>
      <c r="U574" s="1613"/>
      <c r="V574" s="1490"/>
      <c r="W574" s="1490"/>
      <c r="X574" s="1490"/>
      <c r="Y574" s="1490"/>
      <c r="Z574" s="1490"/>
      <c r="AA574" s="1490"/>
      <c r="AB574" s="1490"/>
      <c r="AC574" s="1490"/>
      <c r="AD574" s="1490"/>
      <c r="AE574" s="1490"/>
      <c r="AF574" s="1490"/>
      <c r="AG574" s="1490"/>
      <c r="AH574" s="1490"/>
      <c r="AI574" s="1490"/>
      <c r="AJ574" s="1490"/>
      <c r="AK574" s="1490"/>
      <c r="AL574" s="1491"/>
      <c r="AM574" s="1461">
        <f>SUM(AM562:AS573)</f>
        <v>21607387</v>
      </c>
      <c r="AN574" s="1462"/>
      <c r="AO574" s="1462"/>
      <c r="AP574" s="1462"/>
      <c r="AQ574" s="1462"/>
      <c r="AR574" s="1462"/>
      <c r="AS574" s="1463"/>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416" t="str">
        <f>C562</f>
        <v>Citibank - Tax Exempt</v>
      </c>
      <c r="H576" s="1416"/>
      <c r="I576" s="1416"/>
      <c r="J576" s="1416"/>
      <c r="K576" s="1416"/>
      <c r="L576" s="1416"/>
      <c r="M576" s="1416"/>
      <c r="N576" s="1416"/>
      <c r="O576" s="1416"/>
      <c r="P576" s="1416"/>
      <c r="Q576" s="1416"/>
      <c r="R576" s="1416"/>
      <c r="S576" s="8"/>
      <c r="T576" s="55" t="s">
        <v>113</v>
      </c>
      <c r="U576" t="s">
        <v>463</v>
      </c>
      <c r="Z576" s="1416" t="str">
        <f>C563</f>
        <v>Citibank - Taxable</v>
      </c>
      <c r="AA576" s="1416"/>
      <c r="AB576" s="1416"/>
      <c r="AC576" s="1416"/>
      <c r="AD576" s="1416"/>
      <c r="AE576" s="1416"/>
      <c r="AF576" s="1416"/>
      <c r="AG576" s="1416"/>
      <c r="AH576" s="1416"/>
      <c r="AI576" s="1416"/>
      <c r="AJ576" s="1416"/>
      <c r="AK576" s="1416"/>
      <c r="BB576" s="3"/>
      <c r="BC576" s="3"/>
      <c r="BD576" s="3"/>
      <c r="BE576" s="3"/>
      <c r="BF576" s="3"/>
      <c r="BG576" s="3"/>
      <c r="BH576" s="3"/>
      <c r="BI576" s="3"/>
    </row>
    <row r="577" spans="1:61" ht="12.95" customHeight="1">
      <c r="A577" s="22"/>
      <c r="B577" t="s">
        <v>85</v>
      </c>
      <c r="G577" s="1417" t="s">
        <v>2699</v>
      </c>
      <c r="H577" s="1417"/>
      <c r="I577" s="1417"/>
      <c r="J577" s="1417"/>
      <c r="K577" s="1417"/>
      <c r="L577" s="1417"/>
      <c r="M577" s="1417"/>
      <c r="N577" s="1417"/>
      <c r="O577" s="1417"/>
      <c r="P577" s="1417"/>
      <c r="Q577" s="1417"/>
      <c r="R577" s="1417"/>
      <c r="S577" s="8"/>
      <c r="T577" s="22"/>
      <c r="U577" t="s">
        <v>85</v>
      </c>
      <c r="Z577" s="1417" t="s">
        <v>2699</v>
      </c>
      <c r="AA577" s="1417"/>
      <c r="AB577" s="1417"/>
      <c r="AC577" s="1417"/>
      <c r="AD577" s="1417"/>
      <c r="AE577" s="1417"/>
      <c r="AF577" s="1417"/>
      <c r="AG577" s="1417"/>
      <c r="AH577" s="1417"/>
      <c r="AI577" s="1417"/>
      <c r="AJ577" s="1417"/>
      <c r="AK577" s="1417"/>
      <c r="BB577" s="3"/>
      <c r="BC577" s="3"/>
      <c r="BD577" s="3"/>
      <c r="BE577" s="3"/>
      <c r="BF577" s="3"/>
      <c r="BG577" s="3"/>
      <c r="BH577" s="3"/>
      <c r="BI577" s="3"/>
    </row>
    <row r="578" spans="1:61" ht="12.95" customHeight="1">
      <c r="A578" s="22"/>
      <c r="B578" t="s">
        <v>580</v>
      </c>
      <c r="G578" s="1417" t="s">
        <v>494</v>
      </c>
      <c r="H578" s="1417"/>
      <c r="I578" s="1417"/>
      <c r="J578" s="1417"/>
      <c r="K578" s="1417"/>
      <c r="L578" s="1417"/>
      <c r="M578" s="1417"/>
      <c r="N578" s="1417"/>
      <c r="O578" s="1417"/>
      <c r="P578" s="1417"/>
      <c r="Q578" s="1417"/>
      <c r="R578" s="1417"/>
      <c r="T578" s="22"/>
      <c r="U578" t="s">
        <v>580</v>
      </c>
      <c r="Z578" s="1419" t="s">
        <v>494</v>
      </c>
      <c r="AA578" s="1419"/>
      <c r="AB578" s="1419"/>
      <c r="AC578" s="1419"/>
      <c r="AD578" s="1419"/>
      <c r="AE578" s="1419"/>
      <c r="AF578" s="1419"/>
      <c r="AG578" s="1419"/>
      <c r="AH578" s="1419"/>
      <c r="AI578" s="1419"/>
      <c r="AJ578" s="1419"/>
      <c r="AK578" s="1419"/>
      <c r="BB578" s="3"/>
      <c r="BC578" s="3"/>
      <c r="BD578" s="3"/>
      <c r="BE578" s="3"/>
      <c r="BF578" s="3"/>
      <c r="BG578" s="3"/>
      <c r="BH578" s="3"/>
      <c r="BI578" s="3"/>
    </row>
    <row r="579" spans="1:61" ht="12.95" customHeight="1">
      <c r="A579" s="22"/>
      <c r="B579" t="s">
        <v>17</v>
      </c>
      <c r="G579" s="1417" t="s">
        <v>2700</v>
      </c>
      <c r="H579" s="1417"/>
      <c r="I579" s="1417"/>
      <c r="J579" s="1417"/>
      <c r="K579" s="1417"/>
      <c r="L579" s="1417"/>
      <c r="M579" s="1417"/>
      <c r="N579" s="1417"/>
      <c r="O579" s="1417"/>
      <c r="P579" s="1417"/>
      <c r="Q579" s="1417"/>
      <c r="R579" s="1417"/>
      <c r="S579" s="8"/>
      <c r="T579" s="22"/>
      <c r="U579" t="s">
        <v>17</v>
      </c>
      <c r="Z579" s="1419" t="s">
        <v>2700</v>
      </c>
      <c r="AA579" s="1419"/>
      <c r="AB579" s="1419"/>
      <c r="AC579" s="1419"/>
      <c r="AD579" s="1419"/>
      <c r="AE579" s="1419"/>
      <c r="AF579" s="1419"/>
      <c r="AG579" s="1419"/>
      <c r="AH579" s="1419"/>
      <c r="AI579" s="1419"/>
      <c r="AJ579" s="1419"/>
      <c r="AK579" s="1419"/>
      <c r="BB579" s="3"/>
      <c r="BC579" s="3"/>
      <c r="BD579" s="3"/>
      <c r="BE579" s="3"/>
      <c r="BF579" s="3"/>
      <c r="BG579" s="3"/>
      <c r="BH579" s="3"/>
      <c r="BI579" s="3"/>
    </row>
    <row r="580" spans="1:61" ht="12.95" customHeight="1">
      <c r="A580" s="22"/>
      <c r="B580" t="s">
        <v>316</v>
      </c>
      <c r="G580" s="1415">
        <v>2132391914</v>
      </c>
      <c r="H580" s="1415"/>
      <c r="I580" s="1415"/>
      <c r="J580" s="1415"/>
      <c r="K580" s="1415"/>
      <c r="L580" s="1415"/>
      <c r="O580" s="33" t="s">
        <v>206</v>
      </c>
      <c r="P580" s="1418"/>
      <c r="Q580" s="1418"/>
      <c r="R580" s="1418"/>
      <c r="S580" s="10"/>
      <c r="T580" s="22"/>
      <c r="U580" t="s">
        <v>316</v>
      </c>
      <c r="Z580" s="1415">
        <v>2132391914</v>
      </c>
      <c r="AA580" s="1415"/>
      <c r="AB580" s="1415"/>
      <c r="AC580" s="1415"/>
      <c r="AD580" s="1415"/>
      <c r="AE580" s="1415"/>
      <c r="AH580" s="33" t="s">
        <v>206</v>
      </c>
      <c r="AI580" s="1418"/>
      <c r="AJ580" s="1418"/>
      <c r="AK580" s="1418"/>
      <c r="BB580" s="3"/>
      <c r="BC580" s="3"/>
      <c r="BD580" s="3"/>
      <c r="BE580" s="3"/>
      <c r="BF580" s="3"/>
      <c r="BG580" s="3"/>
      <c r="BH580" s="3"/>
      <c r="BI580" s="3"/>
    </row>
    <row r="581" spans="1:61" ht="12.95" customHeight="1">
      <c r="A581" s="22"/>
      <c r="B581" t="s">
        <v>18</v>
      </c>
      <c r="H581" s="1417" t="s">
        <v>2074</v>
      </c>
      <c r="I581" s="1417"/>
      <c r="J581" s="1417"/>
      <c r="K581" s="1417"/>
      <c r="L581" s="1417"/>
      <c r="M581" s="1417"/>
      <c r="N581" s="1417"/>
      <c r="O581" s="1417"/>
      <c r="P581" s="1417"/>
      <c r="Q581" s="1417"/>
      <c r="R581" s="1417"/>
      <c r="S581" s="8"/>
      <c r="T581" s="22"/>
      <c r="U581" t="s">
        <v>18</v>
      </c>
      <c r="AA581" s="1417" t="s">
        <v>2068</v>
      </c>
      <c r="AB581" s="1417"/>
      <c r="AC581" s="1417"/>
      <c r="AD581" s="1417"/>
      <c r="AE581" s="1417"/>
      <c r="AF581" s="1417"/>
      <c r="AG581" s="1417"/>
      <c r="AH581" s="1417"/>
      <c r="AI581" s="1417"/>
      <c r="AJ581" s="1417"/>
      <c r="AK581" s="1417"/>
      <c r="BB581" s="3"/>
      <c r="BC581" s="3"/>
      <c r="BD581" s="3"/>
      <c r="BE581" s="3"/>
      <c r="BF581" s="3"/>
      <c r="BG581" s="3"/>
      <c r="BH581" s="3"/>
      <c r="BI581" s="3"/>
    </row>
    <row r="582" spans="1:61" ht="12.95" customHeight="1">
      <c r="A582" s="22"/>
      <c r="B582" s="320" t="s">
        <v>1185</v>
      </c>
      <c r="H582" s="8"/>
      <c r="I582" s="8"/>
      <c r="J582" s="8"/>
      <c r="K582" s="8"/>
      <c r="L582" s="8"/>
      <c r="M582" s="1597"/>
      <c r="N582" s="1597"/>
      <c r="O582" s="1597"/>
      <c r="P582" s="1597"/>
      <c r="Q582" s="1597"/>
      <c r="R582" s="1597"/>
      <c r="S582" s="8"/>
      <c r="T582" s="22"/>
      <c r="U582" s="320" t="s">
        <v>1185</v>
      </c>
      <c r="AA582" s="8"/>
      <c r="AB582" s="8"/>
      <c r="AC582" s="8"/>
      <c r="AD582" s="8"/>
      <c r="AE582" s="8"/>
      <c r="AF582" s="1597"/>
      <c r="AG582" s="1597"/>
      <c r="AH582" s="1597"/>
      <c r="AI582" s="1597"/>
      <c r="AJ582" s="1597"/>
      <c r="AK582" s="1597"/>
      <c r="BB582" s="3"/>
      <c r="BC582" s="3"/>
      <c r="BD582" s="3"/>
      <c r="BE582" s="3"/>
      <c r="BF582" s="3"/>
      <c r="BG582" s="3"/>
      <c r="BH582" s="3"/>
      <c r="BI582" s="3"/>
    </row>
    <row r="583" spans="1:61" ht="12.95" customHeight="1">
      <c r="A583" s="22"/>
      <c r="B583" t="s">
        <v>20</v>
      </c>
      <c r="N583" s="1266" t="s">
        <v>545</v>
      </c>
      <c r="O583" s="1266"/>
      <c r="T583" s="22"/>
      <c r="U583" t="s">
        <v>20</v>
      </c>
      <c r="AG583" s="1266" t="s">
        <v>545</v>
      </c>
      <c r="AH583" s="1266"/>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16" t="str">
        <f>C564</f>
        <v>Citibank - Tax-Exempt Recycled Bonds</v>
      </c>
      <c r="H585" s="1416"/>
      <c r="I585" s="1416"/>
      <c r="J585" s="1416"/>
      <c r="K585" s="1416"/>
      <c r="L585" s="1416"/>
      <c r="M585" s="1416"/>
      <c r="N585" s="1416"/>
      <c r="O585" s="1416"/>
      <c r="P585" s="1416"/>
      <c r="Q585" s="1416"/>
      <c r="R585" s="1416"/>
      <c r="T585" s="55" t="s">
        <v>581</v>
      </c>
      <c r="U585" t="s">
        <v>463</v>
      </c>
      <c r="Z585" s="1416" t="str">
        <f>C565</f>
        <v>Deferred Costs</v>
      </c>
      <c r="AA585" s="1416"/>
      <c r="AB585" s="1416"/>
      <c r="AC585" s="1416"/>
      <c r="AD585" s="1416"/>
      <c r="AE585" s="1416"/>
      <c r="AF585" s="1416"/>
      <c r="AG585" s="1416"/>
      <c r="AH585" s="1416"/>
      <c r="AI585" s="1416"/>
      <c r="AJ585" s="1416"/>
      <c r="AK585" s="1416"/>
      <c r="BB585" s="3"/>
      <c r="BC585" s="3"/>
    </row>
    <row r="586" spans="1:61" ht="12.95" customHeight="1">
      <c r="A586" s="22"/>
      <c r="B586" t="s">
        <v>85</v>
      </c>
      <c r="G586" s="1417" t="s">
        <v>2699</v>
      </c>
      <c r="H586" s="1417"/>
      <c r="I586" s="1417"/>
      <c r="J586" s="1417"/>
      <c r="K586" s="1417"/>
      <c r="L586" s="1417"/>
      <c r="M586" s="1417"/>
      <c r="N586" s="1417"/>
      <c r="O586" s="1417"/>
      <c r="P586" s="1417"/>
      <c r="Q586" s="1417"/>
      <c r="R586" s="1417"/>
      <c r="T586" s="22"/>
      <c r="U586" t="s">
        <v>85</v>
      </c>
      <c r="Z586" s="1417" t="s">
        <v>2707</v>
      </c>
      <c r="AA586" s="1417"/>
      <c r="AB586" s="1417"/>
      <c r="AC586" s="1417"/>
      <c r="AD586" s="1417"/>
      <c r="AE586" s="1417"/>
      <c r="AF586" s="1417"/>
      <c r="AG586" s="1417"/>
      <c r="AH586" s="1417"/>
      <c r="AI586" s="1417"/>
      <c r="AJ586" s="1417"/>
      <c r="AK586" s="1417"/>
      <c r="BB586" s="3"/>
      <c r="BC586" s="3"/>
    </row>
    <row r="587" spans="1:61" ht="12.95" customHeight="1">
      <c r="A587" s="22"/>
      <c r="B587" t="s">
        <v>580</v>
      </c>
      <c r="G587" s="1419" t="s">
        <v>494</v>
      </c>
      <c r="H587" s="1419"/>
      <c r="I587" s="1419"/>
      <c r="J587" s="1419"/>
      <c r="K587" s="1419"/>
      <c r="L587" s="1419"/>
      <c r="M587" s="1419"/>
      <c r="N587" s="1419"/>
      <c r="O587" s="1419"/>
      <c r="P587" s="1419"/>
      <c r="Q587" s="1419"/>
      <c r="R587" s="1419"/>
      <c r="T587" s="22"/>
      <c r="U587" t="s">
        <v>580</v>
      </c>
      <c r="Z587" s="1419" t="s">
        <v>494</v>
      </c>
      <c r="AA587" s="1419"/>
      <c r="AB587" s="1419"/>
      <c r="AC587" s="1419"/>
      <c r="AD587" s="1419"/>
      <c r="AE587" s="1419"/>
      <c r="AF587" s="1419"/>
      <c r="AG587" s="1419"/>
      <c r="AH587" s="1419"/>
      <c r="AI587" s="1419"/>
      <c r="AJ587" s="1419"/>
      <c r="AK587" s="1419"/>
      <c r="BB587" s="3"/>
      <c r="BC587" s="3"/>
    </row>
    <row r="588" spans="1:61" ht="12.95" customHeight="1">
      <c r="A588" s="22"/>
      <c r="B588" t="s">
        <v>17</v>
      </c>
      <c r="G588" s="1419" t="s">
        <v>2700</v>
      </c>
      <c r="H588" s="1419"/>
      <c r="I588" s="1419"/>
      <c r="J588" s="1419"/>
      <c r="K588" s="1419"/>
      <c r="L588" s="1419"/>
      <c r="M588" s="1419"/>
      <c r="N588" s="1419"/>
      <c r="O588" s="1419"/>
      <c r="P588" s="1419"/>
      <c r="Q588" s="1419"/>
      <c r="R588" s="1419"/>
      <c r="T588" s="22"/>
      <c r="U588" t="s">
        <v>17</v>
      </c>
      <c r="Z588" s="1419" t="s">
        <v>2708</v>
      </c>
      <c r="AA588" s="1419"/>
      <c r="AB588" s="1419"/>
      <c r="AC588" s="1419"/>
      <c r="AD588" s="1419"/>
      <c r="AE588" s="1419"/>
      <c r="AF588" s="1419"/>
      <c r="AG588" s="1419"/>
      <c r="AH588" s="1419"/>
      <c r="AI588" s="1419"/>
      <c r="AJ588" s="1419"/>
      <c r="AK588" s="1419"/>
      <c r="BB588" s="3"/>
      <c r="BC588" s="3"/>
    </row>
    <row r="589" spans="1:61" ht="12.95" customHeight="1">
      <c r="A589" s="22"/>
      <c r="B589" t="s">
        <v>316</v>
      </c>
      <c r="G589" s="1623">
        <v>2132391914</v>
      </c>
      <c r="H589" s="1623"/>
      <c r="I589" s="1623"/>
      <c r="J589" s="1623"/>
      <c r="K589" s="1623"/>
      <c r="L589" s="1623"/>
      <c r="O589" s="33" t="s">
        <v>206</v>
      </c>
      <c r="P589" s="1418"/>
      <c r="Q589" s="1418"/>
      <c r="R589" s="1418"/>
      <c r="T589" s="22"/>
      <c r="U589" t="s">
        <v>316</v>
      </c>
      <c r="Z589" s="1415">
        <v>2133655000</v>
      </c>
      <c r="AA589" s="1415"/>
      <c r="AB589" s="1415"/>
      <c r="AC589" s="1415"/>
      <c r="AD589" s="1415"/>
      <c r="AE589" s="1415"/>
      <c r="AH589" s="33" t="s">
        <v>206</v>
      </c>
      <c r="AI589" s="1418"/>
      <c r="AJ589" s="1418"/>
      <c r="AK589" s="1418"/>
      <c r="BB589" s="3"/>
      <c r="BC589" s="3"/>
    </row>
    <row r="590" spans="1:61" ht="12.95" customHeight="1">
      <c r="A590" s="22"/>
      <c r="B590" t="s">
        <v>18</v>
      </c>
      <c r="H590" s="1417" t="s">
        <v>2753</v>
      </c>
      <c r="I590" s="1417"/>
      <c r="J590" s="1417"/>
      <c r="K590" s="1417"/>
      <c r="L590" s="1417"/>
      <c r="M590" s="1417"/>
      <c r="N590" s="1417"/>
      <c r="O590" s="1417"/>
      <c r="P590" s="1417"/>
      <c r="Q590" s="1417"/>
      <c r="R590" s="1417"/>
      <c r="T590" s="22"/>
      <c r="U590" t="s">
        <v>18</v>
      </c>
      <c r="AA590" s="1417" t="s">
        <v>2691</v>
      </c>
      <c r="AB590" s="1417"/>
      <c r="AC590" s="1417"/>
      <c r="AD590" s="1417"/>
      <c r="AE590" s="1417"/>
      <c r="AF590" s="1417"/>
      <c r="AG590" s="1417"/>
      <c r="AH590" s="1417"/>
      <c r="AI590" s="1417"/>
      <c r="AJ590" s="1417"/>
      <c r="AK590" s="1417"/>
      <c r="BB590" s="3"/>
      <c r="BC590" s="3"/>
    </row>
    <row r="591" spans="1:61" ht="12.95" customHeight="1">
      <c r="A591" s="22"/>
      <c r="B591" t="s">
        <v>20</v>
      </c>
      <c r="N591" s="1266" t="s">
        <v>545</v>
      </c>
      <c r="O591" s="1266"/>
      <c r="T591" s="22"/>
      <c r="U591" t="s">
        <v>20</v>
      </c>
      <c r="AG591" s="1266" t="s">
        <v>545</v>
      </c>
      <c r="AH591" s="1266"/>
      <c r="BB591" s="3"/>
      <c r="BC591" s="3"/>
    </row>
    <row r="592" spans="1:61" ht="12.95" customHeight="1">
      <c r="A592" s="22"/>
      <c r="T592" s="22"/>
      <c r="BB592" s="3"/>
      <c r="BC592" s="3"/>
    </row>
    <row r="593" spans="1:55" ht="12.95" customHeight="1">
      <c r="A593" s="55" t="s">
        <v>763</v>
      </c>
      <c r="B593" t="s">
        <v>463</v>
      </c>
      <c r="G593" s="1416" t="str">
        <f>C566</f>
        <v>Tax Credit Proceeds</v>
      </c>
      <c r="H593" s="1416"/>
      <c r="I593" s="1416"/>
      <c r="J593" s="1416"/>
      <c r="K593" s="1416"/>
      <c r="L593" s="1416"/>
      <c r="M593" s="1416"/>
      <c r="N593" s="1416"/>
      <c r="O593" s="1416"/>
      <c r="P593" s="1416"/>
      <c r="Q593" s="1416"/>
      <c r="R593" s="1416"/>
      <c r="T593" s="55" t="s">
        <v>584</v>
      </c>
      <c r="U593" t="s">
        <v>463</v>
      </c>
      <c r="Z593" s="1416">
        <f>C567</f>
        <v>0</v>
      </c>
      <c r="AA593" s="1416"/>
      <c r="AB593" s="1416"/>
      <c r="AC593" s="1416"/>
      <c r="AD593" s="1416"/>
      <c r="AE593" s="1416"/>
      <c r="AF593" s="1416"/>
      <c r="AG593" s="1416"/>
      <c r="AH593" s="1416"/>
      <c r="AI593" s="1416"/>
      <c r="AJ593" s="1416"/>
      <c r="AK593" s="1416"/>
      <c r="BB593" s="3"/>
      <c r="BC593" s="3"/>
    </row>
    <row r="594" spans="1:55" ht="12.95" customHeight="1">
      <c r="A594" s="22"/>
      <c r="B594" t="s">
        <v>85</v>
      </c>
      <c r="G594" s="1417" t="s">
        <v>2704</v>
      </c>
      <c r="H594" s="1417"/>
      <c r="I594" s="1417"/>
      <c r="J594" s="1417"/>
      <c r="K594" s="1417"/>
      <c r="L594" s="1417"/>
      <c r="M594" s="1417"/>
      <c r="N594" s="1417"/>
      <c r="O594" s="1417"/>
      <c r="P594" s="1417"/>
      <c r="Q594" s="1417"/>
      <c r="R594" s="1417"/>
      <c r="T594" s="22"/>
      <c r="U594" t="s">
        <v>85</v>
      </c>
      <c r="Z594" s="1417"/>
      <c r="AA594" s="1417"/>
      <c r="AB594" s="1417"/>
      <c r="AC594" s="1417"/>
      <c r="AD594" s="1417"/>
      <c r="AE594" s="1417"/>
      <c r="AF594" s="1417"/>
      <c r="AG594" s="1417"/>
      <c r="AH594" s="1417"/>
      <c r="AI594" s="1417"/>
      <c r="AJ594" s="1417"/>
      <c r="AK594" s="1417"/>
      <c r="BB594" s="3"/>
      <c r="BC594" s="3"/>
    </row>
    <row r="595" spans="1:55" ht="12.95" customHeight="1">
      <c r="A595" s="22"/>
      <c r="B595" t="s">
        <v>580</v>
      </c>
      <c r="G595" s="1417" t="s">
        <v>2705</v>
      </c>
      <c r="H595" s="1417"/>
      <c r="I595" s="1417"/>
      <c r="J595" s="1417"/>
      <c r="K595" s="1417"/>
      <c r="L595" s="1417"/>
      <c r="M595" s="1417"/>
      <c r="N595" s="1417"/>
      <c r="O595" s="1417"/>
      <c r="P595" s="1417"/>
      <c r="Q595" s="1417"/>
      <c r="R595" s="1417"/>
      <c r="T595" s="22"/>
      <c r="U595" t="s">
        <v>580</v>
      </c>
      <c r="Z595" s="1419"/>
      <c r="AA595" s="1419"/>
      <c r="AB595" s="1419"/>
      <c r="AC595" s="1419"/>
      <c r="AD595" s="1419"/>
      <c r="AE595" s="1419"/>
      <c r="AF595" s="1419"/>
      <c r="AG595" s="1419"/>
      <c r="AH595" s="1419"/>
      <c r="AI595" s="1419"/>
      <c r="AJ595" s="1419"/>
      <c r="AK595" s="1419"/>
      <c r="BB595" s="3"/>
      <c r="BC595" s="3"/>
    </row>
    <row r="596" spans="1:55" ht="12.95" customHeight="1">
      <c r="A596" s="22"/>
      <c r="B596" t="s">
        <v>17</v>
      </c>
      <c r="G596" s="1417" t="s">
        <v>2706</v>
      </c>
      <c r="H596" s="1417"/>
      <c r="I596" s="1417"/>
      <c r="J596" s="1417"/>
      <c r="K596" s="1417"/>
      <c r="L596" s="1417"/>
      <c r="M596" s="1417"/>
      <c r="N596" s="1417"/>
      <c r="O596" s="1417"/>
      <c r="P596" s="1417"/>
      <c r="Q596" s="1417"/>
      <c r="R596" s="1417"/>
      <c r="T596" s="22"/>
      <c r="U596" t="s">
        <v>17</v>
      </c>
      <c r="Z596" s="1419"/>
      <c r="AA596" s="1419"/>
      <c r="AB596" s="1419"/>
      <c r="AC596" s="1419"/>
      <c r="AD596" s="1419"/>
      <c r="AE596" s="1419"/>
      <c r="AF596" s="1419"/>
      <c r="AG596" s="1419"/>
      <c r="AH596" s="1419"/>
      <c r="AI596" s="1419"/>
      <c r="AJ596" s="1419"/>
      <c r="AK596" s="1419"/>
    </row>
    <row r="597" spans="1:55" ht="12.95" customHeight="1">
      <c r="A597" s="22"/>
      <c r="B597" t="s">
        <v>316</v>
      </c>
      <c r="G597" s="1415">
        <v>9494381056</v>
      </c>
      <c r="H597" s="1415"/>
      <c r="I597" s="1415"/>
      <c r="J597" s="1415"/>
      <c r="K597" s="1415"/>
      <c r="L597" s="1415"/>
      <c r="O597" s="33" t="s">
        <v>206</v>
      </c>
      <c r="P597" s="1418"/>
      <c r="Q597" s="1418"/>
      <c r="R597" s="1418"/>
      <c r="T597" s="22"/>
      <c r="U597" t="s">
        <v>316</v>
      </c>
      <c r="Z597" s="1415"/>
      <c r="AA597" s="1415"/>
      <c r="AB597" s="1415"/>
      <c r="AC597" s="1415"/>
      <c r="AD597" s="1415"/>
      <c r="AE597" s="1415"/>
      <c r="AH597" s="33" t="s">
        <v>206</v>
      </c>
      <c r="AI597" s="1418"/>
      <c r="AJ597" s="1418"/>
      <c r="AK597" s="1418"/>
      <c r="AZ597" s="3"/>
      <c r="BA597" s="3"/>
      <c r="BB597" s="3"/>
      <c r="BC597" s="3"/>
    </row>
    <row r="598" spans="1:55" ht="12.95" customHeight="1">
      <c r="A598" s="22"/>
      <c r="B598" t="s">
        <v>18</v>
      </c>
      <c r="H598" s="1417" t="s">
        <v>2065</v>
      </c>
      <c r="I598" s="1417"/>
      <c r="J598" s="1417"/>
      <c r="K598" s="1417"/>
      <c r="L598" s="1417"/>
      <c r="M598" s="1417"/>
      <c r="N598" s="1417"/>
      <c r="O598" s="1417"/>
      <c r="P598" s="1417"/>
      <c r="Q598" s="1417"/>
      <c r="R598" s="1417"/>
      <c r="T598" s="22"/>
      <c r="U598" t="s">
        <v>18</v>
      </c>
      <c r="AA598" s="1417"/>
      <c r="AB598" s="1417"/>
      <c r="AC598" s="1417"/>
      <c r="AD598" s="1417"/>
      <c r="AE598" s="1417"/>
      <c r="AF598" s="1417"/>
      <c r="AG598" s="1417"/>
      <c r="AH598" s="1417"/>
      <c r="AI598" s="1417"/>
      <c r="AJ598" s="1417"/>
      <c r="AK598" s="1417"/>
      <c r="AZ598" s="3"/>
      <c r="BA598" s="3"/>
      <c r="BB598" s="3"/>
      <c r="BC598" s="3"/>
    </row>
    <row r="599" spans="1:55" ht="12.95" customHeight="1">
      <c r="A599" s="22"/>
      <c r="B599" t="s">
        <v>20</v>
      </c>
      <c r="N599" s="1266" t="s">
        <v>545</v>
      </c>
      <c r="O599" s="1266"/>
      <c r="T599" s="22"/>
      <c r="U599" t="s">
        <v>20</v>
      </c>
      <c r="AG599" s="1266" t="s">
        <v>669</v>
      </c>
      <c r="AH599" s="1266"/>
      <c r="AZ599" s="3"/>
      <c r="BA599" s="3"/>
      <c r="BB599" s="3"/>
      <c r="BC599" s="3"/>
    </row>
    <row r="600" spans="1:55" ht="12.95" customHeight="1">
      <c r="A600" s="22"/>
      <c r="T600" s="22"/>
      <c r="AZ600" s="3"/>
      <c r="BA600" s="3"/>
      <c r="BB600" s="3"/>
      <c r="BC600" s="3"/>
    </row>
    <row r="601" spans="1:55" ht="12.95" customHeight="1">
      <c r="A601" s="55" t="s">
        <v>455</v>
      </c>
      <c r="B601" t="s">
        <v>463</v>
      </c>
      <c r="G601" s="1416">
        <f>C568</f>
        <v>0</v>
      </c>
      <c r="H601" s="1416"/>
      <c r="I601" s="1416"/>
      <c r="J601" s="1416"/>
      <c r="K601" s="1416"/>
      <c r="L601" s="1416"/>
      <c r="M601" s="1416"/>
      <c r="N601" s="1416"/>
      <c r="O601" s="1416"/>
      <c r="P601" s="1416"/>
      <c r="Q601" s="1416"/>
      <c r="R601" s="1416"/>
      <c r="T601" s="55" t="s">
        <v>456</v>
      </c>
      <c r="U601" t="s">
        <v>463</v>
      </c>
      <c r="Z601" s="1416">
        <f>C569</f>
        <v>0</v>
      </c>
      <c r="AA601" s="1416"/>
      <c r="AB601" s="1416"/>
      <c r="AC601" s="1416"/>
      <c r="AD601" s="1416"/>
      <c r="AE601" s="1416"/>
      <c r="AF601" s="1416"/>
      <c r="AG601" s="1416"/>
      <c r="AH601" s="1416"/>
      <c r="AI601" s="1416"/>
      <c r="AJ601" s="1416"/>
      <c r="AK601" s="1416"/>
      <c r="AZ601" s="3"/>
      <c r="BA601" s="3"/>
      <c r="BB601" s="3"/>
      <c r="BC601" s="3"/>
    </row>
    <row r="602" spans="1:55" s="4" customFormat="1" ht="12.95" customHeight="1">
      <c r="A602" s="22"/>
      <c r="B602" t="s">
        <v>85</v>
      </c>
      <c r="C602"/>
      <c r="D602"/>
      <c r="E602"/>
      <c r="F602"/>
      <c r="G602" s="1417"/>
      <c r="H602" s="1417"/>
      <c r="I602" s="1417"/>
      <c r="J602" s="1417"/>
      <c r="K602" s="1417"/>
      <c r="L602" s="1417"/>
      <c r="M602" s="1417"/>
      <c r="N602" s="1417"/>
      <c r="O602" s="1417"/>
      <c r="P602" s="1417"/>
      <c r="Q602" s="1417"/>
      <c r="R602" s="1417"/>
      <c r="S602"/>
      <c r="T602" s="22"/>
      <c r="U602" t="s">
        <v>85</v>
      </c>
      <c r="V602"/>
      <c r="W602"/>
      <c r="X602"/>
      <c r="Y602"/>
      <c r="Z602" s="1417"/>
      <c r="AA602" s="1417"/>
      <c r="AB602" s="1417"/>
      <c r="AC602" s="1417"/>
      <c r="AD602" s="1417"/>
      <c r="AE602" s="1417"/>
      <c r="AF602" s="1417"/>
      <c r="AG602" s="1417"/>
      <c r="AH602" s="1417"/>
      <c r="AI602" s="1417"/>
      <c r="AJ602" s="1417"/>
      <c r="AK602" s="1417"/>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17"/>
      <c r="H603" s="1417"/>
      <c r="I603" s="1417"/>
      <c r="J603" s="1417"/>
      <c r="K603" s="1417"/>
      <c r="L603" s="1417"/>
      <c r="M603" s="1417"/>
      <c r="N603" s="1417"/>
      <c r="O603" s="1417"/>
      <c r="P603" s="1417"/>
      <c r="Q603" s="1417"/>
      <c r="R603" s="1417"/>
      <c r="S603"/>
      <c r="T603" s="22"/>
      <c r="U603" t="s">
        <v>580</v>
      </c>
      <c r="V603"/>
      <c r="W603"/>
      <c r="X603"/>
      <c r="Y603"/>
      <c r="Z603" s="1419"/>
      <c r="AA603" s="1419"/>
      <c r="AB603" s="1419"/>
      <c r="AC603" s="1419"/>
      <c r="AD603" s="1419"/>
      <c r="AE603" s="1419"/>
      <c r="AF603" s="1419"/>
      <c r="AG603" s="1419"/>
      <c r="AH603" s="1419"/>
      <c r="AI603" s="1419"/>
      <c r="AJ603" s="1419"/>
      <c r="AK603" s="1419"/>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17"/>
      <c r="H604" s="1417"/>
      <c r="I604" s="1417"/>
      <c r="J604" s="1417"/>
      <c r="K604" s="1417"/>
      <c r="L604" s="1417"/>
      <c r="M604" s="1417"/>
      <c r="N604" s="1417"/>
      <c r="O604" s="1417"/>
      <c r="P604" s="1417"/>
      <c r="Q604" s="1417"/>
      <c r="R604" s="1417"/>
      <c r="S604"/>
      <c r="T604" s="22"/>
      <c r="U604" t="s">
        <v>17</v>
      </c>
      <c r="V604"/>
      <c r="W604"/>
      <c r="X604"/>
      <c r="Y604"/>
      <c r="Z604" s="1419"/>
      <c r="AA604" s="1419"/>
      <c r="AB604" s="1419"/>
      <c r="AC604" s="1419"/>
      <c r="AD604" s="1419"/>
      <c r="AE604" s="1419"/>
      <c r="AF604" s="1419"/>
      <c r="AG604" s="1419"/>
      <c r="AH604" s="1419"/>
      <c r="AI604" s="1419"/>
      <c r="AJ604" s="1419"/>
      <c r="AK604" s="1419"/>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15"/>
      <c r="H605" s="1415"/>
      <c r="I605" s="1415"/>
      <c r="J605" s="1415"/>
      <c r="K605" s="1415"/>
      <c r="L605" s="1415"/>
      <c r="M605"/>
      <c r="N605"/>
      <c r="O605" s="33" t="s">
        <v>206</v>
      </c>
      <c r="P605" s="1418"/>
      <c r="Q605" s="1418"/>
      <c r="R605" s="1418"/>
      <c r="S605"/>
      <c r="T605" s="22"/>
      <c r="U605" t="s">
        <v>316</v>
      </c>
      <c r="V605"/>
      <c r="W605"/>
      <c r="X605"/>
      <c r="Y605"/>
      <c r="Z605" s="1415"/>
      <c r="AA605" s="1415"/>
      <c r="AB605" s="1415"/>
      <c r="AC605" s="1415"/>
      <c r="AD605" s="1415"/>
      <c r="AE605" s="1415"/>
      <c r="AF605"/>
      <c r="AG605"/>
      <c r="AH605" s="33" t="s">
        <v>206</v>
      </c>
      <c r="AI605" s="1418"/>
      <c r="AJ605" s="1418"/>
      <c r="AK605" s="1418"/>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17"/>
      <c r="I606" s="1417"/>
      <c r="J606" s="1417"/>
      <c r="K606" s="1417"/>
      <c r="L606" s="1417"/>
      <c r="M606" s="1417"/>
      <c r="N606" s="1417"/>
      <c r="O606" s="1417"/>
      <c r="P606" s="1417"/>
      <c r="Q606" s="1417"/>
      <c r="R606" s="1417"/>
      <c r="S606"/>
      <c r="T606" s="22"/>
      <c r="U606" t="s">
        <v>18</v>
      </c>
      <c r="V606"/>
      <c r="W606"/>
      <c r="X606"/>
      <c r="Y606"/>
      <c r="Z606"/>
      <c r="AA606" s="1417"/>
      <c r="AB606" s="1417"/>
      <c r="AC606" s="1417"/>
      <c r="AD606" s="1417"/>
      <c r="AE606" s="1417"/>
      <c r="AF606" s="1417"/>
      <c r="AG606" s="1417"/>
      <c r="AH606" s="1417"/>
      <c r="AI606" s="1417"/>
      <c r="AJ606" s="1417"/>
      <c r="AK606" s="1417"/>
      <c r="AL606"/>
      <c r="AM606"/>
      <c r="AN606"/>
      <c r="AO606"/>
      <c r="AP606"/>
      <c r="AQ606"/>
      <c r="AR606"/>
      <c r="AS606"/>
      <c r="AT606"/>
      <c r="AU606"/>
      <c r="AV606"/>
      <c r="AW606"/>
      <c r="AX606"/>
      <c r="AY606"/>
      <c r="BB606" s="3"/>
      <c r="BC606" s="3"/>
    </row>
    <row r="607" spans="1:55" ht="12.95" customHeight="1">
      <c r="A607" s="22"/>
      <c r="B607" t="s">
        <v>20</v>
      </c>
      <c r="N607" s="1266" t="s">
        <v>669</v>
      </c>
      <c r="O607" s="1266"/>
      <c r="T607" s="22"/>
      <c r="U607" t="s">
        <v>20</v>
      </c>
      <c r="AG607" s="1266" t="s">
        <v>669</v>
      </c>
      <c r="AH607" s="1266"/>
      <c r="BB607" s="3"/>
      <c r="BC607" s="3"/>
    </row>
    <row r="608" spans="1:55" ht="12.95" customHeight="1">
      <c r="A608" s="22"/>
      <c r="T608" s="22"/>
      <c r="BB608" s="3"/>
      <c r="BC608" s="3"/>
    </row>
    <row r="609" spans="1:55" ht="12.95" customHeight="1">
      <c r="A609" s="55" t="s">
        <v>461</v>
      </c>
      <c r="B609" t="s">
        <v>463</v>
      </c>
      <c r="G609" s="1416">
        <f>C570</f>
        <v>0</v>
      </c>
      <c r="H609" s="1416"/>
      <c r="I609" s="1416"/>
      <c r="J609" s="1416"/>
      <c r="K609" s="1416"/>
      <c r="L609" s="1416"/>
      <c r="M609" s="1416"/>
      <c r="N609" s="1416"/>
      <c r="O609" s="1416"/>
      <c r="P609" s="1416"/>
      <c r="Q609" s="1416"/>
      <c r="R609" s="1416"/>
      <c r="T609" s="55" t="s">
        <v>646</v>
      </c>
      <c r="U609" t="s">
        <v>463</v>
      </c>
      <c r="Z609" s="1416">
        <f>C571</f>
        <v>0</v>
      </c>
      <c r="AA609" s="1416"/>
      <c r="AB609" s="1416"/>
      <c r="AC609" s="1416"/>
      <c r="AD609" s="1416"/>
      <c r="AE609" s="1416"/>
      <c r="AF609" s="1416"/>
      <c r="AG609" s="1416"/>
      <c r="AH609" s="1416"/>
      <c r="AI609" s="1416"/>
      <c r="AJ609" s="1416"/>
      <c r="AK609" s="1416"/>
      <c r="BB609" s="3"/>
      <c r="BC609" s="3"/>
    </row>
    <row r="610" spans="1:55" ht="12.95" customHeight="1">
      <c r="A610" s="22"/>
      <c r="B610" t="s">
        <v>85</v>
      </c>
      <c r="G610" s="1417"/>
      <c r="H610" s="1417"/>
      <c r="I610" s="1417"/>
      <c r="J610" s="1417"/>
      <c r="K610" s="1417"/>
      <c r="L610" s="1417"/>
      <c r="M610" s="1417"/>
      <c r="N610" s="1417"/>
      <c r="O610" s="1417"/>
      <c r="P610" s="1417"/>
      <c r="Q610" s="1417"/>
      <c r="R610" s="1417"/>
      <c r="T610" s="22"/>
      <c r="U610" t="s">
        <v>85</v>
      </c>
      <c r="Z610" s="1417"/>
      <c r="AA610" s="1417"/>
      <c r="AB610" s="1417"/>
      <c r="AC610" s="1417"/>
      <c r="AD610" s="1417"/>
      <c r="AE610" s="1417"/>
      <c r="AF610" s="1417"/>
      <c r="AG610" s="1417"/>
      <c r="AH610" s="1417"/>
      <c r="AI610" s="1417"/>
      <c r="AJ610" s="1417"/>
      <c r="AK610" s="1417"/>
      <c r="AZ610" s="3"/>
      <c r="BA610" s="3"/>
      <c r="BB610" s="3"/>
      <c r="BC610" s="3"/>
    </row>
    <row r="611" spans="1:55" ht="12.95" customHeight="1">
      <c r="A611" s="22"/>
      <c r="B611" t="s">
        <v>580</v>
      </c>
      <c r="G611" s="1417"/>
      <c r="H611" s="1417"/>
      <c r="I611" s="1417"/>
      <c r="J611" s="1417"/>
      <c r="K611" s="1417"/>
      <c r="L611" s="1417"/>
      <c r="M611" s="1417"/>
      <c r="N611" s="1417"/>
      <c r="O611" s="1417"/>
      <c r="P611" s="1417"/>
      <c r="Q611" s="1417"/>
      <c r="R611" s="1417"/>
      <c r="T611" s="22"/>
      <c r="U611" t="s">
        <v>580</v>
      </c>
      <c r="Z611" s="1419"/>
      <c r="AA611" s="1419"/>
      <c r="AB611" s="1419"/>
      <c r="AC611" s="1419"/>
      <c r="AD611" s="1419"/>
      <c r="AE611" s="1419"/>
      <c r="AF611" s="1419"/>
      <c r="AG611" s="1419"/>
      <c r="AH611" s="1419"/>
      <c r="AI611" s="1419"/>
      <c r="AJ611" s="1419"/>
      <c r="AK611" s="1419"/>
      <c r="AZ611" s="3"/>
      <c r="BA611" s="3"/>
      <c r="BB611" s="3"/>
      <c r="BC611" s="3"/>
    </row>
    <row r="612" spans="1:55" ht="12.95" customHeight="1">
      <c r="A612" s="22"/>
      <c r="B612" t="s">
        <v>17</v>
      </c>
      <c r="G612" s="1417"/>
      <c r="H612" s="1417"/>
      <c r="I612" s="1417"/>
      <c r="J612" s="1417"/>
      <c r="K612" s="1417"/>
      <c r="L612" s="1417"/>
      <c r="M612" s="1417"/>
      <c r="N612" s="1417"/>
      <c r="O612" s="1417"/>
      <c r="P612" s="1417"/>
      <c r="Q612" s="1417"/>
      <c r="R612" s="1417"/>
      <c r="T612" s="22"/>
      <c r="U612" t="s">
        <v>17</v>
      </c>
      <c r="Z612" s="1419"/>
      <c r="AA612" s="1419"/>
      <c r="AB612" s="1419"/>
      <c r="AC612" s="1419"/>
      <c r="AD612" s="1419"/>
      <c r="AE612" s="1419"/>
      <c r="AF612" s="1419"/>
      <c r="AG612" s="1419"/>
      <c r="AH612" s="1419"/>
      <c r="AI612" s="1419"/>
      <c r="AJ612" s="1419"/>
      <c r="AK612" s="1419"/>
      <c r="AZ612" s="3"/>
      <c r="BA612" s="3"/>
      <c r="BB612" s="3"/>
      <c r="BC612" s="3"/>
    </row>
    <row r="613" spans="1:55" s="4" customFormat="1" ht="12.95" customHeight="1">
      <c r="A613" s="22"/>
      <c r="B613" t="s">
        <v>316</v>
      </c>
      <c r="C613"/>
      <c r="D613"/>
      <c r="E613"/>
      <c r="F613"/>
      <c r="G613" s="1415"/>
      <c r="H613" s="1415"/>
      <c r="I613" s="1415"/>
      <c r="J613" s="1415"/>
      <c r="K613" s="1415"/>
      <c r="L613" s="1415"/>
      <c r="M613"/>
      <c r="N613"/>
      <c r="O613" s="33" t="s">
        <v>206</v>
      </c>
      <c r="P613" s="1418"/>
      <c r="Q613" s="1418"/>
      <c r="R613" s="1418"/>
      <c r="S613"/>
      <c r="T613" s="22"/>
      <c r="U613" t="s">
        <v>316</v>
      </c>
      <c r="V613"/>
      <c r="W613"/>
      <c r="X613"/>
      <c r="Y613"/>
      <c r="Z613" s="1415"/>
      <c r="AA613" s="1415"/>
      <c r="AB613" s="1415"/>
      <c r="AC613" s="1415"/>
      <c r="AD613" s="1415"/>
      <c r="AE613" s="1415"/>
      <c r="AF613"/>
      <c r="AG613"/>
      <c r="AH613" s="33" t="s">
        <v>206</v>
      </c>
      <c r="AI613" s="1418"/>
      <c r="AJ613" s="1418"/>
      <c r="AK613" s="1418"/>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17"/>
      <c r="I614" s="1417"/>
      <c r="J614" s="1417"/>
      <c r="K614" s="1417"/>
      <c r="L614" s="1417"/>
      <c r="M614" s="1417"/>
      <c r="N614" s="1417"/>
      <c r="O614" s="1417"/>
      <c r="P614" s="1417"/>
      <c r="Q614" s="1417"/>
      <c r="R614" s="1417"/>
      <c r="S614"/>
      <c r="T614" s="22"/>
      <c r="U614" t="s">
        <v>18</v>
      </c>
      <c r="V614"/>
      <c r="W614"/>
      <c r="X614"/>
      <c r="Y614"/>
      <c r="Z614"/>
      <c r="AA614" s="1417"/>
      <c r="AB614" s="1417"/>
      <c r="AC614" s="1417"/>
      <c r="AD614" s="1417"/>
      <c r="AE614" s="1417"/>
      <c r="AF614" s="1417"/>
      <c r="AG614" s="1417"/>
      <c r="AH614" s="1417"/>
      <c r="AI614" s="1417"/>
      <c r="AJ614" s="1417"/>
      <c r="AK614" s="1417"/>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266" t="s">
        <v>669</v>
      </c>
      <c r="O615" s="1266"/>
      <c r="P615"/>
      <c r="Q615"/>
      <c r="R615"/>
      <c r="S615"/>
      <c r="T615" s="22"/>
      <c r="U615" t="s">
        <v>20</v>
      </c>
      <c r="V615"/>
      <c r="W615"/>
      <c r="X615"/>
      <c r="Y615"/>
      <c r="Z615"/>
      <c r="AA615"/>
      <c r="AB615"/>
      <c r="AC615"/>
      <c r="AD615"/>
      <c r="AE615"/>
      <c r="AF615"/>
      <c r="AG615" s="1266" t="s">
        <v>669</v>
      </c>
      <c r="AH615" s="1266"/>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16">
        <f>C572</f>
        <v>0</v>
      </c>
      <c r="H617" s="1416"/>
      <c r="I617" s="1416"/>
      <c r="J617" s="1416"/>
      <c r="K617" s="1416"/>
      <c r="L617" s="1416"/>
      <c r="M617" s="1416"/>
      <c r="N617" s="1416"/>
      <c r="O617" s="1416"/>
      <c r="P617" s="1416"/>
      <c r="Q617" s="1416"/>
      <c r="R617" s="1416"/>
      <c r="T617" s="55" t="s">
        <v>363</v>
      </c>
      <c r="U617" t="s">
        <v>463</v>
      </c>
      <c r="Z617" s="1416">
        <f>C573</f>
        <v>0</v>
      </c>
      <c r="AA617" s="1416"/>
      <c r="AB617" s="1416"/>
      <c r="AC617" s="1416"/>
      <c r="AD617" s="1416"/>
      <c r="AE617" s="1416"/>
      <c r="AF617" s="1416"/>
      <c r="AG617" s="1416"/>
      <c r="AH617" s="1416"/>
      <c r="AI617" s="1416"/>
      <c r="AJ617" s="1416"/>
      <c r="AK617" s="1416"/>
      <c r="AZ617" s="3"/>
      <c r="BA617" s="3"/>
      <c r="BB617" s="3"/>
      <c r="BC617" s="3"/>
    </row>
    <row r="618" spans="1:55" ht="12.95" customHeight="1">
      <c r="B618" t="s">
        <v>85</v>
      </c>
      <c r="G618" s="1417"/>
      <c r="H618" s="1417"/>
      <c r="I618" s="1417"/>
      <c r="J618" s="1417"/>
      <c r="K618" s="1417"/>
      <c r="L618" s="1417"/>
      <c r="M618" s="1417"/>
      <c r="N618" s="1417"/>
      <c r="O618" s="1417"/>
      <c r="P618" s="1417"/>
      <c r="Q618" s="1417"/>
      <c r="R618" s="1417"/>
      <c r="U618" t="s">
        <v>85</v>
      </c>
      <c r="Z618" s="1417"/>
      <c r="AA618" s="1417"/>
      <c r="AB618" s="1417"/>
      <c r="AC618" s="1417"/>
      <c r="AD618" s="1417"/>
      <c r="AE618" s="1417"/>
      <c r="AF618" s="1417"/>
      <c r="AG618" s="1417"/>
      <c r="AH618" s="1417"/>
      <c r="AI618" s="1417"/>
      <c r="AJ618" s="1417"/>
      <c r="AK618" s="1417"/>
      <c r="AZ618" s="3"/>
      <c r="BA618" s="3"/>
      <c r="BB618" s="3"/>
      <c r="BC618" s="3"/>
    </row>
    <row r="619" spans="1:55" ht="12.95" customHeight="1">
      <c r="B619" t="s">
        <v>580</v>
      </c>
      <c r="G619" s="1417"/>
      <c r="H619" s="1417"/>
      <c r="I619" s="1417"/>
      <c r="J619" s="1417"/>
      <c r="K619" s="1417"/>
      <c r="L619" s="1417"/>
      <c r="M619" s="1417"/>
      <c r="N619" s="1417"/>
      <c r="O619" s="1417"/>
      <c r="P619" s="1417"/>
      <c r="Q619" s="1417"/>
      <c r="R619" s="1417"/>
      <c r="U619" t="s">
        <v>580</v>
      </c>
      <c r="Z619" s="1419"/>
      <c r="AA619" s="1419"/>
      <c r="AB619" s="1419"/>
      <c r="AC619" s="1419"/>
      <c r="AD619" s="1419"/>
      <c r="AE619" s="1419"/>
      <c r="AF619" s="1419"/>
      <c r="AG619" s="1419"/>
      <c r="AH619" s="1419"/>
      <c r="AI619" s="1419"/>
      <c r="AJ619" s="1419"/>
      <c r="AK619" s="1419"/>
      <c r="AZ619" s="3"/>
      <c r="BA619" s="3"/>
      <c r="BB619" s="3"/>
      <c r="BC619" s="3"/>
    </row>
    <row r="620" spans="1:55" ht="12.95" customHeight="1">
      <c r="B620" t="s">
        <v>17</v>
      </c>
      <c r="G620" s="1417"/>
      <c r="H620" s="1417"/>
      <c r="I620" s="1417"/>
      <c r="J620" s="1417"/>
      <c r="K620" s="1417"/>
      <c r="L620" s="1417"/>
      <c r="M620" s="1417"/>
      <c r="N620" s="1417"/>
      <c r="O620" s="1417"/>
      <c r="P620" s="1417"/>
      <c r="Q620" s="1417"/>
      <c r="R620" s="1417"/>
      <c r="U620" t="s">
        <v>17</v>
      </c>
      <c r="Z620" s="1419"/>
      <c r="AA620" s="1419"/>
      <c r="AB620" s="1419"/>
      <c r="AC620" s="1419"/>
      <c r="AD620" s="1419"/>
      <c r="AE620" s="1419"/>
      <c r="AF620" s="1419"/>
      <c r="AG620" s="1419"/>
      <c r="AH620" s="1419"/>
      <c r="AI620" s="1419"/>
      <c r="AJ620" s="1419"/>
      <c r="AK620" s="1419"/>
      <c r="AZ620" s="3"/>
      <c r="BA620" s="3"/>
      <c r="BB620" s="3"/>
      <c r="BC620" s="3"/>
    </row>
    <row r="621" spans="1:55" ht="12.95" customHeight="1">
      <c r="B621" t="s">
        <v>316</v>
      </c>
      <c r="G621" s="1415"/>
      <c r="H621" s="1415"/>
      <c r="I621" s="1415"/>
      <c r="J621" s="1415"/>
      <c r="K621" s="1415"/>
      <c r="L621" s="1415"/>
      <c r="O621" s="33" t="s">
        <v>206</v>
      </c>
      <c r="P621" s="1418"/>
      <c r="Q621" s="1418"/>
      <c r="R621" s="1418"/>
      <c r="U621" t="s">
        <v>316</v>
      </c>
      <c r="Z621" s="1415"/>
      <c r="AA621" s="1415"/>
      <c r="AB621" s="1415"/>
      <c r="AC621" s="1415"/>
      <c r="AD621" s="1415"/>
      <c r="AE621" s="1415"/>
      <c r="AH621" s="33" t="s">
        <v>206</v>
      </c>
      <c r="AI621" s="1418"/>
      <c r="AJ621" s="1418"/>
      <c r="AK621" s="1418"/>
      <c r="AZ621" s="3"/>
      <c r="BA621" s="3"/>
      <c r="BB621" s="3"/>
      <c r="BC621" s="3"/>
    </row>
    <row r="622" spans="1:55" ht="12.95" customHeight="1">
      <c r="B622" t="s">
        <v>18</v>
      </c>
      <c r="H622" s="1417"/>
      <c r="I622" s="1417"/>
      <c r="J622" s="1417"/>
      <c r="K622" s="1417"/>
      <c r="L622" s="1417"/>
      <c r="M622" s="1417"/>
      <c r="N622" s="1417"/>
      <c r="O622" s="1417"/>
      <c r="P622" s="1417"/>
      <c r="Q622" s="1417"/>
      <c r="R622" s="1417"/>
      <c r="U622" t="s">
        <v>18</v>
      </c>
      <c r="AA622" s="1417"/>
      <c r="AB622" s="1417"/>
      <c r="AC622" s="1417"/>
      <c r="AD622" s="1417"/>
      <c r="AE622" s="1417"/>
      <c r="AF622" s="1417"/>
      <c r="AG622" s="1417"/>
      <c r="AH622" s="1417"/>
      <c r="AI622" s="1417"/>
      <c r="AJ622" s="1417"/>
      <c r="AK622" s="1417"/>
      <c r="AU622" s="895"/>
      <c r="AV622" s="895"/>
      <c r="AW622" s="895"/>
      <c r="AX622" s="895"/>
      <c r="AY622" s="895"/>
      <c r="AZ622" s="3"/>
      <c r="BA622" s="3"/>
      <c r="BB622" s="3"/>
      <c r="BC622" s="3"/>
    </row>
    <row r="623" spans="1:55" ht="12.95" customHeight="1">
      <c r="B623" t="s">
        <v>20</v>
      </c>
      <c r="N623" s="1266" t="s">
        <v>669</v>
      </c>
      <c r="O623" s="1266"/>
      <c r="U623" t="s">
        <v>20</v>
      </c>
      <c r="AG623" s="1266" t="s">
        <v>669</v>
      </c>
      <c r="AH623" s="1266"/>
      <c r="AU623" s="895"/>
      <c r="AV623" s="895"/>
      <c r="AW623" s="895"/>
      <c r="AX623" s="895"/>
      <c r="AY623" s="895"/>
      <c r="AZ623" s="3"/>
      <c r="BA623" s="3"/>
      <c r="BB623" s="3"/>
      <c r="BC623" s="3"/>
    </row>
    <row r="624" spans="1:55" ht="12.95" customHeight="1">
      <c r="AZ624" s="3"/>
      <c r="BA624" s="3"/>
      <c r="BB624" s="3"/>
      <c r="BC624" s="3"/>
    </row>
    <row r="625" spans="1:56" ht="12.95" customHeight="1">
      <c r="A625" s="1403" t="s">
        <v>544</v>
      </c>
      <c r="B625" s="1403"/>
      <c r="C625" s="1403"/>
      <c r="D625" s="1403"/>
      <c r="E625" s="1403"/>
      <c r="F625" s="1403"/>
      <c r="G625" s="1403"/>
      <c r="H625" s="1403"/>
      <c r="I625" s="1403"/>
      <c r="J625" s="1403"/>
      <c r="K625" s="1403"/>
      <c r="L625" s="1403"/>
      <c r="M625" s="1403"/>
      <c r="N625" s="1403"/>
      <c r="O625" s="1403"/>
      <c r="P625" s="1403"/>
      <c r="Q625" s="1403"/>
      <c r="R625" s="1403"/>
      <c r="S625" s="1403"/>
      <c r="T625" s="1403"/>
      <c r="U625" s="1403"/>
      <c r="V625" s="1403"/>
      <c r="W625" s="1403"/>
      <c r="X625" s="1403"/>
      <c r="Y625" s="1403"/>
      <c r="Z625" s="1403"/>
      <c r="AA625" s="1403"/>
      <c r="AB625" s="1403"/>
      <c r="AC625" s="1403"/>
      <c r="AD625" s="1403"/>
      <c r="AE625" s="1403"/>
      <c r="AF625" s="1403"/>
      <c r="AG625" s="1403"/>
      <c r="AH625" s="1403"/>
      <c r="AI625" s="1403"/>
      <c r="AJ625" s="1403"/>
      <c r="AK625" s="1403"/>
      <c r="AL625" s="1403"/>
      <c r="AM625" s="1403"/>
      <c r="AN625" s="1403"/>
      <c r="AO625" s="1403"/>
      <c r="AP625" s="1403"/>
      <c r="AQ625" s="1403"/>
      <c r="AR625" s="1403"/>
      <c r="AS625" s="1403"/>
      <c r="AT625" s="1403"/>
      <c r="AZ625" s="3"/>
      <c r="BA625" s="3"/>
      <c r="BB625" s="3"/>
      <c r="BC625" s="3"/>
    </row>
    <row r="626" spans="1:56" ht="12.95" customHeight="1">
      <c r="A626" s="1403"/>
      <c r="B626" s="1403"/>
      <c r="C626" s="1403"/>
      <c r="D626" s="1403"/>
      <c r="E626" s="1403"/>
      <c r="F626" s="1403"/>
      <c r="G626" s="1403"/>
      <c r="H626" s="1403"/>
      <c r="I626" s="1403"/>
      <c r="J626" s="1403"/>
      <c r="K626" s="1403"/>
      <c r="L626" s="1403"/>
      <c r="M626" s="1403"/>
      <c r="N626" s="1403"/>
      <c r="O626" s="1403"/>
      <c r="P626" s="1403"/>
      <c r="Q626" s="1403"/>
      <c r="R626" s="1403"/>
      <c r="S626" s="1403"/>
      <c r="T626" s="1403"/>
      <c r="U626" s="1403"/>
      <c r="V626" s="1403"/>
      <c r="W626" s="1403"/>
      <c r="X626" s="1403"/>
      <c r="Y626" s="1403"/>
      <c r="Z626" s="1403"/>
      <c r="AA626" s="1403"/>
      <c r="AB626" s="1403"/>
      <c r="AC626" s="1403"/>
      <c r="AD626" s="1403"/>
      <c r="AE626" s="1403"/>
      <c r="AF626" s="1403"/>
      <c r="AG626" s="1403"/>
      <c r="AH626" s="1403"/>
      <c r="AI626" s="1403"/>
      <c r="AJ626" s="1403"/>
      <c r="AK626" s="1403"/>
      <c r="AL626" s="1403"/>
      <c r="AM626" s="1403"/>
      <c r="AN626" s="1403"/>
      <c r="AO626" s="1403"/>
      <c r="AP626" s="1403"/>
      <c r="AQ626" s="1403"/>
      <c r="AR626" s="1403"/>
      <c r="AS626" s="1403"/>
      <c r="AT626" s="1403"/>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663" t="s">
        <v>2057</v>
      </c>
      <c r="C632" s="1663"/>
      <c r="D632" s="1663"/>
      <c r="E632" s="1663"/>
      <c r="F632" s="1663"/>
      <c r="G632" s="1663"/>
      <c r="H632" s="1663"/>
      <c r="I632" s="1663"/>
      <c r="J632" s="1663"/>
      <c r="K632" s="1663"/>
      <c r="L632" s="1663"/>
      <c r="M632" s="1447" t="s">
        <v>2058</v>
      </c>
      <c r="N632" s="1447"/>
      <c r="O632" s="1447"/>
      <c r="P632" s="1447"/>
      <c r="Q632" s="1447" t="s">
        <v>1828</v>
      </c>
      <c r="R632" s="1447"/>
      <c r="S632" s="1447"/>
      <c r="T632" s="1447" t="s">
        <v>1826</v>
      </c>
      <c r="U632" s="1447"/>
      <c r="V632" s="1447"/>
      <c r="W632" s="1624" t="s">
        <v>453</v>
      </c>
      <c r="X632" s="1624"/>
      <c r="Y632" s="1624"/>
      <c r="Z632" s="1465" t="s">
        <v>2087</v>
      </c>
      <c r="AA632" s="1465"/>
      <c r="AB632" s="1466"/>
      <c r="AC632" s="1758" t="s">
        <v>1665</v>
      </c>
      <c r="AD632" s="1759"/>
      <c r="AE632" s="1760"/>
      <c r="AF632" s="1464" t="s">
        <v>1903</v>
      </c>
      <c r="AG632" s="1465"/>
      <c r="AH632" s="1465"/>
      <c r="AI632" s="1465"/>
      <c r="AJ632" s="1466"/>
      <c r="AK632" s="1749" t="s">
        <v>1904</v>
      </c>
      <c r="AL632" s="1750"/>
      <c r="AM632" s="1750"/>
      <c r="AN632" s="1751"/>
      <c r="AO632" s="1447" t="s">
        <v>454</v>
      </c>
      <c r="AP632" s="1447"/>
      <c r="AQ632" s="1447"/>
      <c r="AR632" s="1447"/>
      <c r="AS632" s="1447"/>
      <c r="AU632" s="3"/>
      <c r="AZ632" s="3"/>
      <c r="BA632" s="3"/>
      <c r="BB632" s="3"/>
      <c r="BC632" s="3"/>
    </row>
    <row r="633" spans="1:56" ht="12.95" customHeight="1">
      <c r="B633" s="1663"/>
      <c r="C633" s="1663"/>
      <c r="D633" s="1663"/>
      <c r="E633" s="1663"/>
      <c r="F633" s="1663"/>
      <c r="G633" s="1663"/>
      <c r="H633" s="1663"/>
      <c r="I633" s="1663"/>
      <c r="J633" s="1663"/>
      <c r="K633" s="1663"/>
      <c r="L633" s="1663"/>
      <c r="M633" s="1447"/>
      <c r="N633" s="1447"/>
      <c r="O633" s="1447"/>
      <c r="P633" s="1447"/>
      <c r="Q633" s="1447"/>
      <c r="R633" s="1447"/>
      <c r="S633" s="1447"/>
      <c r="T633" s="1447"/>
      <c r="U633" s="1447"/>
      <c r="V633" s="1447"/>
      <c r="W633" s="1624"/>
      <c r="X633" s="1624"/>
      <c r="Y633" s="1624"/>
      <c r="Z633" s="1468"/>
      <c r="AA633" s="1468"/>
      <c r="AB633" s="1469"/>
      <c r="AC633" s="1761"/>
      <c r="AD633" s="1762"/>
      <c r="AE633" s="1763"/>
      <c r="AF633" s="1467"/>
      <c r="AG633" s="1468"/>
      <c r="AH633" s="1468"/>
      <c r="AI633" s="1468"/>
      <c r="AJ633" s="1469"/>
      <c r="AK633" s="1752"/>
      <c r="AL633" s="1753"/>
      <c r="AM633" s="1753"/>
      <c r="AN633" s="1754"/>
      <c r="AO633" s="1447"/>
      <c r="AP633" s="1447"/>
      <c r="AQ633" s="1447"/>
      <c r="AR633" s="1447"/>
      <c r="AS633" s="1447"/>
      <c r="AU633" s="3"/>
      <c r="AZ633" s="3"/>
      <c r="BA633" s="3"/>
      <c r="BB633" s="3"/>
      <c r="BC633" s="3"/>
      <c r="BD633" s="3"/>
    </row>
    <row r="634" spans="1:56" ht="12.95" customHeight="1">
      <c r="B634" s="1663"/>
      <c r="C634" s="1663"/>
      <c r="D634" s="1663"/>
      <c r="E634" s="1663"/>
      <c r="F634" s="1663"/>
      <c r="G634" s="1663"/>
      <c r="H634" s="1663"/>
      <c r="I634" s="1663"/>
      <c r="J634" s="1663"/>
      <c r="K634" s="1663"/>
      <c r="L634" s="1663"/>
      <c r="M634" s="1447"/>
      <c r="N634" s="1447"/>
      <c r="O634" s="1447"/>
      <c r="P634" s="1447"/>
      <c r="Q634" s="1447"/>
      <c r="R634" s="1447"/>
      <c r="S634" s="1447"/>
      <c r="T634" s="1447"/>
      <c r="U634" s="1447"/>
      <c r="V634" s="1447"/>
      <c r="W634" s="1624"/>
      <c r="X634" s="1624"/>
      <c r="Y634" s="1624"/>
      <c r="Z634" s="1471"/>
      <c r="AA634" s="1471"/>
      <c r="AB634" s="1472"/>
      <c r="AC634" s="1764"/>
      <c r="AD634" s="1765"/>
      <c r="AE634" s="1766"/>
      <c r="AF634" s="1470"/>
      <c r="AG634" s="1471"/>
      <c r="AH634" s="1471"/>
      <c r="AI634" s="1471"/>
      <c r="AJ634" s="1472"/>
      <c r="AK634" s="1755"/>
      <c r="AL634" s="1756"/>
      <c r="AM634" s="1756"/>
      <c r="AN634" s="1757"/>
      <c r="AO634" s="1447"/>
      <c r="AP634" s="1447"/>
      <c r="AQ634" s="1447"/>
      <c r="AR634" s="1447"/>
      <c r="AS634" s="1447"/>
      <c r="AT634" s="3"/>
      <c r="AU634" s="3"/>
      <c r="AZ634" s="3"/>
      <c r="BA634" s="3"/>
      <c r="BB634" s="3"/>
      <c r="BC634" s="3"/>
      <c r="BD634" s="3"/>
    </row>
    <row r="635" spans="1:56" ht="12.95" customHeight="1">
      <c r="B635" s="51" t="s">
        <v>112</v>
      </c>
      <c r="C635" s="1487" t="s">
        <v>2752</v>
      </c>
      <c r="D635" s="1487"/>
      <c r="E635" s="1487"/>
      <c r="F635" s="1487"/>
      <c r="G635" s="1487"/>
      <c r="H635" s="1487"/>
      <c r="I635" s="1487"/>
      <c r="J635" s="1487"/>
      <c r="K635" s="1487"/>
      <c r="L635" s="1487"/>
      <c r="M635" s="1486" t="s">
        <v>2074</v>
      </c>
      <c r="N635" s="1486"/>
      <c r="O635" s="1486"/>
      <c r="P635" s="1486"/>
      <c r="Q635" s="1430">
        <f>17*12</f>
        <v>204</v>
      </c>
      <c r="R635" s="1430"/>
      <c r="S635" s="1431"/>
      <c r="T635" s="1429">
        <f>40*12</f>
        <v>480</v>
      </c>
      <c r="U635" s="1430"/>
      <c r="V635" s="1431"/>
      <c r="W635" s="1482">
        <v>5.8999999999999997E-2</v>
      </c>
      <c r="X635" s="1483"/>
      <c r="Y635" s="1484"/>
      <c r="Z635" s="1479" t="s">
        <v>2086</v>
      </c>
      <c r="AA635" s="1480"/>
      <c r="AB635" s="1481"/>
      <c r="AC635" s="1432">
        <v>1</v>
      </c>
      <c r="AD635" s="1433"/>
      <c r="AE635" s="1434"/>
      <c r="AF635" s="1476">
        <f>-PMT(W635/12,T635,AO635)*12</f>
        <v>353541.04612558906</v>
      </c>
      <c r="AG635" s="1477"/>
      <c r="AH635" s="1477"/>
      <c r="AI635" s="1477"/>
      <c r="AJ635" s="1478"/>
      <c r="AK635" s="1448">
        <v>0</v>
      </c>
      <c r="AL635" s="1449"/>
      <c r="AM635" s="1449"/>
      <c r="AN635" s="1450"/>
      <c r="AO635" s="1485">
        <v>5423153</v>
      </c>
      <c r="AP635" s="1485"/>
      <c r="AQ635" s="1485"/>
      <c r="AR635" s="1485"/>
      <c r="AS635" s="1485"/>
      <c r="AT635" s="3"/>
      <c r="AU635" s="3"/>
      <c r="AZ635" s="3"/>
      <c r="BA635" s="3"/>
      <c r="BB635" s="3"/>
      <c r="BC635" s="3"/>
      <c r="BD635" s="3"/>
    </row>
    <row r="636" spans="1:56" ht="12.95" customHeight="1">
      <c r="B636" s="52" t="s">
        <v>113</v>
      </c>
      <c r="C636" s="1487" t="s">
        <v>2694</v>
      </c>
      <c r="D636" s="1487"/>
      <c r="E636" s="1487"/>
      <c r="F636" s="1487"/>
      <c r="G636" s="1487"/>
      <c r="H636" s="1487"/>
      <c r="I636" s="1487"/>
      <c r="J636" s="1487"/>
      <c r="K636" s="1487"/>
      <c r="L636" s="1487"/>
      <c r="M636" s="1486" t="s">
        <v>2073</v>
      </c>
      <c r="N636" s="1486"/>
      <c r="O636" s="1486"/>
      <c r="P636" s="1486"/>
      <c r="Q636" s="1429">
        <v>204</v>
      </c>
      <c r="R636" s="1430"/>
      <c r="S636" s="1431"/>
      <c r="T636" s="1429">
        <v>480</v>
      </c>
      <c r="U636" s="1430"/>
      <c r="V636" s="1431"/>
      <c r="W636" s="1482">
        <v>5.8999999999999997E-2</v>
      </c>
      <c r="X636" s="1483"/>
      <c r="Y636" s="1484"/>
      <c r="Z636" s="1479" t="s">
        <v>457</v>
      </c>
      <c r="AA636" s="1480"/>
      <c r="AB636" s="1481"/>
      <c r="AC636" s="1432">
        <v>1</v>
      </c>
      <c r="AD636" s="1433"/>
      <c r="AE636" s="1434"/>
      <c r="AF636" s="1476">
        <f>-PMT(W636/12,T636,AO636)*12</f>
        <v>312799.37700717105</v>
      </c>
      <c r="AG636" s="1477"/>
      <c r="AH636" s="1477"/>
      <c r="AI636" s="1477"/>
      <c r="AJ636" s="1478"/>
      <c r="AK636" s="1448">
        <v>0</v>
      </c>
      <c r="AL636" s="1449"/>
      <c r="AM636" s="1449"/>
      <c r="AN636" s="1450"/>
      <c r="AO636" s="1435">
        <f>10221348-AO635</f>
        <v>4798195</v>
      </c>
      <c r="AP636" s="1436"/>
      <c r="AQ636" s="1436"/>
      <c r="AR636" s="1436"/>
      <c r="AS636" s="1437"/>
      <c r="AT636" s="1142" t="str">
        <f>IF(AND(NOT(C635=""),C636="",NOT(C637="")),"!","")</f>
        <v/>
      </c>
      <c r="AU636" s="3"/>
      <c r="AZ636" s="3"/>
      <c r="BA636" s="3"/>
      <c r="BB636" s="3"/>
      <c r="BC636" s="3"/>
      <c r="BD636" s="3"/>
    </row>
    <row r="637" spans="1:56" ht="12.95" customHeight="1">
      <c r="B637" s="52" t="s">
        <v>119</v>
      </c>
      <c r="C637" s="1487" t="s">
        <v>2696</v>
      </c>
      <c r="D637" s="1487"/>
      <c r="E637" s="1487"/>
      <c r="F637" s="1487"/>
      <c r="G637" s="1487"/>
      <c r="H637" s="1487"/>
      <c r="I637" s="1487"/>
      <c r="J637" s="1487"/>
      <c r="K637" s="1487"/>
      <c r="L637" s="1487"/>
      <c r="M637" s="1486" t="s">
        <v>2061</v>
      </c>
      <c r="N637" s="1486"/>
      <c r="O637" s="1486"/>
      <c r="P637" s="1486"/>
      <c r="Q637" s="1429"/>
      <c r="R637" s="1430"/>
      <c r="S637" s="1431"/>
      <c r="T637" s="1429"/>
      <c r="U637" s="1430"/>
      <c r="V637" s="1431"/>
      <c r="W637" s="1482"/>
      <c r="X637" s="1483"/>
      <c r="Y637" s="1484"/>
      <c r="Z637" s="1479" t="s">
        <v>457</v>
      </c>
      <c r="AA637" s="1480"/>
      <c r="AB637" s="1481"/>
      <c r="AC637" s="1432">
        <v>2</v>
      </c>
      <c r="AD637" s="1433"/>
      <c r="AE637" s="1434"/>
      <c r="AF637" s="1476">
        <v>0</v>
      </c>
      <c r="AG637" s="1477"/>
      <c r="AH637" s="1477"/>
      <c r="AI637" s="1477"/>
      <c r="AJ637" s="1478"/>
      <c r="AK637" s="1448">
        <v>0</v>
      </c>
      <c r="AL637" s="1449"/>
      <c r="AM637" s="1449"/>
      <c r="AN637" s="1450"/>
      <c r="AO637" s="1435">
        <v>2079977</v>
      </c>
      <c r="AP637" s="1436"/>
      <c r="AQ637" s="1436"/>
      <c r="AR637" s="1436"/>
      <c r="AS637" s="1437"/>
      <c r="AT637" s="1142" t="str">
        <f t="shared" ref="AT637:AT646" si="3">IF(AND(NOT(C636=""),C637="",NOT(C638="")),"!","")</f>
        <v/>
      </c>
      <c r="AU637" s="3"/>
      <c r="AZ637" s="3"/>
      <c r="BA637" s="3"/>
      <c r="BB637" s="3"/>
      <c r="BC637" s="3"/>
      <c r="BD637" s="3"/>
    </row>
    <row r="638" spans="1:56" ht="12.95" customHeight="1">
      <c r="B638" s="52" t="s">
        <v>581</v>
      </c>
      <c r="C638" s="1617"/>
      <c r="D638" s="1617"/>
      <c r="E638" s="1617"/>
      <c r="F638" s="1617"/>
      <c r="G638" s="1617"/>
      <c r="H638" s="1617"/>
      <c r="I638" s="1617"/>
      <c r="J638" s="1617"/>
      <c r="K638" s="1617"/>
      <c r="L638" s="1617"/>
      <c r="M638" s="1486" t="s">
        <v>1184</v>
      </c>
      <c r="N638" s="1486"/>
      <c r="O638" s="1486"/>
      <c r="P638" s="1486"/>
      <c r="Q638" s="1429"/>
      <c r="R638" s="1430"/>
      <c r="S638" s="1431"/>
      <c r="T638" s="1429"/>
      <c r="U638" s="1430"/>
      <c r="V638" s="1431"/>
      <c r="W638" s="1482"/>
      <c r="X638" s="1483"/>
      <c r="Y638" s="1484"/>
      <c r="Z638" s="1479" t="s">
        <v>1184</v>
      </c>
      <c r="AA638" s="1480"/>
      <c r="AB638" s="1481"/>
      <c r="AC638" s="1432"/>
      <c r="AD638" s="1433"/>
      <c r="AE638" s="1434"/>
      <c r="AF638" s="1476"/>
      <c r="AG638" s="1477"/>
      <c r="AH638" s="1477"/>
      <c r="AI638" s="1477"/>
      <c r="AJ638" s="1478"/>
      <c r="AK638" s="1448"/>
      <c r="AL638" s="1449"/>
      <c r="AM638" s="1449"/>
      <c r="AN638" s="1450"/>
      <c r="AO638" s="1435"/>
      <c r="AP638" s="1436"/>
      <c r="AQ638" s="1436"/>
      <c r="AR638" s="1436"/>
      <c r="AS638" s="1437"/>
      <c r="AT638" s="1142" t="str">
        <f t="shared" si="3"/>
        <v/>
      </c>
      <c r="AU638" s="3"/>
      <c r="AZ638" s="3"/>
      <c r="BA638" s="3"/>
      <c r="BB638" s="3"/>
      <c r="BC638" s="3"/>
      <c r="BD638" s="3"/>
    </row>
    <row r="639" spans="1:56" ht="12.95" customHeight="1">
      <c r="B639" s="52" t="s">
        <v>763</v>
      </c>
      <c r="C639" s="1617"/>
      <c r="D639" s="1617"/>
      <c r="E639" s="1617"/>
      <c r="F639" s="1617"/>
      <c r="G639" s="1617"/>
      <c r="H639" s="1617"/>
      <c r="I639" s="1617"/>
      <c r="J639" s="1617"/>
      <c r="K639" s="1617"/>
      <c r="L639" s="1617"/>
      <c r="M639" s="1486" t="s">
        <v>1184</v>
      </c>
      <c r="N639" s="1486"/>
      <c r="O639" s="1486"/>
      <c r="P639" s="1486"/>
      <c r="Q639" s="1429"/>
      <c r="R639" s="1430"/>
      <c r="S639" s="1431"/>
      <c r="T639" s="1429"/>
      <c r="U639" s="1430"/>
      <c r="V639" s="1431"/>
      <c r="W639" s="1482"/>
      <c r="X639" s="1483"/>
      <c r="Y639" s="1484"/>
      <c r="Z639" s="1479" t="s">
        <v>1184</v>
      </c>
      <c r="AA639" s="1480"/>
      <c r="AB639" s="1481"/>
      <c r="AC639" s="1432"/>
      <c r="AD639" s="1433"/>
      <c r="AE639" s="1434"/>
      <c r="AF639" s="1476"/>
      <c r="AG639" s="1477"/>
      <c r="AH639" s="1477"/>
      <c r="AI639" s="1477"/>
      <c r="AJ639" s="1478"/>
      <c r="AK639" s="1448"/>
      <c r="AL639" s="1449"/>
      <c r="AM639" s="1449"/>
      <c r="AN639" s="1450"/>
      <c r="AO639" s="1435"/>
      <c r="AP639" s="1436"/>
      <c r="AQ639" s="1436"/>
      <c r="AR639" s="1436"/>
      <c r="AS639" s="1437"/>
      <c r="AT639" s="1142" t="str">
        <f t="shared" si="3"/>
        <v/>
      </c>
      <c r="AU639" s="3"/>
      <c r="AZ639" s="3"/>
      <c r="BA639" s="3"/>
      <c r="BB639" s="3"/>
      <c r="BC639" s="3"/>
      <c r="BD639" s="3"/>
    </row>
    <row r="640" spans="1:56" ht="12.95" customHeight="1">
      <c r="B640" s="52" t="s">
        <v>584</v>
      </c>
      <c r="C640" s="1617"/>
      <c r="D640" s="1617"/>
      <c r="E640" s="1617"/>
      <c r="F640" s="1617"/>
      <c r="G640" s="1617"/>
      <c r="H640" s="1617"/>
      <c r="I640" s="1617"/>
      <c r="J640" s="1617"/>
      <c r="K640" s="1617"/>
      <c r="L640" s="1617"/>
      <c r="M640" s="1486" t="s">
        <v>1184</v>
      </c>
      <c r="N640" s="1486"/>
      <c r="O640" s="1486"/>
      <c r="P640" s="1486"/>
      <c r="Q640" s="1429"/>
      <c r="R640" s="1430"/>
      <c r="S640" s="1431"/>
      <c r="T640" s="1429"/>
      <c r="U640" s="1430"/>
      <c r="V640" s="1431"/>
      <c r="W640" s="1482"/>
      <c r="X640" s="1483"/>
      <c r="Y640" s="1484"/>
      <c r="Z640" s="1479" t="s">
        <v>1184</v>
      </c>
      <c r="AA640" s="1480"/>
      <c r="AB640" s="1481"/>
      <c r="AC640" s="1432"/>
      <c r="AD640" s="1433"/>
      <c r="AE640" s="1434"/>
      <c r="AF640" s="1476"/>
      <c r="AG640" s="1477"/>
      <c r="AH640" s="1477"/>
      <c r="AI640" s="1477"/>
      <c r="AJ640" s="1478"/>
      <c r="AK640" s="1448"/>
      <c r="AL640" s="1449"/>
      <c r="AM640" s="1449"/>
      <c r="AN640" s="1450"/>
      <c r="AO640" s="1435"/>
      <c r="AP640" s="1436"/>
      <c r="AQ640" s="1436"/>
      <c r="AR640" s="1436"/>
      <c r="AS640" s="1437"/>
      <c r="AT640" s="1142" t="str">
        <f t="shared" si="3"/>
        <v/>
      </c>
      <c r="AU640" s="3"/>
      <c r="AZ640" s="3"/>
      <c r="BA640" s="3"/>
      <c r="BB640" s="3"/>
      <c r="BC640" s="3"/>
      <c r="BD640" s="3"/>
    </row>
    <row r="641" spans="1:157" ht="12.95" customHeight="1">
      <c r="B641" s="52" t="s">
        <v>455</v>
      </c>
      <c r="C641" s="1617"/>
      <c r="D641" s="1617"/>
      <c r="E641" s="1617"/>
      <c r="F641" s="1617"/>
      <c r="G641" s="1617"/>
      <c r="H641" s="1617"/>
      <c r="I641" s="1617"/>
      <c r="J641" s="1617"/>
      <c r="K641" s="1617"/>
      <c r="L641" s="1617"/>
      <c r="M641" s="1486" t="s">
        <v>1184</v>
      </c>
      <c r="N641" s="1486"/>
      <c r="O641" s="1486"/>
      <c r="P641" s="1486"/>
      <c r="Q641" s="1429"/>
      <c r="R641" s="1430"/>
      <c r="S641" s="1431"/>
      <c r="T641" s="1429"/>
      <c r="U641" s="1430"/>
      <c r="V641" s="1431"/>
      <c r="W641" s="1482"/>
      <c r="X641" s="1483"/>
      <c r="Y641" s="1484"/>
      <c r="Z641" s="1479" t="s">
        <v>1184</v>
      </c>
      <c r="AA641" s="1480"/>
      <c r="AB641" s="1481"/>
      <c r="AC641" s="1432"/>
      <c r="AD641" s="1433"/>
      <c r="AE641" s="1434"/>
      <c r="AF641" s="1476"/>
      <c r="AG641" s="1477"/>
      <c r="AH641" s="1477"/>
      <c r="AI641" s="1477"/>
      <c r="AJ641" s="1478"/>
      <c r="AK641" s="1448"/>
      <c r="AL641" s="1449"/>
      <c r="AM641" s="1449"/>
      <c r="AN641" s="1450"/>
      <c r="AO641" s="1435"/>
      <c r="AP641" s="1436"/>
      <c r="AQ641" s="1436"/>
      <c r="AR641" s="1436"/>
      <c r="AS641" s="1437"/>
      <c r="AT641" s="1142" t="str">
        <f t="shared" si="3"/>
        <v/>
      </c>
      <c r="AU641" s="3"/>
      <c r="AV641" s="3"/>
      <c r="AW641" s="3"/>
      <c r="AX641" s="3"/>
      <c r="AY641" s="3"/>
      <c r="AZ641" s="3"/>
      <c r="BA641" s="3"/>
      <c r="BB641" s="3"/>
      <c r="BC641" s="3"/>
      <c r="BD641" s="3"/>
    </row>
    <row r="642" spans="1:157" ht="12.95" customHeight="1">
      <c r="B642" s="52" t="s">
        <v>456</v>
      </c>
      <c r="C642" s="1617"/>
      <c r="D642" s="1617"/>
      <c r="E642" s="1617"/>
      <c r="F642" s="1617"/>
      <c r="G642" s="1617"/>
      <c r="H642" s="1617"/>
      <c r="I642" s="1617"/>
      <c r="J642" s="1617"/>
      <c r="K642" s="1617"/>
      <c r="L642" s="1617"/>
      <c r="M642" s="1486" t="s">
        <v>1184</v>
      </c>
      <c r="N642" s="1486"/>
      <c r="O642" s="1486"/>
      <c r="P642" s="1486"/>
      <c r="Q642" s="1429"/>
      <c r="R642" s="1430"/>
      <c r="S642" s="1431"/>
      <c r="T642" s="1429"/>
      <c r="U642" s="1430"/>
      <c r="V642" s="1431"/>
      <c r="W642" s="1482"/>
      <c r="X642" s="1483"/>
      <c r="Y642" s="1484"/>
      <c r="Z642" s="1479" t="s">
        <v>1184</v>
      </c>
      <c r="AA642" s="1480"/>
      <c r="AB642" s="1481"/>
      <c r="AC642" s="1432"/>
      <c r="AD642" s="1433"/>
      <c r="AE642" s="1434"/>
      <c r="AF642" s="1476"/>
      <c r="AG642" s="1477"/>
      <c r="AH642" s="1477"/>
      <c r="AI642" s="1477"/>
      <c r="AJ642" s="1478"/>
      <c r="AK642" s="1448"/>
      <c r="AL642" s="1449"/>
      <c r="AM642" s="1449"/>
      <c r="AN642" s="1450"/>
      <c r="AO642" s="1435"/>
      <c r="AP642" s="1436"/>
      <c r="AQ642" s="1436"/>
      <c r="AR642" s="1436"/>
      <c r="AS642" s="1437"/>
      <c r="AT642" s="1142" t="str">
        <f t="shared" si="3"/>
        <v/>
      </c>
      <c r="AU642" s="3"/>
      <c r="AV642" s="3"/>
      <c r="AW642" s="3"/>
      <c r="AX642" s="3"/>
      <c r="AY642" s="3"/>
      <c r="AZ642" s="3"/>
      <c r="BA642" s="3" t="s">
        <v>1184</v>
      </c>
      <c r="BB642" s="3"/>
      <c r="BC642" s="3"/>
      <c r="BD642" s="3"/>
    </row>
    <row r="643" spans="1:157" ht="12.95" customHeight="1">
      <c r="B643" s="52" t="s">
        <v>461</v>
      </c>
      <c r="C643" s="1617"/>
      <c r="D643" s="1617"/>
      <c r="E643" s="1617"/>
      <c r="F643" s="1617"/>
      <c r="G643" s="1617"/>
      <c r="H643" s="1617"/>
      <c r="I643" s="1617"/>
      <c r="J643" s="1617"/>
      <c r="K643" s="1617"/>
      <c r="L643" s="1617"/>
      <c r="M643" s="1486" t="s">
        <v>1184</v>
      </c>
      <c r="N643" s="1486"/>
      <c r="O643" s="1486"/>
      <c r="P643" s="1486"/>
      <c r="Q643" s="1429"/>
      <c r="R643" s="1430"/>
      <c r="S643" s="1431"/>
      <c r="T643" s="1429"/>
      <c r="U643" s="1430"/>
      <c r="V643" s="1431"/>
      <c r="W643" s="1482"/>
      <c r="X643" s="1483"/>
      <c r="Y643" s="1484"/>
      <c r="Z643" s="1479" t="s">
        <v>1184</v>
      </c>
      <c r="AA643" s="1480"/>
      <c r="AB643" s="1481"/>
      <c r="AC643" s="1432"/>
      <c r="AD643" s="1433"/>
      <c r="AE643" s="1434"/>
      <c r="AF643" s="1476"/>
      <c r="AG643" s="1477"/>
      <c r="AH643" s="1477"/>
      <c r="AI643" s="1477"/>
      <c r="AJ643" s="1478"/>
      <c r="AK643" s="1448"/>
      <c r="AL643" s="1449"/>
      <c r="AM643" s="1449"/>
      <c r="AN643" s="1450"/>
      <c r="AO643" s="1435"/>
      <c r="AP643" s="1436"/>
      <c r="AQ643" s="1436"/>
      <c r="AR643" s="1436"/>
      <c r="AS643" s="1437"/>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88">
        <f t="shared" ref="DX643:DX677" si="4">EZ726*(CP726/$CP$761)</f>
        <v>340.71428571428572</v>
      </c>
      <c r="DY643" s="1488"/>
      <c r="DZ643" s="1488"/>
      <c r="EA643" s="1488"/>
      <c r="EB643" s="1488"/>
      <c r="EC643" s="1488" t="e">
        <f t="shared" ref="EC643:EC677" si="5">FE726*(CU726/$CU$761)</f>
        <v>#VALUE!</v>
      </c>
      <c r="ED643" s="1488"/>
      <c r="EE643" s="1488"/>
      <c r="EF643" s="1488"/>
      <c r="EG643" s="1488"/>
      <c r="EH643" s="1488" t="e">
        <f t="shared" ref="EH643:EH677" si="6">FJ726*(CZ726/$CZ$761)</f>
        <v>#VALUE!</v>
      </c>
      <c r="EI643" s="1488"/>
      <c r="EJ643" s="1488"/>
      <c r="EK643" s="1488"/>
      <c r="EL643" s="1488"/>
      <c r="EM643" s="1488" t="e">
        <f t="shared" ref="EM643:EM677" si="7">FO726*(DE726/$DE$761)</f>
        <v>#VALUE!</v>
      </c>
      <c r="EN643" s="1488"/>
      <c r="EO643" s="1488"/>
      <c r="EP643" s="1488"/>
      <c r="EQ643" s="1488"/>
      <c r="ER643" s="1488" t="e">
        <f t="shared" ref="ER643:ER677" si="8">FT726*(DJ726/$DJ$761)</f>
        <v>#VALUE!</v>
      </c>
      <c r="ES643" s="1488"/>
      <c r="ET643" s="1488"/>
      <c r="EU643" s="1488"/>
      <c r="EV643" s="1488"/>
      <c r="EW643" s="1488" t="e">
        <f t="shared" ref="EW643:EW677" si="9">FY726*(DO726/$DO$761)</f>
        <v>#VALUE!</v>
      </c>
      <c r="EX643" s="1488"/>
      <c r="EY643" s="1488"/>
      <c r="EZ643" s="1488"/>
      <c r="FA643" s="1488"/>
    </row>
    <row r="644" spans="1:157" ht="12.95" customHeight="1">
      <c r="B644" s="52" t="s">
        <v>646</v>
      </c>
      <c r="C644" s="1617"/>
      <c r="D644" s="1617"/>
      <c r="E644" s="1617"/>
      <c r="F644" s="1617"/>
      <c r="G644" s="1617"/>
      <c r="H644" s="1617"/>
      <c r="I644" s="1617"/>
      <c r="J644" s="1617"/>
      <c r="K644" s="1617"/>
      <c r="L644" s="1617"/>
      <c r="M644" s="1486" t="s">
        <v>1184</v>
      </c>
      <c r="N644" s="1486"/>
      <c r="O644" s="1486"/>
      <c r="P644" s="1486"/>
      <c r="Q644" s="1429"/>
      <c r="R644" s="1430"/>
      <c r="S644" s="1431"/>
      <c r="T644" s="1429"/>
      <c r="U644" s="1430"/>
      <c r="V644" s="1431"/>
      <c r="W644" s="1482"/>
      <c r="X644" s="1483"/>
      <c r="Y644" s="1484"/>
      <c r="Z644" s="1479" t="s">
        <v>1184</v>
      </c>
      <c r="AA644" s="1480"/>
      <c r="AB644" s="1481"/>
      <c r="AC644" s="1432"/>
      <c r="AD644" s="1433"/>
      <c r="AE644" s="1434"/>
      <c r="AF644" s="1476"/>
      <c r="AG644" s="1477"/>
      <c r="AH644" s="1477"/>
      <c r="AI644" s="1477"/>
      <c r="AJ644" s="1478"/>
      <c r="AK644" s="1448"/>
      <c r="AL644" s="1449"/>
      <c r="AM644" s="1449"/>
      <c r="AN644" s="1450"/>
      <c r="AO644" s="1435"/>
      <c r="AP644" s="1436"/>
      <c r="AQ644" s="1436"/>
      <c r="AR644" s="1436"/>
      <c r="AS644" s="1437"/>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488">
        <f t="shared" si="4"/>
        <v>189.28571428571428</v>
      </c>
      <c r="DY644" s="1488"/>
      <c r="DZ644" s="1488"/>
      <c r="EA644" s="1488"/>
      <c r="EB644" s="1488"/>
      <c r="EC644" s="1488" t="e">
        <f t="shared" si="5"/>
        <v>#VALUE!</v>
      </c>
      <c r="ED644" s="1488"/>
      <c r="EE644" s="1488"/>
      <c r="EF644" s="1488"/>
      <c r="EG644" s="1488"/>
      <c r="EH644" s="1488" t="e">
        <f t="shared" si="6"/>
        <v>#VALUE!</v>
      </c>
      <c r="EI644" s="1488"/>
      <c r="EJ644" s="1488"/>
      <c r="EK644" s="1488"/>
      <c r="EL644" s="1488"/>
      <c r="EM644" s="1488" t="e">
        <f t="shared" si="7"/>
        <v>#VALUE!</v>
      </c>
      <c r="EN644" s="1488"/>
      <c r="EO644" s="1488"/>
      <c r="EP644" s="1488"/>
      <c r="EQ644" s="1488"/>
      <c r="ER644" s="1488" t="e">
        <f t="shared" si="8"/>
        <v>#VALUE!</v>
      </c>
      <c r="ES644" s="1488"/>
      <c r="ET644" s="1488"/>
      <c r="EU644" s="1488"/>
      <c r="EV644" s="1488"/>
      <c r="EW644" s="1488" t="e">
        <f t="shared" si="9"/>
        <v>#VALUE!</v>
      </c>
      <c r="EX644" s="1488"/>
      <c r="EY644" s="1488"/>
      <c r="EZ644" s="1488"/>
      <c r="FA644" s="1488"/>
    </row>
    <row r="645" spans="1:157" ht="12.95" customHeight="1">
      <c r="B645" s="52" t="s">
        <v>362</v>
      </c>
      <c r="C645" s="1617"/>
      <c r="D645" s="1617"/>
      <c r="E645" s="1617"/>
      <c r="F645" s="1617"/>
      <c r="G645" s="1617"/>
      <c r="H645" s="1617"/>
      <c r="I645" s="1617"/>
      <c r="J645" s="1617"/>
      <c r="K645" s="1617"/>
      <c r="L645" s="1617"/>
      <c r="M645" s="1486" t="s">
        <v>1184</v>
      </c>
      <c r="N645" s="1486"/>
      <c r="O645" s="1486"/>
      <c r="P645" s="1486"/>
      <c r="Q645" s="1429"/>
      <c r="R645" s="1430"/>
      <c r="S645" s="1431"/>
      <c r="T645" s="1429"/>
      <c r="U645" s="1430"/>
      <c r="V645" s="1431"/>
      <c r="W645" s="1482"/>
      <c r="X645" s="1483"/>
      <c r="Y645" s="1484"/>
      <c r="Z645" s="1479" t="s">
        <v>1184</v>
      </c>
      <c r="AA645" s="1480"/>
      <c r="AB645" s="1481"/>
      <c r="AC645" s="1432"/>
      <c r="AD645" s="1433"/>
      <c r="AE645" s="1434"/>
      <c r="AF645" s="1476"/>
      <c r="AG645" s="1477"/>
      <c r="AH645" s="1477"/>
      <c r="AI645" s="1477"/>
      <c r="AJ645" s="1478"/>
      <c r="AK645" s="1448"/>
      <c r="AL645" s="1449"/>
      <c r="AM645" s="1449"/>
      <c r="AN645" s="1450"/>
      <c r="AO645" s="1435"/>
      <c r="AP645" s="1436"/>
      <c r="AQ645" s="1436"/>
      <c r="AR645" s="1436"/>
      <c r="AS645" s="1437"/>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488">
        <f t="shared" si="4"/>
        <v>795</v>
      </c>
      <c r="DY645" s="1488"/>
      <c r="DZ645" s="1488"/>
      <c r="EA645" s="1488"/>
      <c r="EB645" s="1488"/>
      <c r="EC645" s="1488" t="e">
        <f t="shared" si="5"/>
        <v>#VALUE!</v>
      </c>
      <c r="ED645" s="1488"/>
      <c r="EE645" s="1488"/>
      <c r="EF645" s="1488"/>
      <c r="EG645" s="1488"/>
      <c r="EH645" s="1488" t="e">
        <f t="shared" si="6"/>
        <v>#VALUE!</v>
      </c>
      <c r="EI645" s="1488"/>
      <c r="EJ645" s="1488"/>
      <c r="EK645" s="1488"/>
      <c r="EL645" s="1488"/>
      <c r="EM645" s="1488" t="e">
        <f t="shared" si="7"/>
        <v>#VALUE!</v>
      </c>
      <c r="EN645" s="1488"/>
      <c r="EO645" s="1488"/>
      <c r="EP645" s="1488"/>
      <c r="EQ645" s="1488"/>
      <c r="ER645" s="1488" t="e">
        <f t="shared" si="8"/>
        <v>#VALUE!</v>
      </c>
      <c r="ES645" s="1488"/>
      <c r="ET645" s="1488"/>
      <c r="EU645" s="1488"/>
      <c r="EV645" s="1488"/>
      <c r="EW645" s="1488" t="e">
        <f t="shared" si="9"/>
        <v>#VALUE!</v>
      </c>
      <c r="EX645" s="1488"/>
      <c r="EY645" s="1488"/>
      <c r="EZ645" s="1488"/>
      <c r="FA645" s="1488"/>
    </row>
    <row r="646" spans="1:157" ht="12.95" customHeight="1">
      <c r="B646" s="52" t="s">
        <v>363</v>
      </c>
      <c r="C646" s="1617"/>
      <c r="D646" s="1617"/>
      <c r="E646" s="1617"/>
      <c r="F646" s="1617"/>
      <c r="G646" s="1617"/>
      <c r="H646" s="1617"/>
      <c r="I646" s="1617"/>
      <c r="J646" s="1617"/>
      <c r="K646" s="1617"/>
      <c r="L646" s="1617"/>
      <c r="M646" s="1486" t="s">
        <v>1184</v>
      </c>
      <c r="N646" s="1486"/>
      <c r="O646" s="1486"/>
      <c r="P646" s="1486"/>
      <c r="Q646" s="1429"/>
      <c r="R646" s="1430"/>
      <c r="S646" s="1431"/>
      <c r="T646" s="1429"/>
      <c r="U646" s="1430"/>
      <c r="V646" s="1431"/>
      <c r="W646" s="1482"/>
      <c r="X646" s="1483"/>
      <c r="Y646" s="1484"/>
      <c r="Z646" s="1479" t="s">
        <v>1184</v>
      </c>
      <c r="AA646" s="1480"/>
      <c r="AB646" s="1481"/>
      <c r="AC646" s="1432"/>
      <c r="AD646" s="1433"/>
      <c r="AE646" s="1434"/>
      <c r="AF646" s="1476"/>
      <c r="AG646" s="1477"/>
      <c r="AH646" s="1477"/>
      <c r="AI646" s="1477"/>
      <c r="AJ646" s="1478"/>
      <c r="AK646" s="1448"/>
      <c r="AL646" s="1449"/>
      <c r="AM646" s="1449"/>
      <c r="AN646" s="1450"/>
      <c r="AO646" s="1435"/>
      <c r="AP646" s="1436"/>
      <c r="AQ646" s="1436"/>
      <c r="AR646" s="1436"/>
      <c r="AS646" s="1437"/>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488" t="e">
        <f t="shared" si="4"/>
        <v>#VALUE!</v>
      </c>
      <c r="DY646" s="1488"/>
      <c r="DZ646" s="1488"/>
      <c r="EA646" s="1488"/>
      <c r="EB646" s="1488"/>
      <c r="EC646" s="1488" t="e">
        <f t="shared" si="5"/>
        <v>#VALUE!</v>
      </c>
      <c r="ED646" s="1488"/>
      <c r="EE646" s="1488"/>
      <c r="EF646" s="1488"/>
      <c r="EG646" s="1488"/>
      <c r="EH646" s="1488" t="e">
        <f t="shared" si="6"/>
        <v>#VALUE!</v>
      </c>
      <c r="EI646" s="1488"/>
      <c r="EJ646" s="1488"/>
      <c r="EK646" s="1488"/>
      <c r="EL646" s="1488"/>
      <c r="EM646" s="1488" t="e">
        <f t="shared" si="7"/>
        <v>#VALUE!</v>
      </c>
      <c r="EN646" s="1488"/>
      <c r="EO646" s="1488"/>
      <c r="EP646" s="1488"/>
      <c r="EQ646" s="1488"/>
      <c r="ER646" s="1488" t="e">
        <f t="shared" si="8"/>
        <v>#VALUE!</v>
      </c>
      <c r="ES646" s="1488"/>
      <c r="ET646" s="1488"/>
      <c r="EU646" s="1488"/>
      <c r="EV646" s="1488"/>
      <c r="EW646" s="1488" t="e">
        <f t="shared" si="9"/>
        <v>#VALUE!</v>
      </c>
      <c r="EX646" s="1488"/>
      <c r="EY646" s="1488"/>
      <c r="EZ646" s="1488"/>
      <c r="FA646" s="1488"/>
    </row>
    <row r="647" spans="1:157" ht="12.95" customHeight="1">
      <c r="B647" s="1489" t="s">
        <v>128</v>
      </c>
      <c r="C647" s="1490"/>
      <c r="D647" s="1490"/>
      <c r="E647" s="1490"/>
      <c r="F647" s="1490"/>
      <c r="G647" s="1490"/>
      <c r="H647" s="1490"/>
      <c r="I647" s="1490"/>
      <c r="J647" s="1490"/>
      <c r="K647" s="1490"/>
      <c r="L647" s="1490"/>
      <c r="M647" s="1490"/>
      <c r="N647" s="1490"/>
      <c r="O647" s="1490"/>
      <c r="P647" s="1490"/>
      <c r="Q647" s="1490"/>
      <c r="R647" s="1490"/>
      <c r="S647" s="1490"/>
      <c r="T647" s="1490"/>
      <c r="U647" s="1490"/>
      <c r="V647" s="1490"/>
      <c r="W647" s="1490"/>
      <c r="X647" s="1490"/>
      <c r="Y647" s="1490"/>
      <c r="Z647" s="1490"/>
      <c r="AA647" s="1490"/>
      <c r="AB647" s="1490"/>
      <c r="AC647" s="1490"/>
      <c r="AD647" s="1490"/>
      <c r="AE647" s="1490"/>
      <c r="AF647" s="1490"/>
      <c r="AG647" s="1490"/>
      <c r="AH647" s="1490"/>
      <c r="AI647" s="1490"/>
      <c r="AJ647" s="1490"/>
      <c r="AK647" s="1490"/>
      <c r="AL647" s="1490"/>
      <c r="AM647" s="1490"/>
      <c r="AN647" s="1491"/>
      <c r="AO647" s="1461">
        <f>SUM(AO635:AR646)</f>
        <v>12301325</v>
      </c>
      <c r="AP647" s="1462"/>
      <c r="AQ647" s="1462"/>
      <c r="AR647" s="1462"/>
      <c r="AS647" s="1463"/>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88" t="e">
        <f t="shared" si="4"/>
        <v>#VALUE!</v>
      </c>
      <c r="DY647" s="1488"/>
      <c r="DZ647" s="1488"/>
      <c r="EA647" s="1488"/>
      <c r="EB647" s="1488"/>
      <c r="EC647" s="1488">
        <f t="shared" si="5"/>
        <v>115.13513513513514</v>
      </c>
      <c r="ED647" s="1488"/>
      <c r="EE647" s="1488"/>
      <c r="EF647" s="1488"/>
      <c r="EG647" s="1488"/>
      <c r="EH647" s="1488" t="e">
        <f t="shared" si="6"/>
        <v>#VALUE!</v>
      </c>
      <c r="EI647" s="1488"/>
      <c r="EJ647" s="1488"/>
      <c r="EK647" s="1488"/>
      <c r="EL647" s="1488"/>
      <c r="EM647" s="1488" t="e">
        <f t="shared" si="7"/>
        <v>#VALUE!</v>
      </c>
      <c r="EN647" s="1488"/>
      <c r="EO647" s="1488"/>
      <c r="EP647" s="1488"/>
      <c r="EQ647" s="1488"/>
      <c r="ER647" s="1488" t="e">
        <f t="shared" si="8"/>
        <v>#VALUE!</v>
      </c>
      <c r="ES647" s="1488"/>
      <c r="ET647" s="1488"/>
      <c r="EU647" s="1488"/>
      <c r="EV647" s="1488"/>
      <c r="EW647" s="1488" t="e">
        <f t="shared" si="9"/>
        <v>#VALUE!</v>
      </c>
      <c r="EX647" s="1488"/>
      <c r="EY647" s="1488"/>
      <c r="EZ647" s="1488"/>
      <c r="FA647" s="1488"/>
    </row>
    <row r="648" spans="1:157" ht="12.95" customHeight="1">
      <c r="B648" s="1489" t="s">
        <v>267</v>
      </c>
      <c r="C648" s="1490"/>
      <c r="D648" s="1490"/>
      <c r="E648" s="1490"/>
      <c r="F648" s="1490"/>
      <c r="G648" s="1490"/>
      <c r="H648" s="1490"/>
      <c r="I648" s="1490"/>
      <c r="J648" s="1490"/>
      <c r="K648" s="1490"/>
      <c r="L648" s="1490"/>
      <c r="M648" s="1490"/>
      <c r="N648" s="1490"/>
      <c r="O648" s="1490"/>
      <c r="P648" s="1490"/>
      <c r="Q648" s="1490"/>
      <c r="R648" s="1490"/>
      <c r="S648" s="1490"/>
      <c r="T648" s="1490"/>
      <c r="U648" s="1490"/>
      <c r="V648" s="1490"/>
      <c r="W648" s="1490"/>
      <c r="X648" s="1490"/>
      <c r="Y648" s="1490"/>
      <c r="Z648" s="1490"/>
      <c r="AA648" s="1490"/>
      <c r="AB648" s="1490"/>
      <c r="AC648" s="1490"/>
      <c r="AD648" s="1490"/>
      <c r="AE648" s="1490"/>
      <c r="AF648" s="1490"/>
      <c r="AG648" s="1490"/>
      <c r="AH648" s="1490"/>
      <c r="AI648" s="1490"/>
      <c r="AJ648" s="1490"/>
      <c r="AK648" s="1490"/>
      <c r="AL648" s="1490"/>
      <c r="AM648" s="1490"/>
      <c r="AN648" s="1491"/>
      <c r="AO648" s="1435">
        <v>9306062</v>
      </c>
      <c r="AP648" s="1436"/>
      <c r="AQ648" s="1436"/>
      <c r="AR648" s="1436"/>
      <c r="AS648" s="1437"/>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88" t="e">
        <f t="shared" si="4"/>
        <v>#VALUE!</v>
      </c>
      <c r="DY648" s="1488"/>
      <c r="DZ648" s="1488"/>
      <c r="EA648" s="1488"/>
      <c r="EB648" s="1488"/>
      <c r="EC648" s="1488">
        <f t="shared" si="5"/>
        <v>230.27027027027029</v>
      </c>
      <c r="ED648" s="1488"/>
      <c r="EE648" s="1488"/>
      <c r="EF648" s="1488"/>
      <c r="EG648" s="1488"/>
      <c r="EH648" s="1488" t="e">
        <f t="shared" si="6"/>
        <v>#VALUE!</v>
      </c>
      <c r="EI648" s="1488"/>
      <c r="EJ648" s="1488"/>
      <c r="EK648" s="1488"/>
      <c r="EL648" s="1488"/>
      <c r="EM648" s="1488" t="e">
        <f t="shared" si="7"/>
        <v>#VALUE!</v>
      </c>
      <c r="EN648" s="1488"/>
      <c r="EO648" s="1488"/>
      <c r="EP648" s="1488"/>
      <c r="EQ648" s="1488"/>
      <c r="ER648" s="1488" t="e">
        <f t="shared" si="8"/>
        <v>#VALUE!</v>
      </c>
      <c r="ES648" s="1488"/>
      <c r="ET648" s="1488"/>
      <c r="EU648" s="1488"/>
      <c r="EV648" s="1488"/>
      <c r="EW648" s="1488" t="e">
        <f t="shared" si="9"/>
        <v>#VALUE!</v>
      </c>
      <c r="EX648" s="1488"/>
      <c r="EY648" s="1488"/>
      <c r="EZ648" s="1488"/>
      <c r="FA648" s="1488"/>
    </row>
    <row r="649" spans="1:157" ht="12.95" customHeight="1">
      <c r="B649" s="1612" t="s">
        <v>268</v>
      </c>
      <c r="C649" s="1613"/>
      <c r="D649" s="1613"/>
      <c r="E649" s="1613"/>
      <c r="F649" s="1613"/>
      <c r="G649" s="1613"/>
      <c r="H649" s="1613"/>
      <c r="I649" s="1613"/>
      <c r="J649" s="1613"/>
      <c r="K649" s="1613"/>
      <c r="L649" s="1613"/>
      <c r="M649" s="1613"/>
      <c r="N649" s="1613"/>
      <c r="O649" s="1613"/>
      <c r="P649" s="1613"/>
      <c r="Q649" s="1613"/>
      <c r="R649" s="1613"/>
      <c r="S649" s="1613"/>
      <c r="T649" s="1613"/>
      <c r="U649" s="1613"/>
      <c r="V649" s="1613"/>
      <c r="W649" s="1613"/>
      <c r="X649" s="1613"/>
      <c r="Y649" s="1613"/>
      <c r="Z649" s="1613"/>
      <c r="AA649" s="1613"/>
      <c r="AB649" s="1613"/>
      <c r="AC649" s="1613"/>
      <c r="AD649" s="1613"/>
      <c r="AE649" s="1613"/>
      <c r="AF649" s="1613"/>
      <c r="AG649" s="1613"/>
      <c r="AH649" s="1613"/>
      <c r="AI649" s="1613"/>
      <c r="AJ649" s="1613"/>
      <c r="AK649" s="1613"/>
      <c r="AL649" s="1613"/>
      <c r="AM649" s="1613"/>
      <c r="AN649" s="1614"/>
      <c r="AO649" s="1461">
        <f>AO647+AO648</f>
        <v>21607387</v>
      </c>
      <c r="AP649" s="1462"/>
      <c r="AQ649" s="1462"/>
      <c r="AR649" s="1462"/>
      <c r="AS649" s="1463"/>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88" t="e">
        <f t="shared" si="4"/>
        <v>#VALUE!</v>
      </c>
      <c r="DY649" s="1488"/>
      <c r="DZ649" s="1488"/>
      <c r="EA649" s="1488"/>
      <c r="EB649" s="1488"/>
      <c r="EC649" s="1488">
        <f t="shared" si="5"/>
        <v>1396.9729729729731</v>
      </c>
      <c r="ED649" s="1488"/>
      <c r="EE649" s="1488"/>
      <c r="EF649" s="1488"/>
      <c r="EG649" s="1488"/>
      <c r="EH649" s="1488" t="e">
        <f t="shared" si="6"/>
        <v>#VALUE!</v>
      </c>
      <c r="EI649" s="1488"/>
      <c r="EJ649" s="1488"/>
      <c r="EK649" s="1488"/>
      <c r="EL649" s="1488"/>
      <c r="EM649" s="1488" t="e">
        <f t="shared" si="7"/>
        <v>#VALUE!</v>
      </c>
      <c r="EN649" s="1488"/>
      <c r="EO649" s="1488"/>
      <c r="EP649" s="1488"/>
      <c r="EQ649" s="1488"/>
      <c r="ER649" s="1488" t="e">
        <f t="shared" si="8"/>
        <v>#VALUE!</v>
      </c>
      <c r="ES649" s="1488"/>
      <c r="ET649" s="1488"/>
      <c r="EU649" s="1488"/>
      <c r="EV649" s="1488"/>
      <c r="EW649" s="1488" t="e">
        <f t="shared" si="9"/>
        <v>#VALUE!</v>
      </c>
      <c r="EX649" s="1488"/>
      <c r="EY649" s="1488"/>
      <c r="EZ649" s="1488"/>
      <c r="FA649" s="1488"/>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88" t="e">
        <f t="shared" si="4"/>
        <v>#VALUE!</v>
      </c>
      <c r="DY650" s="1488"/>
      <c r="DZ650" s="1488"/>
      <c r="EA650" s="1488"/>
      <c r="EB650" s="1488"/>
      <c r="EC650" s="1488" t="e">
        <f t="shared" si="5"/>
        <v>#VALUE!</v>
      </c>
      <c r="ED650" s="1488"/>
      <c r="EE650" s="1488"/>
      <c r="EF650" s="1488"/>
      <c r="EG650" s="1488"/>
      <c r="EH650" s="1488" t="e">
        <f t="shared" si="6"/>
        <v>#VALUE!</v>
      </c>
      <c r="EI650" s="1488"/>
      <c r="EJ650" s="1488"/>
      <c r="EK650" s="1488"/>
      <c r="EL650" s="1488"/>
      <c r="EM650" s="1488" t="e">
        <f t="shared" si="7"/>
        <v>#VALUE!</v>
      </c>
      <c r="EN650" s="1488"/>
      <c r="EO650" s="1488"/>
      <c r="EP650" s="1488"/>
      <c r="EQ650" s="1488"/>
      <c r="ER650" s="1488" t="e">
        <f t="shared" si="8"/>
        <v>#VALUE!</v>
      </c>
      <c r="ES650" s="1488"/>
      <c r="ET650" s="1488"/>
      <c r="EU650" s="1488"/>
      <c r="EV650" s="1488"/>
      <c r="EW650" s="1488" t="e">
        <f t="shared" si="9"/>
        <v>#VALUE!</v>
      </c>
      <c r="EX650" s="1488"/>
      <c r="EY650" s="1488"/>
      <c r="EZ650" s="1488"/>
      <c r="FA650" s="1488"/>
    </row>
    <row r="651" spans="1:157" ht="12.95" customHeight="1">
      <c r="A651" s="55" t="s">
        <v>112</v>
      </c>
      <c r="B651" t="s">
        <v>463</v>
      </c>
      <c r="G651" s="1416" t="str">
        <f>C635</f>
        <v>Citibank - Tax-Exempt</v>
      </c>
      <c r="H651" s="1416"/>
      <c r="I651" s="1416"/>
      <c r="J651" s="1416"/>
      <c r="K651" s="1416"/>
      <c r="L651" s="1416"/>
      <c r="M651" s="1416"/>
      <c r="N651" s="1416"/>
      <c r="O651" s="1416"/>
      <c r="P651" s="1416"/>
      <c r="Q651" s="1416"/>
      <c r="R651" s="1416"/>
      <c r="S651" s="8"/>
      <c r="T651" s="55" t="s">
        <v>113</v>
      </c>
      <c r="U651" t="s">
        <v>463</v>
      </c>
      <c r="Z651" s="1416" t="str">
        <f>C636</f>
        <v>Citibank - Taxable</v>
      </c>
      <c r="AA651" s="1416"/>
      <c r="AB651" s="1416"/>
      <c r="AC651" s="1416"/>
      <c r="AD651" s="1416"/>
      <c r="AE651" s="1416"/>
      <c r="AF651" s="1416"/>
      <c r="AG651" s="1416"/>
      <c r="AH651" s="1416"/>
      <c r="AI651" s="1416"/>
      <c r="AJ651" s="1416"/>
      <c r="AK651" s="1416"/>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88" t="e">
        <f t="shared" si="4"/>
        <v>#VALUE!</v>
      </c>
      <c r="DY651" s="1488"/>
      <c r="DZ651" s="1488"/>
      <c r="EA651" s="1488"/>
      <c r="EB651" s="1488"/>
      <c r="EC651" s="1488" t="e">
        <f t="shared" si="5"/>
        <v>#VALUE!</v>
      </c>
      <c r="ED651" s="1488"/>
      <c r="EE651" s="1488"/>
      <c r="EF651" s="1488"/>
      <c r="EG651" s="1488"/>
      <c r="EH651" s="1488">
        <f t="shared" si="6"/>
        <v>146</v>
      </c>
      <c r="EI651" s="1488"/>
      <c r="EJ651" s="1488"/>
      <c r="EK651" s="1488"/>
      <c r="EL651" s="1488"/>
      <c r="EM651" s="1488" t="e">
        <f t="shared" si="7"/>
        <v>#VALUE!</v>
      </c>
      <c r="EN651" s="1488"/>
      <c r="EO651" s="1488"/>
      <c r="EP651" s="1488"/>
      <c r="EQ651" s="1488"/>
      <c r="ER651" s="1488" t="e">
        <f t="shared" si="8"/>
        <v>#VALUE!</v>
      </c>
      <c r="ES651" s="1488"/>
      <c r="ET651" s="1488"/>
      <c r="EU651" s="1488"/>
      <c r="EV651" s="1488"/>
      <c r="EW651" s="1488" t="e">
        <f t="shared" si="9"/>
        <v>#VALUE!</v>
      </c>
      <c r="EX651" s="1488"/>
      <c r="EY651" s="1488"/>
      <c r="EZ651" s="1488"/>
      <c r="FA651" s="1488"/>
    </row>
    <row r="652" spans="1:157" ht="12.95" customHeight="1">
      <c r="A652" s="22"/>
      <c r="B652" t="s">
        <v>85</v>
      </c>
      <c r="G652" s="1417" t="s">
        <v>2699</v>
      </c>
      <c r="H652" s="1417"/>
      <c r="I652" s="1417"/>
      <c r="J652" s="1417"/>
      <c r="K652" s="1417"/>
      <c r="L652" s="1417"/>
      <c r="M652" s="1417"/>
      <c r="N652" s="1417"/>
      <c r="O652" s="1417"/>
      <c r="P652" s="1417"/>
      <c r="Q652" s="1417"/>
      <c r="R652" s="1417"/>
      <c r="S652" s="8"/>
      <c r="T652" s="22"/>
      <c r="U652" t="s">
        <v>85</v>
      </c>
      <c r="Z652" s="1417" t="s">
        <v>2699</v>
      </c>
      <c r="AA652" s="1417"/>
      <c r="AB652" s="1417"/>
      <c r="AC652" s="1417"/>
      <c r="AD652" s="1417"/>
      <c r="AE652" s="1417"/>
      <c r="AF652" s="1417"/>
      <c r="AG652" s="1417"/>
      <c r="AH652" s="1417"/>
      <c r="AI652" s="1417"/>
      <c r="AJ652" s="1417"/>
      <c r="AK652" s="1417"/>
      <c r="AV652" s="3"/>
      <c r="AW652" s="3"/>
      <c r="AX652" s="3"/>
      <c r="AY652" s="3"/>
      <c r="AZ652" s="3"/>
      <c r="BA652" s="3"/>
      <c r="BB652" s="3"/>
      <c r="BC652" s="3"/>
      <c r="BD652" s="3"/>
      <c r="BE652" s="3"/>
      <c r="BF652" s="3"/>
      <c r="BG652" s="3"/>
      <c r="BH652" s="3"/>
      <c r="BI652" s="3"/>
      <c r="BJ652" s="3"/>
      <c r="BK652" s="3"/>
      <c r="BL652" s="3"/>
      <c r="BM652" s="3"/>
      <c r="DX652" s="1488" t="e">
        <f t="shared" si="4"/>
        <v>#VALUE!</v>
      </c>
      <c r="DY652" s="1488"/>
      <c r="DZ652" s="1488"/>
      <c r="EA652" s="1488"/>
      <c r="EB652" s="1488"/>
      <c r="EC652" s="1488" t="e">
        <f t="shared" si="5"/>
        <v>#VALUE!</v>
      </c>
      <c r="ED652" s="1488"/>
      <c r="EE652" s="1488"/>
      <c r="EF652" s="1488"/>
      <c r="EG652" s="1488"/>
      <c r="EH652" s="1488">
        <f t="shared" si="6"/>
        <v>243.28571428571428</v>
      </c>
      <c r="EI652" s="1488"/>
      <c r="EJ652" s="1488"/>
      <c r="EK652" s="1488"/>
      <c r="EL652" s="1488"/>
      <c r="EM652" s="1488" t="e">
        <f t="shared" si="7"/>
        <v>#VALUE!</v>
      </c>
      <c r="EN652" s="1488"/>
      <c r="EO652" s="1488"/>
      <c r="EP652" s="1488"/>
      <c r="EQ652" s="1488"/>
      <c r="ER652" s="1488" t="e">
        <f t="shared" si="8"/>
        <v>#VALUE!</v>
      </c>
      <c r="ES652" s="1488"/>
      <c r="ET652" s="1488"/>
      <c r="EU652" s="1488"/>
      <c r="EV652" s="1488"/>
      <c r="EW652" s="1488" t="e">
        <f t="shared" si="9"/>
        <v>#VALUE!</v>
      </c>
      <c r="EX652" s="1488"/>
      <c r="EY652" s="1488"/>
      <c r="EZ652" s="1488"/>
      <c r="FA652" s="1488"/>
    </row>
    <row r="653" spans="1:157" ht="12.95" customHeight="1">
      <c r="A653" s="22"/>
      <c r="B653" t="s">
        <v>580</v>
      </c>
      <c r="G653" s="1417" t="s">
        <v>494</v>
      </c>
      <c r="H653" s="1417"/>
      <c r="I653" s="1417"/>
      <c r="J653" s="1417"/>
      <c r="K653" s="1417"/>
      <c r="L653" s="1417"/>
      <c r="M653" s="1417"/>
      <c r="N653" s="1417"/>
      <c r="O653" s="1417"/>
      <c r="P653" s="1417"/>
      <c r="Q653" s="1417"/>
      <c r="R653" s="1417"/>
      <c r="T653" s="22"/>
      <c r="U653" t="s">
        <v>580</v>
      </c>
      <c r="Z653" s="1419" t="s">
        <v>494</v>
      </c>
      <c r="AA653" s="1419"/>
      <c r="AB653" s="1419"/>
      <c r="AC653" s="1419"/>
      <c r="AD653" s="1419"/>
      <c r="AE653" s="1419"/>
      <c r="AF653" s="1419"/>
      <c r="AG653" s="1419"/>
      <c r="AH653" s="1419"/>
      <c r="AI653" s="1419"/>
      <c r="AJ653" s="1419"/>
      <c r="AK653" s="1419"/>
      <c r="AV653" s="3"/>
      <c r="AW653" s="3"/>
      <c r="AX653" s="3"/>
      <c r="AY653" s="3"/>
      <c r="AZ653" s="3"/>
      <c r="BA653" s="3"/>
      <c r="BB653" s="3"/>
      <c r="BC653" s="3"/>
      <c r="BD653" s="3"/>
      <c r="BE653" s="3"/>
      <c r="BF653" s="3"/>
      <c r="BG653" s="3"/>
      <c r="BH653" s="3"/>
      <c r="BI653" s="3"/>
      <c r="BJ653" s="3"/>
      <c r="BK653" s="3"/>
      <c r="BL653" s="3"/>
      <c r="BM653" s="3"/>
      <c r="DX653" s="1488" t="e">
        <f t="shared" si="4"/>
        <v>#VALUE!</v>
      </c>
      <c r="DY653" s="1488"/>
      <c r="DZ653" s="1488"/>
      <c r="EA653" s="1488"/>
      <c r="EB653" s="1488"/>
      <c r="EC653" s="1488" t="e">
        <f t="shared" si="5"/>
        <v>#VALUE!</v>
      </c>
      <c r="ED653" s="1488"/>
      <c r="EE653" s="1488"/>
      <c r="EF653" s="1488"/>
      <c r="EG653" s="1488"/>
      <c r="EH653" s="1488">
        <f t="shared" si="6"/>
        <v>1703.5714285714287</v>
      </c>
      <c r="EI653" s="1488"/>
      <c r="EJ653" s="1488"/>
      <c r="EK653" s="1488"/>
      <c r="EL653" s="1488"/>
      <c r="EM653" s="1488" t="e">
        <f t="shared" si="7"/>
        <v>#VALUE!</v>
      </c>
      <c r="EN653" s="1488"/>
      <c r="EO653" s="1488"/>
      <c r="EP653" s="1488"/>
      <c r="EQ653" s="1488"/>
      <c r="ER653" s="1488" t="e">
        <f t="shared" si="8"/>
        <v>#VALUE!</v>
      </c>
      <c r="ES653" s="1488"/>
      <c r="ET653" s="1488"/>
      <c r="EU653" s="1488"/>
      <c r="EV653" s="1488"/>
      <c r="EW653" s="1488" t="e">
        <f t="shared" si="9"/>
        <v>#VALUE!</v>
      </c>
      <c r="EX653" s="1488"/>
      <c r="EY653" s="1488"/>
      <c r="EZ653" s="1488"/>
      <c r="FA653" s="1488"/>
    </row>
    <row r="654" spans="1:157" ht="12.95" customHeight="1">
      <c r="A654" s="22"/>
      <c r="B654" t="s">
        <v>17</v>
      </c>
      <c r="G654" s="1417" t="s">
        <v>2700</v>
      </c>
      <c r="H654" s="1417"/>
      <c r="I654" s="1417"/>
      <c r="J654" s="1417"/>
      <c r="K654" s="1417"/>
      <c r="L654" s="1417"/>
      <c r="M654" s="1417"/>
      <c r="N654" s="1417"/>
      <c r="O654" s="1417"/>
      <c r="P654" s="1417"/>
      <c r="Q654" s="1417"/>
      <c r="R654" s="1417"/>
      <c r="S654" s="8"/>
      <c r="T654" s="22"/>
      <c r="U654" t="s">
        <v>17</v>
      </c>
      <c r="Z654" s="1419" t="s">
        <v>2700</v>
      </c>
      <c r="AA654" s="1419"/>
      <c r="AB654" s="1419"/>
      <c r="AC654" s="1419"/>
      <c r="AD654" s="1419"/>
      <c r="AE654" s="1419"/>
      <c r="AF654" s="1419"/>
      <c r="AG654" s="1419"/>
      <c r="AH654" s="1419"/>
      <c r="AI654" s="1419"/>
      <c r="AJ654" s="1419"/>
      <c r="AK654" s="1419"/>
      <c r="AZ654" s="3"/>
      <c r="BA654" s="3"/>
      <c r="BB654" s="3"/>
      <c r="BC654" s="3"/>
      <c r="BD654" s="3"/>
      <c r="BE654" s="3"/>
      <c r="BF654" s="3"/>
      <c r="BG654" s="3"/>
      <c r="BH654" s="3"/>
      <c r="BI654" s="3"/>
      <c r="BJ654" s="3"/>
      <c r="BK654" s="3"/>
      <c r="BL654" s="3"/>
      <c r="BM654" s="3"/>
      <c r="DX654" s="1488" t="e">
        <f t="shared" si="4"/>
        <v>#VALUE!</v>
      </c>
      <c r="DY654" s="1488"/>
      <c r="DZ654" s="1488"/>
      <c r="EA654" s="1488"/>
      <c r="EB654" s="1488"/>
      <c r="EC654" s="1488" t="e">
        <f t="shared" si="5"/>
        <v>#VALUE!</v>
      </c>
      <c r="ED654" s="1488"/>
      <c r="EE654" s="1488"/>
      <c r="EF654" s="1488"/>
      <c r="EG654" s="1488"/>
      <c r="EH654" s="1488" t="e">
        <f t="shared" si="6"/>
        <v>#VALUE!</v>
      </c>
      <c r="EI654" s="1488"/>
      <c r="EJ654" s="1488"/>
      <c r="EK654" s="1488"/>
      <c r="EL654" s="1488"/>
      <c r="EM654" s="1488" t="e">
        <f t="shared" si="7"/>
        <v>#VALUE!</v>
      </c>
      <c r="EN654" s="1488"/>
      <c r="EO654" s="1488"/>
      <c r="EP654" s="1488"/>
      <c r="EQ654" s="1488"/>
      <c r="ER654" s="1488" t="e">
        <f t="shared" si="8"/>
        <v>#VALUE!</v>
      </c>
      <c r="ES654" s="1488"/>
      <c r="ET654" s="1488"/>
      <c r="EU654" s="1488"/>
      <c r="EV654" s="1488"/>
      <c r="EW654" s="1488" t="e">
        <f t="shared" si="9"/>
        <v>#VALUE!</v>
      </c>
      <c r="EX654" s="1488"/>
      <c r="EY654" s="1488"/>
      <c r="EZ654" s="1488"/>
      <c r="FA654" s="1488"/>
    </row>
    <row r="655" spans="1:157" ht="12.95" customHeight="1">
      <c r="A655" s="22"/>
      <c r="B655" t="s">
        <v>316</v>
      </c>
      <c r="G655" s="1415">
        <v>2132391914</v>
      </c>
      <c r="H655" s="1415"/>
      <c r="I655" s="1415"/>
      <c r="J655" s="1415"/>
      <c r="K655" s="1415"/>
      <c r="L655" s="1415"/>
      <c r="O655" s="33" t="s">
        <v>206</v>
      </c>
      <c r="P655" s="1418"/>
      <c r="Q655" s="1418"/>
      <c r="R655" s="1418"/>
      <c r="S655" s="10"/>
      <c r="T655" s="22"/>
      <c r="U655" t="s">
        <v>316</v>
      </c>
      <c r="Z655" s="1415">
        <v>2132391914</v>
      </c>
      <c r="AA655" s="1415"/>
      <c r="AB655" s="1415"/>
      <c r="AC655" s="1415"/>
      <c r="AD655" s="1415"/>
      <c r="AE655" s="1415"/>
      <c r="AH655" s="33" t="s">
        <v>206</v>
      </c>
      <c r="AI655" s="1418"/>
      <c r="AJ655" s="1418"/>
      <c r="AK655" s="1418"/>
      <c r="AZ655" s="34"/>
      <c r="BA655" s="34"/>
      <c r="BB655" s="34"/>
      <c r="BC655" s="34"/>
      <c r="BD655" s="34"/>
      <c r="BE655" s="34"/>
      <c r="BF655" s="34"/>
      <c r="BG655" s="34"/>
      <c r="BH655" s="34"/>
      <c r="BI655" s="34"/>
      <c r="BJ655" s="34"/>
      <c r="BK655" s="34"/>
      <c r="BL655" s="34"/>
      <c r="BM655" s="34"/>
      <c r="DX655" s="1488" t="e">
        <f t="shared" si="4"/>
        <v>#VALUE!</v>
      </c>
      <c r="DY655" s="1488"/>
      <c r="DZ655" s="1488"/>
      <c r="EA655" s="1488"/>
      <c r="EB655" s="1488"/>
      <c r="EC655" s="1488" t="e">
        <f t="shared" si="5"/>
        <v>#VALUE!</v>
      </c>
      <c r="ED655" s="1488"/>
      <c r="EE655" s="1488"/>
      <c r="EF655" s="1488"/>
      <c r="EG655" s="1488"/>
      <c r="EH655" s="1488" t="e">
        <f t="shared" si="6"/>
        <v>#VALUE!</v>
      </c>
      <c r="EI655" s="1488"/>
      <c r="EJ655" s="1488"/>
      <c r="EK655" s="1488"/>
      <c r="EL655" s="1488"/>
      <c r="EM655" s="1488">
        <f t="shared" si="7"/>
        <v>168.77142857142857</v>
      </c>
      <c r="EN655" s="1488"/>
      <c r="EO655" s="1488"/>
      <c r="EP655" s="1488"/>
      <c r="EQ655" s="1488"/>
      <c r="ER655" s="1488" t="e">
        <f t="shared" si="8"/>
        <v>#VALUE!</v>
      </c>
      <c r="ES655" s="1488"/>
      <c r="ET655" s="1488"/>
      <c r="EU655" s="1488"/>
      <c r="EV655" s="1488"/>
      <c r="EW655" s="1488" t="e">
        <f t="shared" si="9"/>
        <v>#VALUE!</v>
      </c>
      <c r="EX655" s="1488"/>
      <c r="EY655" s="1488"/>
      <c r="EZ655" s="1488"/>
      <c r="FA655" s="1488"/>
    </row>
    <row r="656" spans="1:157" ht="12.95" customHeight="1">
      <c r="A656" s="22"/>
      <c r="B656" t="s">
        <v>18</v>
      </c>
      <c r="H656" s="1417" t="s">
        <v>2074</v>
      </c>
      <c r="I656" s="1417"/>
      <c r="J656" s="1417"/>
      <c r="K656" s="1417"/>
      <c r="L656" s="1417"/>
      <c r="M656" s="1417"/>
      <c r="N656" s="1417"/>
      <c r="O656" s="1417"/>
      <c r="P656" s="1417"/>
      <c r="Q656" s="1417"/>
      <c r="R656" s="1417"/>
      <c r="S656" s="8"/>
      <c r="T656" s="22"/>
      <c r="U656" t="s">
        <v>18</v>
      </c>
      <c r="AA656" s="1417" t="s">
        <v>2068</v>
      </c>
      <c r="AB656" s="1417"/>
      <c r="AC656" s="1417"/>
      <c r="AD656" s="1417"/>
      <c r="AE656" s="1417"/>
      <c r="AF656" s="1417"/>
      <c r="AG656" s="1417"/>
      <c r="AH656" s="1417"/>
      <c r="AI656" s="1417"/>
      <c r="AJ656" s="1417"/>
      <c r="AK656" s="1417"/>
      <c r="AZ656" s="34"/>
      <c r="BA656" s="34"/>
      <c r="BB656" s="34"/>
      <c r="BC656" s="34"/>
      <c r="BD656" s="34"/>
      <c r="BE656" s="34"/>
      <c r="BF656" s="34"/>
      <c r="BG656" s="34"/>
      <c r="BH656" s="34"/>
      <c r="BI656" s="34"/>
      <c r="BJ656" s="34"/>
      <c r="BK656" s="34"/>
      <c r="BL656" s="34"/>
      <c r="BM656" s="34"/>
      <c r="DX656" s="1488" t="e">
        <f t="shared" si="4"/>
        <v>#VALUE!</v>
      </c>
      <c r="DY656" s="1488"/>
      <c r="DZ656" s="1488"/>
      <c r="EA656" s="1488"/>
      <c r="EB656" s="1488"/>
      <c r="EC656" s="1488" t="e">
        <f t="shared" si="5"/>
        <v>#VALUE!</v>
      </c>
      <c r="ED656" s="1488"/>
      <c r="EE656" s="1488"/>
      <c r="EF656" s="1488"/>
      <c r="EG656" s="1488"/>
      <c r="EH656" s="1488" t="e">
        <f t="shared" si="6"/>
        <v>#VALUE!</v>
      </c>
      <c r="EI656" s="1488"/>
      <c r="EJ656" s="1488"/>
      <c r="EK656" s="1488"/>
      <c r="EL656" s="1488"/>
      <c r="EM656" s="1488">
        <f t="shared" si="7"/>
        <v>281.28571428571428</v>
      </c>
      <c r="EN656" s="1488"/>
      <c r="EO656" s="1488"/>
      <c r="EP656" s="1488"/>
      <c r="EQ656" s="1488"/>
      <c r="ER656" s="1488" t="e">
        <f t="shared" si="8"/>
        <v>#VALUE!</v>
      </c>
      <c r="ES656" s="1488"/>
      <c r="ET656" s="1488"/>
      <c r="EU656" s="1488"/>
      <c r="EV656" s="1488"/>
      <c r="EW656" s="1488" t="e">
        <f t="shared" si="9"/>
        <v>#VALUE!</v>
      </c>
      <c r="EX656" s="1488"/>
      <c r="EY656" s="1488"/>
      <c r="EZ656" s="1488"/>
      <c r="FA656" s="1488"/>
    </row>
    <row r="657" spans="1:157" ht="12.95" customHeight="1">
      <c r="A657" s="22"/>
      <c r="B657" t="s">
        <v>20</v>
      </c>
      <c r="N657" s="1266" t="s">
        <v>545</v>
      </c>
      <c r="O657" s="1266"/>
      <c r="T657" s="22"/>
      <c r="U657" t="s">
        <v>20</v>
      </c>
      <c r="AG657" s="1266" t="s">
        <v>545</v>
      </c>
      <c r="AH657" s="1266"/>
      <c r="AZ657" s="34"/>
      <c r="BA657" s="34"/>
      <c r="BB657" s="34"/>
      <c r="BC657" s="34"/>
      <c r="BD657" s="34"/>
      <c r="BE657" s="34"/>
      <c r="BF657" s="34"/>
      <c r="BG657" s="34"/>
      <c r="BH657" s="34"/>
      <c r="BI657" s="34"/>
      <c r="BJ657" s="34"/>
      <c r="BK657" s="34"/>
      <c r="BL657" s="34"/>
      <c r="BM657" s="34"/>
      <c r="DX657" s="1488" t="e">
        <f t="shared" si="4"/>
        <v>#VALUE!</v>
      </c>
      <c r="DY657" s="1488"/>
      <c r="DZ657" s="1488"/>
      <c r="EA657" s="1488"/>
      <c r="EB657" s="1488"/>
      <c r="EC657" s="1488" t="e">
        <f t="shared" si="5"/>
        <v>#VALUE!</v>
      </c>
      <c r="ED657" s="1488"/>
      <c r="EE657" s="1488"/>
      <c r="EF657" s="1488"/>
      <c r="EG657" s="1488"/>
      <c r="EH657" s="1488" t="e">
        <f t="shared" si="6"/>
        <v>#VALUE!</v>
      </c>
      <c r="EI657" s="1488"/>
      <c r="EJ657" s="1488"/>
      <c r="EK657" s="1488"/>
      <c r="EL657" s="1488"/>
      <c r="EM657" s="1488">
        <f t="shared" si="7"/>
        <v>1969</v>
      </c>
      <c r="EN657" s="1488"/>
      <c r="EO657" s="1488"/>
      <c r="EP657" s="1488"/>
      <c r="EQ657" s="1488"/>
      <c r="ER657" s="1488" t="e">
        <f t="shared" si="8"/>
        <v>#VALUE!</v>
      </c>
      <c r="ES657" s="1488"/>
      <c r="ET657" s="1488"/>
      <c r="EU657" s="1488"/>
      <c r="EV657" s="1488"/>
      <c r="EW657" s="1488" t="e">
        <f t="shared" si="9"/>
        <v>#VALUE!</v>
      </c>
      <c r="EX657" s="1488"/>
      <c r="EY657" s="1488"/>
      <c r="EZ657" s="1488"/>
      <c r="FA657" s="1488"/>
    </row>
    <row r="658" spans="1:157" ht="12.95" customHeight="1">
      <c r="A658" s="22"/>
      <c r="T658" s="22"/>
      <c r="AZ658" s="34"/>
      <c r="BA658" s="34"/>
      <c r="BB658" s="34"/>
      <c r="BC658" s="34"/>
      <c r="BD658" s="34"/>
      <c r="BE658" s="34"/>
      <c r="BF658" s="34"/>
      <c r="BG658" s="34"/>
      <c r="BH658" s="34"/>
      <c r="BI658" s="34"/>
      <c r="BJ658" s="34"/>
      <c r="BK658" s="34"/>
      <c r="BL658" s="34"/>
      <c r="BM658" s="34"/>
      <c r="DX658" s="1488" t="e">
        <f t="shared" si="4"/>
        <v>#VALUE!</v>
      </c>
      <c r="DY658" s="1488"/>
      <c r="DZ658" s="1488"/>
      <c r="EA658" s="1488"/>
      <c r="EB658" s="1488"/>
      <c r="EC658" s="1488" t="e">
        <f t="shared" si="5"/>
        <v>#VALUE!</v>
      </c>
      <c r="ED658" s="1488"/>
      <c r="EE658" s="1488"/>
      <c r="EF658" s="1488"/>
      <c r="EG658" s="1488"/>
      <c r="EH658" s="1488" t="e">
        <f t="shared" si="6"/>
        <v>#VALUE!</v>
      </c>
      <c r="EI658" s="1488"/>
      <c r="EJ658" s="1488"/>
      <c r="EK658" s="1488"/>
      <c r="EL658" s="1488"/>
      <c r="EM658" s="1488" t="e">
        <f t="shared" si="7"/>
        <v>#VALUE!</v>
      </c>
      <c r="EN658" s="1488"/>
      <c r="EO658" s="1488"/>
      <c r="EP658" s="1488"/>
      <c r="EQ658" s="1488"/>
      <c r="ER658" s="1488" t="e">
        <f t="shared" si="8"/>
        <v>#VALUE!</v>
      </c>
      <c r="ES658" s="1488"/>
      <c r="ET658" s="1488"/>
      <c r="EU658" s="1488"/>
      <c r="EV658" s="1488"/>
      <c r="EW658" s="1488" t="e">
        <f t="shared" si="9"/>
        <v>#VALUE!</v>
      </c>
      <c r="EX658" s="1488"/>
      <c r="EY658" s="1488"/>
      <c r="EZ658" s="1488"/>
      <c r="FA658" s="1488"/>
    </row>
    <row r="659" spans="1:157" ht="12.95" customHeight="1">
      <c r="A659" s="55" t="s">
        <v>119</v>
      </c>
      <c r="B659" t="s">
        <v>463</v>
      </c>
      <c r="G659" s="1416" t="str">
        <f>C637</f>
        <v>Calyx Development, LLC</v>
      </c>
      <c r="H659" s="1416"/>
      <c r="I659" s="1416"/>
      <c r="J659" s="1416"/>
      <c r="K659" s="1416"/>
      <c r="L659" s="1416"/>
      <c r="M659" s="1416"/>
      <c r="N659" s="1416"/>
      <c r="O659" s="1416"/>
      <c r="P659" s="1416"/>
      <c r="Q659" s="1416"/>
      <c r="R659" s="1416"/>
      <c r="T659" s="55" t="s">
        <v>581</v>
      </c>
      <c r="U659" t="s">
        <v>463</v>
      </c>
      <c r="Z659" s="1416">
        <f>C638</f>
        <v>0</v>
      </c>
      <c r="AA659" s="1416"/>
      <c r="AB659" s="1416"/>
      <c r="AC659" s="1416"/>
      <c r="AD659" s="1416"/>
      <c r="AE659" s="1416"/>
      <c r="AF659" s="1416"/>
      <c r="AG659" s="1416"/>
      <c r="AH659" s="1416"/>
      <c r="AI659" s="1416"/>
      <c r="AJ659" s="1416"/>
      <c r="AK659" s="1416"/>
      <c r="AZ659" s="34"/>
      <c r="BA659" s="34"/>
      <c r="BB659" s="34"/>
      <c r="BC659" s="34"/>
      <c r="BD659" s="34"/>
      <c r="BE659" s="34"/>
      <c r="BF659" s="34"/>
      <c r="BG659" s="34"/>
      <c r="BH659" s="34"/>
      <c r="BI659" s="34"/>
      <c r="BJ659" s="34"/>
      <c r="BK659" s="34"/>
      <c r="BL659" s="34"/>
      <c r="BM659" s="34"/>
      <c r="DX659" s="1488" t="e">
        <f t="shared" si="4"/>
        <v>#VALUE!</v>
      </c>
      <c r="DY659" s="1488"/>
      <c r="DZ659" s="1488"/>
      <c r="EA659" s="1488"/>
      <c r="EB659" s="1488"/>
      <c r="EC659" s="1488" t="e">
        <f t="shared" si="5"/>
        <v>#VALUE!</v>
      </c>
      <c r="ED659" s="1488"/>
      <c r="EE659" s="1488"/>
      <c r="EF659" s="1488"/>
      <c r="EG659" s="1488"/>
      <c r="EH659" s="1488" t="e">
        <f t="shared" si="6"/>
        <v>#VALUE!</v>
      </c>
      <c r="EI659" s="1488"/>
      <c r="EJ659" s="1488"/>
      <c r="EK659" s="1488"/>
      <c r="EL659" s="1488"/>
      <c r="EM659" s="1488" t="e">
        <f t="shared" si="7"/>
        <v>#VALUE!</v>
      </c>
      <c r="EN659" s="1488"/>
      <c r="EO659" s="1488"/>
      <c r="EP659" s="1488"/>
      <c r="EQ659" s="1488"/>
      <c r="ER659" s="1488" t="e">
        <f t="shared" si="8"/>
        <v>#VALUE!</v>
      </c>
      <c r="ES659" s="1488"/>
      <c r="ET659" s="1488"/>
      <c r="EU659" s="1488"/>
      <c r="EV659" s="1488"/>
      <c r="EW659" s="1488" t="e">
        <f t="shared" si="9"/>
        <v>#VALUE!</v>
      </c>
      <c r="EX659" s="1488"/>
      <c r="EY659" s="1488"/>
      <c r="EZ659" s="1488"/>
      <c r="FA659" s="1488"/>
    </row>
    <row r="660" spans="1:157" ht="12.95" customHeight="1">
      <c r="A660" s="22"/>
      <c r="B660" t="s">
        <v>85</v>
      </c>
      <c r="G660" s="1417" t="s">
        <v>2701</v>
      </c>
      <c r="H660" s="1417"/>
      <c r="I660" s="1417"/>
      <c r="J660" s="1417"/>
      <c r="K660" s="1417"/>
      <c r="L660" s="1417"/>
      <c r="M660" s="1417"/>
      <c r="N660" s="1417"/>
      <c r="O660" s="1417"/>
      <c r="P660" s="1417"/>
      <c r="Q660" s="1417"/>
      <c r="R660" s="1417"/>
      <c r="T660" s="22"/>
      <c r="U660" t="s">
        <v>85</v>
      </c>
      <c r="Z660" s="1417"/>
      <c r="AA660" s="1417"/>
      <c r="AB660" s="1417"/>
      <c r="AC660" s="1417"/>
      <c r="AD660" s="1417"/>
      <c r="AE660" s="1417"/>
      <c r="AF660" s="1417"/>
      <c r="AG660" s="1417"/>
      <c r="AH660" s="1417"/>
      <c r="AI660" s="1417"/>
      <c r="AJ660" s="1417"/>
      <c r="AK660" s="1417"/>
      <c r="AZ660" s="34"/>
      <c r="BA660" s="34"/>
      <c r="BB660" s="34"/>
      <c r="BC660" s="34"/>
      <c r="BD660" s="34"/>
      <c r="BE660" s="34"/>
      <c r="BF660" s="34"/>
      <c r="BG660" s="34"/>
      <c r="BH660" s="34"/>
      <c r="BI660" s="34"/>
      <c r="BJ660" s="34"/>
      <c r="BK660" s="34"/>
      <c r="BL660" s="34"/>
      <c r="BM660" s="34"/>
      <c r="DX660" s="1488" t="e">
        <f t="shared" si="4"/>
        <v>#VALUE!</v>
      </c>
      <c r="DY660" s="1488"/>
      <c r="DZ660" s="1488"/>
      <c r="EA660" s="1488"/>
      <c r="EB660" s="1488"/>
      <c r="EC660" s="1488" t="e">
        <f t="shared" si="5"/>
        <v>#VALUE!</v>
      </c>
      <c r="ED660" s="1488"/>
      <c r="EE660" s="1488"/>
      <c r="EF660" s="1488"/>
      <c r="EG660" s="1488"/>
      <c r="EH660" s="1488" t="e">
        <f t="shared" si="6"/>
        <v>#VALUE!</v>
      </c>
      <c r="EI660" s="1488"/>
      <c r="EJ660" s="1488"/>
      <c r="EK660" s="1488"/>
      <c r="EL660" s="1488"/>
      <c r="EM660" s="1488" t="e">
        <f t="shared" si="7"/>
        <v>#VALUE!</v>
      </c>
      <c r="EN660" s="1488"/>
      <c r="EO660" s="1488"/>
      <c r="EP660" s="1488"/>
      <c r="EQ660" s="1488"/>
      <c r="ER660" s="1488" t="e">
        <f t="shared" si="8"/>
        <v>#VALUE!</v>
      </c>
      <c r="ES660" s="1488"/>
      <c r="ET660" s="1488"/>
      <c r="EU660" s="1488"/>
      <c r="EV660" s="1488"/>
      <c r="EW660" s="1488" t="e">
        <f t="shared" si="9"/>
        <v>#VALUE!</v>
      </c>
      <c r="EX660" s="1488"/>
      <c r="EY660" s="1488"/>
      <c r="EZ660" s="1488"/>
      <c r="FA660" s="1488"/>
    </row>
    <row r="661" spans="1:157" ht="12.95" customHeight="1">
      <c r="A661" s="22"/>
      <c r="B661" t="s">
        <v>580</v>
      </c>
      <c r="G661" s="1419" t="s">
        <v>2702</v>
      </c>
      <c r="H661" s="1419"/>
      <c r="I661" s="1419"/>
      <c r="J661" s="1419"/>
      <c r="K661" s="1419"/>
      <c r="L661" s="1419"/>
      <c r="M661" s="1419"/>
      <c r="N661" s="1419"/>
      <c r="O661" s="1419"/>
      <c r="P661" s="1419"/>
      <c r="Q661" s="1419"/>
      <c r="R661" s="1419"/>
      <c r="T661" s="22"/>
      <c r="U661" t="s">
        <v>580</v>
      </c>
      <c r="Z661" s="1419"/>
      <c r="AA661" s="1419"/>
      <c r="AB661" s="1419"/>
      <c r="AC661" s="1419"/>
      <c r="AD661" s="1419"/>
      <c r="AE661" s="1419"/>
      <c r="AF661" s="1419"/>
      <c r="AG661" s="1419"/>
      <c r="AH661" s="1419"/>
      <c r="AI661" s="1419"/>
      <c r="AJ661" s="1419"/>
      <c r="AK661" s="1419"/>
      <c r="AZ661" s="34"/>
      <c r="BA661" s="34"/>
      <c r="BB661" s="34"/>
      <c r="BC661" s="34"/>
      <c r="BD661" s="34"/>
      <c r="BE661" s="34"/>
      <c r="BF661" s="34"/>
      <c r="BG661" s="34"/>
      <c r="BH661" s="34"/>
      <c r="BI661" s="34"/>
      <c r="BJ661" s="34"/>
      <c r="BK661" s="34"/>
      <c r="BL661" s="34"/>
      <c r="BM661" s="34"/>
      <c r="DX661" s="1488" t="e">
        <f t="shared" si="4"/>
        <v>#VALUE!</v>
      </c>
      <c r="DY661" s="1488"/>
      <c r="DZ661" s="1488"/>
      <c r="EA661" s="1488"/>
      <c r="EB661" s="1488"/>
      <c r="EC661" s="1488" t="e">
        <f t="shared" si="5"/>
        <v>#VALUE!</v>
      </c>
      <c r="ED661" s="1488"/>
      <c r="EE661" s="1488"/>
      <c r="EF661" s="1488"/>
      <c r="EG661" s="1488"/>
      <c r="EH661" s="1488" t="e">
        <f t="shared" si="6"/>
        <v>#VALUE!</v>
      </c>
      <c r="EI661" s="1488"/>
      <c r="EJ661" s="1488"/>
      <c r="EK661" s="1488"/>
      <c r="EL661" s="1488"/>
      <c r="EM661" s="1488" t="e">
        <f t="shared" si="7"/>
        <v>#VALUE!</v>
      </c>
      <c r="EN661" s="1488"/>
      <c r="EO661" s="1488"/>
      <c r="EP661" s="1488"/>
      <c r="EQ661" s="1488"/>
      <c r="ER661" s="1488" t="e">
        <f t="shared" si="8"/>
        <v>#VALUE!</v>
      </c>
      <c r="ES661" s="1488"/>
      <c r="ET661" s="1488"/>
      <c r="EU661" s="1488"/>
      <c r="EV661" s="1488"/>
      <c r="EW661" s="1488" t="e">
        <f t="shared" si="9"/>
        <v>#VALUE!</v>
      </c>
      <c r="EX661" s="1488"/>
      <c r="EY661" s="1488"/>
      <c r="EZ661" s="1488"/>
      <c r="FA661" s="1488"/>
    </row>
    <row r="662" spans="1:157" ht="12.95" customHeight="1">
      <c r="A662" s="22"/>
      <c r="B662" t="s">
        <v>17</v>
      </c>
      <c r="G662" s="1419" t="s">
        <v>2708</v>
      </c>
      <c r="H662" s="1419"/>
      <c r="I662" s="1419"/>
      <c r="J662" s="1419"/>
      <c r="K662" s="1419"/>
      <c r="L662" s="1419"/>
      <c r="M662" s="1419"/>
      <c r="N662" s="1419"/>
      <c r="O662" s="1419"/>
      <c r="P662" s="1419"/>
      <c r="Q662" s="1419"/>
      <c r="R662" s="1419"/>
      <c r="T662" s="22"/>
      <c r="U662" t="s">
        <v>17</v>
      </c>
      <c r="Z662" s="1419"/>
      <c r="AA662" s="1419"/>
      <c r="AB662" s="1419"/>
      <c r="AC662" s="1419"/>
      <c r="AD662" s="1419"/>
      <c r="AE662" s="1419"/>
      <c r="AF662" s="1419"/>
      <c r="AG662" s="1419"/>
      <c r="AH662" s="1419"/>
      <c r="AI662" s="1419"/>
      <c r="AJ662" s="1419"/>
      <c r="AK662" s="1419"/>
      <c r="AZ662" s="34"/>
      <c r="BA662" s="34"/>
      <c r="BB662" s="34"/>
      <c r="BC662" s="34"/>
      <c r="BD662" s="34"/>
      <c r="BE662" s="34"/>
      <c r="BF662" s="34"/>
      <c r="BG662" s="34"/>
      <c r="BH662" s="34"/>
      <c r="BI662" s="34"/>
      <c r="BJ662" s="34"/>
      <c r="BK662" s="34"/>
      <c r="BL662" s="34"/>
      <c r="BM662" s="34"/>
      <c r="DX662" s="1488" t="e">
        <f t="shared" si="4"/>
        <v>#VALUE!</v>
      </c>
      <c r="DY662" s="1488"/>
      <c r="DZ662" s="1488"/>
      <c r="EA662" s="1488"/>
      <c r="EB662" s="1488"/>
      <c r="EC662" s="1488" t="e">
        <f t="shared" si="5"/>
        <v>#VALUE!</v>
      </c>
      <c r="ED662" s="1488"/>
      <c r="EE662" s="1488"/>
      <c r="EF662" s="1488"/>
      <c r="EG662" s="1488"/>
      <c r="EH662" s="1488" t="e">
        <f t="shared" si="6"/>
        <v>#VALUE!</v>
      </c>
      <c r="EI662" s="1488"/>
      <c r="EJ662" s="1488"/>
      <c r="EK662" s="1488"/>
      <c r="EL662" s="1488"/>
      <c r="EM662" s="1488" t="e">
        <f t="shared" si="7"/>
        <v>#VALUE!</v>
      </c>
      <c r="EN662" s="1488"/>
      <c r="EO662" s="1488"/>
      <c r="EP662" s="1488"/>
      <c r="EQ662" s="1488"/>
      <c r="ER662" s="1488" t="e">
        <f t="shared" si="8"/>
        <v>#VALUE!</v>
      </c>
      <c r="ES662" s="1488"/>
      <c r="ET662" s="1488"/>
      <c r="EU662" s="1488"/>
      <c r="EV662" s="1488"/>
      <c r="EW662" s="1488" t="e">
        <f t="shared" si="9"/>
        <v>#VALUE!</v>
      </c>
      <c r="EX662" s="1488"/>
      <c r="EY662" s="1488"/>
      <c r="EZ662" s="1488"/>
      <c r="FA662" s="1488"/>
    </row>
    <row r="663" spans="1:157" ht="12.95" customHeight="1">
      <c r="A663" s="22"/>
      <c r="B663" t="s">
        <v>316</v>
      </c>
      <c r="G663" s="1415">
        <v>2133655000</v>
      </c>
      <c r="H663" s="1415"/>
      <c r="I663" s="1415"/>
      <c r="J663" s="1415"/>
      <c r="K663" s="1415"/>
      <c r="L663" s="1415"/>
      <c r="O663" s="33" t="s">
        <v>206</v>
      </c>
      <c r="P663" s="1418"/>
      <c r="Q663" s="1418"/>
      <c r="R663" s="1418"/>
      <c r="T663" s="22"/>
      <c r="U663" t="s">
        <v>316</v>
      </c>
      <c r="Z663" s="1415"/>
      <c r="AA663" s="1415"/>
      <c r="AB663" s="1415"/>
      <c r="AC663" s="1415"/>
      <c r="AD663" s="1415"/>
      <c r="AE663" s="1415"/>
      <c r="AH663" s="33" t="s">
        <v>206</v>
      </c>
      <c r="AI663" s="1418"/>
      <c r="AJ663" s="1418"/>
      <c r="AK663" s="1418"/>
      <c r="AZ663" s="34"/>
      <c r="BA663" s="34"/>
      <c r="BB663" s="34"/>
      <c r="BC663" s="34"/>
      <c r="BD663" s="34"/>
      <c r="BE663" s="34"/>
      <c r="BF663" s="34"/>
      <c r="BG663" s="34"/>
      <c r="BH663" s="34"/>
      <c r="BI663" s="34"/>
      <c r="BJ663" s="34"/>
      <c r="BK663" s="34"/>
      <c r="BL663" s="34"/>
      <c r="BM663" s="34"/>
      <c r="DX663" s="1488" t="e">
        <f t="shared" si="4"/>
        <v>#VALUE!</v>
      </c>
      <c r="DY663" s="1488"/>
      <c r="DZ663" s="1488"/>
      <c r="EA663" s="1488"/>
      <c r="EB663" s="1488"/>
      <c r="EC663" s="1488" t="e">
        <f t="shared" si="5"/>
        <v>#VALUE!</v>
      </c>
      <c r="ED663" s="1488"/>
      <c r="EE663" s="1488"/>
      <c r="EF663" s="1488"/>
      <c r="EG663" s="1488"/>
      <c r="EH663" s="1488" t="e">
        <f t="shared" si="6"/>
        <v>#VALUE!</v>
      </c>
      <c r="EI663" s="1488"/>
      <c r="EJ663" s="1488"/>
      <c r="EK663" s="1488"/>
      <c r="EL663" s="1488"/>
      <c r="EM663" s="1488" t="e">
        <f t="shared" si="7"/>
        <v>#VALUE!</v>
      </c>
      <c r="EN663" s="1488"/>
      <c r="EO663" s="1488"/>
      <c r="EP663" s="1488"/>
      <c r="EQ663" s="1488"/>
      <c r="ER663" s="1488" t="e">
        <f t="shared" si="8"/>
        <v>#VALUE!</v>
      </c>
      <c r="ES663" s="1488"/>
      <c r="ET663" s="1488"/>
      <c r="EU663" s="1488"/>
      <c r="EV663" s="1488"/>
      <c r="EW663" s="1488" t="e">
        <f t="shared" si="9"/>
        <v>#VALUE!</v>
      </c>
      <c r="EX663" s="1488"/>
      <c r="EY663" s="1488"/>
      <c r="EZ663" s="1488"/>
      <c r="FA663" s="1488"/>
    </row>
    <row r="664" spans="1:157" ht="12.95" customHeight="1">
      <c r="A664" s="22"/>
      <c r="B664" t="s">
        <v>18</v>
      </c>
      <c r="H664" s="1417" t="s">
        <v>2703</v>
      </c>
      <c r="I664" s="1417"/>
      <c r="J664" s="1417"/>
      <c r="K664" s="1417"/>
      <c r="L664" s="1417"/>
      <c r="M664" s="1417"/>
      <c r="N664" s="1417"/>
      <c r="O664" s="1417"/>
      <c r="P664" s="1417"/>
      <c r="Q664" s="1417"/>
      <c r="R664" s="1417"/>
      <c r="T664" s="22"/>
      <c r="U664" t="s">
        <v>18</v>
      </c>
      <c r="AA664" s="1417"/>
      <c r="AB664" s="1417"/>
      <c r="AC664" s="1417"/>
      <c r="AD664" s="1417"/>
      <c r="AE664" s="1417"/>
      <c r="AF664" s="1417"/>
      <c r="AG664" s="1417"/>
      <c r="AH664" s="1417"/>
      <c r="AI664" s="1417"/>
      <c r="AJ664" s="1417"/>
      <c r="AK664" s="1417"/>
      <c r="AZ664" s="34"/>
      <c r="BA664" s="34"/>
      <c r="BB664" s="34"/>
      <c r="BC664" s="34"/>
      <c r="BD664" s="34"/>
      <c r="BE664" s="34"/>
      <c r="BF664" s="34"/>
      <c r="BG664" s="34"/>
      <c r="BH664" s="34"/>
      <c r="BI664" s="34"/>
      <c r="BJ664" s="34"/>
      <c r="BK664" s="34"/>
      <c r="BL664" s="34"/>
      <c r="BM664" s="34"/>
      <c r="DX664" s="1488" t="e">
        <f t="shared" si="4"/>
        <v>#VALUE!</v>
      </c>
      <c r="DY664" s="1488"/>
      <c r="DZ664" s="1488"/>
      <c r="EA664" s="1488"/>
      <c r="EB664" s="1488"/>
      <c r="EC664" s="1488" t="e">
        <f t="shared" si="5"/>
        <v>#VALUE!</v>
      </c>
      <c r="ED664" s="1488"/>
      <c r="EE664" s="1488"/>
      <c r="EF664" s="1488"/>
      <c r="EG664" s="1488"/>
      <c r="EH664" s="1488" t="e">
        <f t="shared" si="6"/>
        <v>#VALUE!</v>
      </c>
      <c r="EI664" s="1488"/>
      <c r="EJ664" s="1488"/>
      <c r="EK664" s="1488"/>
      <c r="EL664" s="1488"/>
      <c r="EM664" s="1488" t="e">
        <f t="shared" si="7"/>
        <v>#VALUE!</v>
      </c>
      <c r="EN664" s="1488"/>
      <c r="EO664" s="1488"/>
      <c r="EP664" s="1488"/>
      <c r="EQ664" s="1488"/>
      <c r="ER664" s="1488" t="e">
        <f t="shared" si="8"/>
        <v>#VALUE!</v>
      </c>
      <c r="ES664" s="1488"/>
      <c r="ET664" s="1488"/>
      <c r="EU664" s="1488"/>
      <c r="EV664" s="1488"/>
      <c r="EW664" s="1488" t="e">
        <f t="shared" si="9"/>
        <v>#VALUE!</v>
      </c>
      <c r="EX664" s="1488"/>
      <c r="EY664" s="1488"/>
      <c r="EZ664" s="1488"/>
      <c r="FA664" s="1488"/>
    </row>
    <row r="665" spans="1:157" ht="12.95" customHeight="1">
      <c r="A665" s="22"/>
      <c r="B665" t="s">
        <v>20</v>
      </c>
      <c r="N665" s="1266" t="s">
        <v>545</v>
      </c>
      <c r="O665" s="1266"/>
      <c r="T665" s="22"/>
      <c r="U665" t="s">
        <v>20</v>
      </c>
      <c r="AG665" s="1266" t="s">
        <v>669</v>
      </c>
      <c r="AH665" s="1266"/>
      <c r="AZ665" s="34"/>
      <c r="BA665" s="34"/>
      <c r="BB665" s="34"/>
      <c r="BC665" s="34"/>
      <c r="BD665" s="34"/>
      <c r="BE665" s="34"/>
      <c r="BF665" s="34"/>
      <c r="BG665" s="34"/>
      <c r="BH665" s="34"/>
      <c r="BI665" s="34"/>
      <c r="BJ665" s="34"/>
      <c r="BK665" s="34"/>
      <c r="BL665" s="34"/>
      <c r="BM665" s="34"/>
      <c r="DX665" s="1488" t="e">
        <f t="shared" si="4"/>
        <v>#VALUE!</v>
      </c>
      <c r="DY665" s="1488"/>
      <c r="DZ665" s="1488"/>
      <c r="EA665" s="1488"/>
      <c r="EB665" s="1488"/>
      <c r="EC665" s="1488" t="e">
        <f t="shared" si="5"/>
        <v>#VALUE!</v>
      </c>
      <c r="ED665" s="1488"/>
      <c r="EE665" s="1488"/>
      <c r="EF665" s="1488"/>
      <c r="EG665" s="1488"/>
      <c r="EH665" s="1488" t="e">
        <f t="shared" si="6"/>
        <v>#VALUE!</v>
      </c>
      <c r="EI665" s="1488"/>
      <c r="EJ665" s="1488"/>
      <c r="EK665" s="1488"/>
      <c r="EL665" s="1488"/>
      <c r="EM665" s="1488" t="e">
        <f t="shared" si="7"/>
        <v>#VALUE!</v>
      </c>
      <c r="EN665" s="1488"/>
      <c r="EO665" s="1488"/>
      <c r="EP665" s="1488"/>
      <c r="EQ665" s="1488"/>
      <c r="ER665" s="1488" t="e">
        <f t="shared" si="8"/>
        <v>#VALUE!</v>
      </c>
      <c r="ES665" s="1488"/>
      <c r="ET665" s="1488"/>
      <c r="EU665" s="1488"/>
      <c r="EV665" s="1488"/>
      <c r="EW665" s="1488" t="e">
        <f t="shared" si="9"/>
        <v>#VALUE!</v>
      </c>
      <c r="EX665" s="1488"/>
      <c r="EY665" s="1488"/>
      <c r="EZ665" s="1488"/>
      <c r="FA665" s="1488"/>
    </row>
    <row r="666" spans="1:157" ht="12.95" customHeight="1">
      <c r="A666" s="22"/>
      <c r="T666" s="22"/>
      <c r="AZ666" s="34"/>
      <c r="BA666" s="34"/>
      <c r="BB666" s="34"/>
      <c r="BC666" s="34"/>
      <c r="BD666" s="34"/>
      <c r="BE666" s="34"/>
      <c r="BF666" s="34"/>
      <c r="BG666" s="34"/>
      <c r="BH666" s="34"/>
      <c r="BI666" s="34"/>
      <c r="BJ666" s="34"/>
      <c r="BK666" s="34"/>
      <c r="BL666" s="34"/>
      <c r="BM666" s="34"/>
      <c r="DX666" s="1488" t="e">
        <f t="shared" si="4"/>
        <v>#VALUE!</v>
      </c>
      <c r="DY666" s="1488"/>
      <c r="DZ666" s="1488"/>
      <c r="EA666" s="1488"/>
      <c r="EB666" s="1488"/>
      <c r="EC666" s="1488" t="e">
        <f t="shared" si="5"/>
        <v>#VALUE!</v>
      </c>
      <c r="ED666" s="1488"/>
      <c r="EE666" s="1488"/>
      <c r="EF666" s="1488"/>
      <c r="EG666" s="1488"/>
      <c r="EH666" s="1488" t="e">
        <f t="shared" si="6"/>
        <v>#VALUE!</v>
      </c>
      <c r="EI666" s="1488"/>
      <c r="EJ666" s="1488"/>
      <c r="EK666" s="1488"/>
      <c r="EL666" s="1488"/>
      <c r="EM666" s="1488" t="e">
        <f t="shared" si="7"/>
        <v>#VALUE!</v>
      </c>
      <c r="EN666" s="1488"/>
      <c r="EO666" s="1488"/>
      <c r="EP666" s="1488"/>
      <c r="EQ666" s="1488"/>
      <c r="ER666" s="1488" t="e">
        <f t="shared" si="8"/>
        <v>#VALUE!</v>
      </c>
      <c r="ES666" s="1488"/>
      <c r="ET666" s="1488"/>
      <c r="EU666" s="1488"/>
      <c r="EV666" s="1488"/>
      <c r="EW666" s="1488" t="e">
        <f t="shared" si="9"/>
        <v>#VALUE!</v>
      </c>
      <c r="EX666" s="1488"/>
      <c r="EY666" s="1488"/>
      <c r="EZ666" s="1488"/>
      <c r="FA666" s="1488"/>
    </row>
    <row r="667" spans="1:157" ht="12.95" customHeight="1">
      <c r="A667" s="55" t="s">
        <v>763</v>
      </c>
      <c r="B667" t="s">
        <v>463</v>
      </c>
      <c r="G667" s="1416">
        <f>C639</f>
        <v>0</v>
      </c>
      <c r="H667" s="1416"/>
      <c r="I667" s="1416"/>
      <c r="J667" s="1416"/>
      <c r="K667" s="1416"/>
      <c r="L667" s="1416"/>
      <c r="M667" s="1416"/>
      <c r="N667" s="1416"/>
      <c r="O667" s="1416"/>
      <c r="P667" s="1416"/>
      <c r="Q667" s="1416"/>
      <c r="R667" s="1416"/>
      <c r="T667" s="55" t="s">
        <v>584</v>
      </c>
      <c r="U667" t="s">
        <v>463</v>
      </c>
      <c r="Z667" s="1416">
        <f>C640</f>
        <v>0</v>
      </c>
      <c r="AA667" s="1416"/>
      <c r="AB667" s="1416"/>
      <c r="AC667" s="1416"/>
      <c r="AD667" s="1416"/>
      <c r="AE667" s="1416"/>
      <c r="AF667" s="1416"/>
      <c r="AG667" s="1416"/>
      <c r="AH667" s="1416"/>
      <c r="AI667" s="1416"/>
      <c r="AJ667" s="1416"/>
      <c r="AK667" s="1416"/>
      <c r="AZ667" s="34"/>
      <c r="BA667" s="34"/>
      <c r="BB667" s="34"/>
      <c r="BC667" s="34"/>
      <c r="BD667" s="34"/>
      <c r="BE667" s="34"/>
      <c r="BF667" s="34"/>
      <c r="BG667" s="34"/>
      <c r="BH667" s="34"/>
      <c r="BI667" s="34"/>
      <c r="BJ667" s="34"/>
      <c r="BK667" s="34"/>
      <c r="BL667" s="34"/>
      <c r="BM667" s="34"/>
      <c r="DX667" s="1488" t="e">
        <f t="shared" si="4"/>
        <v>#VALUE!</v>
      </c>
      <c r="DY667" s="1488"/>
      <c r="DZ667" s="1488"/>
      <c r="EA667" s="1488"/>
      <c r="EB667" s="1488"/>
      <c r="EC667" s="1488" t="e">
        <f t="shared" si="5"/>
        <v>#VALUE!</v>
      </c>
      <c r="ED667" s="1488"/>
      <c r="EE667" s="1488"/>
      <c r="EF667" s="1488"/>
      <c r="EG667" s="1488"/>
      <c r="EH667" s="1488" t="e">
        <f t="shared" si="6"/>
        <v>#VALUE!</v>
      </c>
      <c r="EI667" s="1488"/>
      <c r="EJ667" s="1488"/>
      <c r="EK667" s="1488"/>
      <c r="EL667" s="1488"/>
      <c r="EM667" s="1488" t="e">
        <f t="shared" si="7"/>
        <v>#VALUE!</v>
      </c>
      <c r="EN667" s="1488"/>
      <c r="EO667" s="1488"/>
      <c r="EP667" s="1488"/>
      <c r="EQ667" s="1488"/>
      <c r="ER667" s="1488" t="e">
        <f t="shared" si="8"/>
        <v>#VALUE!</v>
      </c>
      <c r="ES667" s="1488"/>
      <c r="ET667" s="1488"/>
      <c r="EU667" s="1488"/>
      <c r="EV667" s="1488"/>
      <c r="EW667" s="1488" t="e">
        <f t="shared" si="9"/>
        <v>#VALUE!</v>
      </c>
      <c r="EX667" s="1488"/>
      <c r="EY667" s="1488"/>
      <c r="EZ667" s="1488"/>
      <c r="FA667" s="1488"/>
    </row>
    <row r="668" spans="1:157" ht="12.95" customHeight="1">
      <c r="A668" s="22"/>
      <c r="B668" t="s">
        <v>85</v>
      </c>
      <c r="G668" s="1417"/>
      <c r="H668" s="1417"/>
      <c r="I668" s="1417"/>
      <c r="J668" s="1417"/>
      <c r="K668" s="1417"/>
      <c r="L668" s="1417"/>
      <c r="M668" s="1417"/>
      <c r="N668" s="1417"/>
      <c r="O668" s="1417"/>
      <c r="P668" s="1417"/>
      <c r="Q668" s="1417"/>
      <c r="R668" s="1417"/>
      <c r="T668" s="22"/>
      <c r="U668" t="s">
        <v>85</v>
      </c>
      <c r="Z668" s="1417"/>
      <c r="AA668" s="1417"/>
      <c r="AB668" s="1417"/>
      <c r="AC668" s="1417"/>
      <c r="AD668" s="1417"/>
      <c r="AE668" s="1417"/>
      <c r="AF668" s="1417"/>
      <c r="AG668" s="1417"/>
      <c r="AH668" s="1417"/>
      <c r="AI668" s="1417"/>
      <c r="AJ668" s="1417"/>
      <c r="AK668" s="1417"/>
      <c r="AZ668" s="34"/>
      <c r="BA668" s="34"/>
      <c r="BB668" s="34"/>
      <c r="BC668" s="34"/>
      <c r="BD668" s="34"/>
      <c r="BE668" s="34"/>
      <c r="BF668" s="34"/>
      <c r="BG668" s="34"/>
      <c r="BH668" s="34"/>
      <c r="BI668" s="34"/>
      <c r="BJ668" s="34"/>
      <c r="BK668" s="34"/>
      <c r="BL668" s="34"/>
      <c r="BM668" s="34"/>
      <c r="DX668" s="1488" t="e">
        <f t="shared" si="4"/>
        <v>#VALUE!</v>
      </c>
      <c r="DY668" s="1488"/>
      <c r="DZ668" s="1488"/>
      <c r="EA668" s="1488"/>
      <c r="EB668" s="1488"/>
      <c r="EC668" s="1488" t="e">
        <f t="shared" si="5"/>
        <v>#VALUE!</v>
      </c>
      <c r="ED668" s="1488"/>
      <c r="EE668" s="1488"/>
      <c r="EF668" s="1488"/>
      <c r="EG668" s="1488"/>
      <c r="EH668" s="1488" t="e">
        <f t="shared" si="6"/>
        <v>#VALUE!</v>
      </c>
      <c r="EI668" s="1488"/>
      <c r="EJ668" s="1488"/>
      <c r="EK668" s="1488"/>
      <c r="EL668" s="1488"/>
      <c r="EM668" s="1488" t="e">
        <f t="shared" si="7"/>
        <v>#VALUE!</v>
      </c>
      <c r="EN668" s="1488"/>
      <c r="EO668" s="1488"/>
      <c r="EP668" s="1488"/>
      <c r="EQ668" s="1488"/>
      <c r="ER668" s="1488" t="e">
        <f t="shared" si="8"/>
        <v>#VALUE!</v>
      </c>
      <c r="ES668" s="1488"/>
      <c r="ET668" s="1488"/>
      <c r="EU668" s="1488"/>
      <c r="EV668" s="1488"/>
      <c r="EW668" s="1488" t="e">
        <f t="shared" si="9"/>
        <v>#VALUE!</v>
      </c>
      <c r="EX668" s="1488"/>
      <c r="EY668" s="1488"/>
      <c r="EZ668" s="1488"/>
      <c r="FA668" s="1488"/>
    </row>
    <row r="669" spans="1:157" ht="12.95" customHeight="1">
      <c r="A669" s="22"/>
      <c r="B669" t="s">
        <v>580</v>
      </c>
      <c r="G669" s="1417"/>
      <c r="H669" s="1417"/>
      <c r="I669" s="1417"/>
      <c r="J669" s="1417"/>
      <c r="K669" s="1417"/>
      <c r="L669" s="1417"/>
      <c r="M669" s="1417"/>
      <c r="N669" s="1417"/>
      <c r="O669" s="1417"/>
      <c r="P669" s="1417"/>
      <c r="Q669" s="1417"/>
      <c r="R669" s="1417"/>
      <c r="T669" s="22"/>
      <c r="U669" t="s">
        <v>580</v>
      </c>
      <c r="Z669" s="1419"/>
      <c r="AA669" s="1419"/>
      <c r="AB669" s="1419"/>
      <c r="AC669" s="1419"/>
      <c r="AD669" s="1419"/>
      <c r="AE669" s="1419"/>
      <c r="AF669" s="1419"/>
      <c r="AG669" s="1419"/>
      <c r="AH669" s="1419"/>
      <c r="AI669" s="1419"/>
      <c r="AJ669" s="1419"/>
      <c r="AK669" s="1419"/>
      <c r="AZ669" s="34"/>
      <c r="BA669" s="34"/>
      <c r="BB669" s="34"/>
      <c r="BC669" s="34"/>
      <c r="BD669" s="34"/>
      <c r="BE669" s="34"/>
      <c r="BF669" s="34"/>
      <c r="BG669" s="34"/>
      <c r="BH669" s="34"/>
      <c r="BI669" s="34"/>
      <c r="BJ669" s="34"/>
      <c r="BK669" s="34"/>
      <c r="BL669" s="34"/>
      <c r="BM669" s="34"/>
      <c r="DX669" s="1488" t="e">
        <f t="shared" si="4"/>
        <v>#VALUE!</v>
      </c>
      <c r="DY669" s="1488"/>
      <c r="DZ669" s="1488"/>
      <c r="EA669" s="1488"/>
      <c r="EB669" s="1488"/>
      <c r="EC669" s="1488" t="e">
        <f t="shared" si="5"/>
        <v>#VALUE!</v>
      </c>
      <c r="ED669" s="1488"/>
      <c r="EE669" s="1488"/>
      <c r="EF669" s="1488"/>
      <c r="EG669" s="1488"/>
      <c r="EH669" s="1488" t="e">
        <f t="shared" si="6"/>
        <v>#VALUE!</v>
      </c>
      <c r="EI669" s="1488"/>
      <c r="EJ669" s="1488"/>
      <c r="EK669" s="1488"/>
      <c r="EL669" s="1488"/>
      <c r="EM669" s="1488" t="e">
        <f t="shared" si="7"/>
        <v>#VALUE!</v>
      </c>
      <c r="EN669" s="1488"/>
      <c r="EO669" s="1488"/>
      <c r="EP669" s="1488"/>
      <c r="EQ669" s="1488"/>
      <c r="ER669" s="1488" t="e">
        <f t="shared" si="8"/>
        <v>#VALUE!</v>
      </c>
      <c r="ES669" s="1488"/>
      <c r="ET669" s="1488"/>
      <c r="EU669" s="1488"/>
      <c r="EV669" s="1488"/>
      <c r="EW669" s="1488" t="e">
        <f t="shared" si="9"/>
        <v>#VALUE!</v>
      </c>
      <c r="EX669" s="1488"/>
      <c r="EY669" s="1488"/>
      <c r="EZ669" s="1488"/>
      <c r="FA669" s="1488"/>
    </row>
    <row r="670" spans="1:157" ht="12.95" customHeight="1">
      <c r="A670" s="22"/>
      <c r="B670" t="s">
        <v>17</v>
      </c>
      <c r="G670" s="1417"/>
      <c r="H670" s="1417"/>
      <c r="I670" s="1417"/>
      <c r="J670" s="1417"/>
      <c r="K670" s="1417"/>
      <c r="L670" s="1417"/>
      <c r="M670" s="1417"/>
      <c r="N670" s="1417"/>
      <c r="O670" s="1417"/>
      <c r="P670" s="1417"/>
      <c r="Q670" s="1417"/>
      <c r="R670" s="1417"/>
      <c r="T670" s="22"/>
      <c r="U670" t="s">
        <v>17</v>
      </c>
      <c r="Z670" s="1419"/>
      <c r="AA670" s="1419"/>
      <c r="AB670" s="1419"/>
      <c r="AC670" s="1419"/>
      <c r="AD670" s="1419"/>
      <c r="AE670" s="1419"/>
      <c r="AF670" s="1419"/>
      <c r="AG670" s="1419"/>
      <c r="AH670" s="1419"/>
      <c r="AI670" s="1419"/>
      <c r="AJ670" s="1419"/>
      <c r="AK670" s="141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88" t="e">
        <f t="shared" si="4"/>
        <v>#VALUE!</v>
      </c>
      <c r="DY670" s="1488"/>
      <c r="DZ670" s="1488"/>
      <c r="EA670" s="1488"/>
      <c r="EB670" s="1488"/>
      <c r="EC670" s="1488" t="e">
        <f t="shared" si="5"/>
        <v>#VALUE!</v>
      </c>
      <c r="ED670" s="1488"/>
      <c r="EE670" s="1488"/>
      <c r="EF670" s="1488"/>
      <c r="EG670" s="1488"/>
      <c r="EH670" s="1488" t="e">
        <f t="shared" si="6"/>
        <v>#VALUE!</v>
      </c>
      <c r="EI670" s="1488"/>
      <c r="EJ670" s="1488"/>
      <c r="EK670" s="1488"/>
      <c r="EL670" s="1488"/>
      <c r="EM670" s="1488" t="e">
        <f t="shared" si="7"/>
        <v>#VALUE!</v>
      </c>
      <c r="EN670" s="1488"/>
      <c r="EO670" s="1488"/>
      <c r="EP670" s="1488"/>
      <c r="EQ670" s="1488"/>
      <c r="ER670" s="1488" t="e">
        <f t="shared" si="8"/>
        <v>#VALUE!</v>
      </c>
      <c r="ES670" s="1488"/>
      <c r="ET670" s="1488"/>
      <c r="EU670" s="1488"/>
      <c r="EV670" s="1488"/>
      <c r="EW670" s="1488" t="e">
        <f t="shared" si="9"/>
        <v>#VALUE!</v>
      </c>
      <c r="EX670" s="1488"/>
      <c r="EY670" s="1488"/>
      <c r="EZ670" s="1488"/>
      <c r="FA670" s="1488"/>
    </row>
    <row r="671" spans="1:157" ht="12.95" customHeight="1">
      <c r="A671" s="22"/>
      <c r="B671" t="s">
        <v>316</v>
      </c>
      <c r="G671" s="1415"/>
      <c r="H671" s="1415"/>
      <c r="I671" s="1415"/>
      <c r="J671" s="1415"/>
      <c r="K671" s="1415"/>
      <c r="L671" s="1415"/>
      <c r="O671" s="33" t="s">
        <v>206</v>
      </c>
      <c r="P671" s="1418"/>
      <c r="Q671" s="1418"/>
      <c r="R671" s="1418"/>
      <c r="T671" s="22"/>
      <c r="U671" t="s">
        <v>316</v>
      </c>
      <c r="Z671" s="1415"/>
      <c r="AA671" s="1415"/>
      <c r="AB671" s="1415"/>
      <c r="AC671" s="1415"/>
      <c r="AD671" s="1415"/>
      <c r="AE671" s="1415"/>
      <c r="AH671" s="33" t="s">
        <v>206</v>
      </c>
      <c r="AI671" s="1418"/>
      <c r="AJ671" s="1418"/>
      <c r="AK671" s="141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88" t="e">
        <f t="shared" si="4"/>
        <v>#VALUE!</v>
      </c>
      <c r="DY671" s="1488"/>
      <c r="DZ671" s="1488"/>
      <c r="EA671" s="1488"/>
      <c r="EB671" s="1488"/>
      <c r="EC671" s="1488" t="e">
        <f t="shared" si="5"/>
        <v>#VALUE!</v>
      </c>
      <c r="ED671" s="1488"/>
      <c r="EE671" s="1488"/>
      <c r="EF671" s="1488"/>
      <c r="EG671" s="1488"/>
      <c r="EH671" s="1488" t="e">
        <f t="shared" si="6"/>
        <v>#VALUE!</v>
      </c>
      <c r="EI671" s="1488"/>
      <c r="EJ671" s="1488"/>
      <c r="EK671" s="1488"/>
      <c r="EL671" s="1488"/>
      <c r="EM671" s="1488" t="e">
        <f t="shared" si="7"/>
        <v>#VALUE!</v>
      </c>
      <c r="EN671" s="1488"/>
      <c r="EO671" s="1488"/>
      <c r="EP671" s="1488"/>
      <c r="EQ671" s="1488"/>
      <c r="ER671" s="1488" t="e">
        <f t="shared" si="8"/>
        <v>#VALUE!</v>
      </c>
      <c r="ES671" s="1488"/>
      <c r="ET671" s="1488"/>
      <c r="EU671" s="1488"/>
      <c r="EV671" s="1488"/>
      <c r="EW671" s="1488" t="e">
        <f t="shared" si="9"/>
        <v>#VALUE!</v>
      </c>
      <c r="EX671" s="1488"/>
      <c r="EY671" s="1488"/>
      <c r="EZ671" s="1488"/>
      <c r="FA671" s="1488"/>
    </row>
    <row r="672" spans="1:157" ht="12.95" customHeight="1">
      <c r="A672" s="22"/>
      <c r="B672" t="s">
        <v>18</v>
      </c>
      <c r="H672" s="1417"/>
      <c r="I672" s="1417"/>
      <c r="J672" s="1417"/>
      <c r="K672" s="1417"/>
      <c r="L672" s="1417"/>
      <c r="M672" s="1417"/>
      <c r="N672" s="1417"/>
      <c r="O672" s="1417"/>
      <c r="P672" s="1417"/>
      <c r="Q672" s="1417"/>
      <c r="R672" s="1417"/>
      <c r="T672" s="22"/>
      <c r="U672" t="s">
        <v>18</v>
      </c>
      <c r="AA672" s="1417"/>
      <c r="AB672" s="1417"/>
      <c r="AC672" s="1417"/>
      <c r="AD672" s="1417"/>
      <c r="AE672" s="1417"/>
      <c r="AF672" s="1417"/>
      <c r="AG672" s="1417"/>
      <c r="AH672" s="1417"/>
      <c r="AI672" s="1417"/>
      <c r="AJ672" s="1417"/>
      <c r="AK672" s="1417"/>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88" t="e">
        <f t="shared" si="4"/>
        <v>#VALUE!</v>
      </c>
      <c r="DY672" s="1488"/>
      <c r="DZ672" s="1488"/>
      <c r="EA672" s="1488"/>
      <c r="EB672" s="1488"/>
      <c r="EC672" s="1488" t="e">
        <f t="shared" si="5"/>
        <v>#VALUE!</v>
      </c>
      <c r="ED672" s="1488"/>
      <c r="EE672" s="1488"/>
      <c r="EF672" s="1488"/>
      <c r="EG672" s="1488"/>
      <c r="EH672" s="1488" t="e">
        <f t="shared" si="6"/>
        <v>#VALUE!</v>
      </c>
      <c r="EI672" s="1488"/>
      <c r="EJ672" s="1488"/>
      <c r="EK672" s="1488"/>
      <c r="EL672" s="1488"/>
      <c r="EM672" s="1488" t="e">
        <f t="shared" si="7"/>
        <v>#VALUE!</v>
      </c>
      <c r="EN672" s="1488"/>
      <c r="EO672" s="1488"/>
      <c r="EP672" s="1488"/>
      <c r="EQ672" s="1488"/>
      <c r="ER672" s="1488" t="e">
        <f t="shared" si="8"/>
        <v>#VALUE!</v>
      </c>
      <c r="ES672" s="1488"/>
      <c r="ET672" s="1488"/>
      <c r="EU672" s="1488"/>
      <c r="EV672" s="1488"/>
      <c r="EW672" s="1488" t="e">
        <f t="shared" si="9"/>
        <v>#VALUE!</v>
      </c>
      <c r="EX672" s="1488"/>
      <c r="EY672" s="1488"/>
      <c r="EZ672" s="1488"/>
      <c r="FA672" s="1488"/>
    </row>
    <row r="673" spans="1:157" ht="12.95" customHeight="1">
      <c r="A673" s="22"/>
      <c r="B673" t="s">
        <v>20</v>
      </c>
      <c r="N673" s="1266" t="s">
        <v>669</v>
      </c>
      <c r="O673" s="1266"/>
      <c r="T673" s="22"/>
      <c r="U673" t="s">
        <v>20</v>
      </c>
      <c r="AG673" s="1266" t="s">
        <v>669</v>
      </c>
      <c r="AH673" s="126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88" t="e">
        <f t="shared" si="4"/>
        <v>#VALUE!</v>
      </c>
      <c r="DY673" s="1488"/>
      <c r="DZ673" s="1488"/>
      <c r="EA673" s="1488"/>
      <c r="EB673" s="1488"/>
      <c r="EC673" s="1488" t="e">
        <f t="shared" si="5"/>
        <v>#VALUE!</v>
      </c>
      <c r="ED673" s="1488"/>
      <c r="EE673" s="1488"/>
      <c r="EF673" s="1488"/>
      <c r="EG673" s="1488"/>
      <c r="EH673" s="1488" t="e">
        <f t="shared" si="6"/>
        <v>#VALUE!</v>
      </c>
      <c r="EI673" s="1488"/>
      <c r="EJ673" s="1488"/>
      <c r="EK673" s="1488"/>
      <c r="EL673" s="1488"/>
      <c r="EM673" s="1488" t="e">
        <f t="shared" si="7"/>
        <v>#VALUE!</v>
      </c>
      <c r="EN673" s="1488"/>
      <c r="EO673" s="1488"/>
      <c r="EP673" s="1488"/>
      <c r="EQ673" s="1488"/>
      <c r="ER673" s="1488" t="e">
        <f t="shared" si="8"/>
        <v>#VALUE!</v>
      </c>
      <c r="ES673" s="1488"/>
      <c r="ET673" s="1488"/>
      <c r="EU673" s="1488"/>
      <c r="EV673" s="1488"/>
      <c r="EW673" s="1488" t="e">
        <f t="shared" si="9"/>
        <v>#VALUE!</v>
      </c>
      <c r="EX673" s="1488"/>
      <c r="EY673" s="1488"/>
      <c r="EZ673" s="1488"/>
      <c r="FA673" s="1488"/>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88" t="e">
        <f t="shared" si="4"/>
        <v>#VALUE!</v>
      </c>
      <c r="DY674" s="1488"/>
      <c r="DZ674" s="1488"/>
      <c r="EA674" s="1488"/>
      <c r="EB674" s="1488"/>
      <c r="EC674" s="1488" t="e">
        <f t="shared" si="5"/>
        <v>#VALUE!</v>
      </c>
      <c r="ED674" s="1488"/>
      <c r="EE674" s="1488"/>
      <c r="EF674" s="1488"/>
      <c r="EG674" s="1488"/>
      <c r="EH674" s="1488" t="e">
        <f t="shared" si="6"/>
        <v>#VALUE!</v>
      </c>
      <c r="EI674" s="1488"/>
      <c r="EJ674" s="1488"/>
      <c r="EK674" s="1488"/>
      <c r="EL674" s="1488"/>
      <c r="EM674" s="1488" t="e">
        <f t="shared" si="7"/>
        <v>#VALUE!</v>
      </c>
      <c r="EN674" s="1488"/>
      <c r="EO674" s="1488"/>
      <c r="EP674" s="1488"/>
      <c r="EQ674" s="1488"/>
      <c r="ER674" s="1488" t="e">
        <f t="shared" si="8"/>
        <v>#VALUE!</v>
      </c>
      <c r="ES674" s="1488"/>
      <c r="ET674" s="1488"/>
      <c r="EU674" s="1488"/>
      <c r="EV674" s="1488"/>
      <c r="EW674" s="1488" t="e">
        <f t="shared" si="9"/>
        <v>#VALUE!</v>
      </c>
      <c r="EX674" s="1488"/>
      <c r="EY674" s="1488"/>
      <c r="EZ674" s="1488"/>
      <c r="FA674" s="1488"/>
    </row>
    <row r="675" spans="1:157" ht="12.95" customHeight="1">
      <c r="A675" s="55" t="s">
        <v>455</v>
      </c>
      <c r="B675" t="s">
        <v>463</v>
      </c>
      <c r="G675" s="1416">
        <f>C641</f>
        <v>0</v>
      </c>
      <c r="H675" s="1416"/>
      <c r="I675" s="1416"/>
      <c r="J675" s="1416"/>
      <c r="K675" s="1416"/>
      <c r="L675" s="1416"/>
      <c r="M675" s="1416"/>
      <c r="N675" s="1416"/>
      <c r="O675" s="1416"/>
      <c r="P675" s="1416"/>
      <c r="Q675" s="1416"/>
      <c r="R675" s="1416"/>
      <c r="T675" s="55" t="s">
        <v>456</v>
      </c>
      <c r="U675" t="s">
        <v>463</v>
      </c>
      <c r="Z675" s="1416">
        <f>C642</f>
        <v>0</v>
      </c>
      <c r="AA675" s="1416"/>
      <c r="AB675" s="1416"/>
      <c r="AC675" s="1416"/>
      <c r="AD675" s="1416"/>
      <c r="AE675" s="1416"/>
      <c r="AF675" s="1416"/>
      <c r="AG675" s="1416"/>
      <c r="AH675" s="1416"/>
      <c r="AI675" s="1416"/>
      <c r="AJ675" s="1416"/>
      <c r="AK675" s="1416"/>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88" t="e">
        <f t="shared" si="4"/>
        <v>#VALUE!</v>
      </c>
      <c r="DY675" s="1488"/>
      <c r="DZ675" s="1488"/>
      <c r="EA675" s="1488"/>
      <c r="EB675" s="1488"/>
      <c r="EC675" s="1488" t="e">
        <f t="shared" si="5"/>
        <v>#VALUE!</v>
      </c>
      <c r="ED675" s="1488"/>
      <c r="EE675" s="1488"/>
      <c r="EF675" s="1488"/>
      <c r="EG675" s="1488"/>
      <c r="EH675" s="1488" t="e">
        <f t="shared" si="6"/>
        <v>#VALUE!</v>
      </c>
      <c r="EI675" s="1488"/>
      <c r="EJ675" s="1488"/>
      <c r="EK675" s="1488"/>
      <c r="EL675" s="1488"/>
      <c r="EM675" s="1488" t="e">
        <f t="shared" si="7"/>
        <v>#VALUE!</v>
      </c>
      <c r="EN675" s="1488"/>
      <c r="EO675" s="1488"/>
      <c r="EP675" s="1488"/>
      <c r="EQ675" s="1488"/>
      <c r="ER675" s="1488" t="e">
        <f t="shared" si="8"/>
        <v>#VALUE!</v>
      </c>
      <c r="ES675" s="1488"/>
      <c r="ET675" s="1488"/>
      <c r="EU675" s="1488"/>
      <c r="EV675" s="1488"/>
      <c r="EW675" s="1488" t="e">
        <f t="shared" si="9"/>
        <v>#VALUE!</v>
      </c>
      <c r="EX675" s="1488"/>
      <c r="EY675" s="1488"/>
      <c r="EZ675" s="1488"/>
      <c r="FA675" s="1488"/>
    </row>
    <row r="676" spans="1:157" ht="12.95" customHeight="1">
      <c r="A676" s="22"/>
      <c r="B676" t="s">
        <v>85</v>
      </c>
      <c r="G676" s="1417"/>
      <c r="H676" s="1417"/>
      <c r="I676" s="1417"/>
      <c r="J676" s="1417"/>
      <c r="K676" s="1417"/>
      <c r="L676" s="1417"/>
      <c r="M676" s="1417"/>
      <c r="N676" s="1417"/>
      <c r="O676" s="1417"/>
      <c r="P676" s="1417"/>
      <c r="Q676" s="1417"/>
      <c r="R676" s="1417"/>
      <c r="T676" s="22"/>
      <c r="U676" t="s">
        <v>85</v>
      </c>
      <c r="Z676" s="1417"/>
      <c r="AA676" s="1417"/>
      <c r="AB676" s="1417"/>
      <c r="AC676" s="1417"/>
      <c r="AD676" s="1417"/>
      <c r="AE676" s="1417"/>
      <c r="AF676" s="1417"/>
      <c r="AG676" s="1417"/>
      <c r="AH676" s="1417"/>
      <c r="AI676" s="1417"/>
      <c r="AJ676" s="1417"/>
      <c r="AK676" s="1417"/>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88" t="e">
        <f t="shared" si="4"/>
        <v>#VALUE!</v>
      </c>
      <c r="DY676" s="1488"/>
      <c r="DZ676" s="1488"/>
      <c r="EA676" s="1488"/>
      <c r="EB676" s="1488"/>
      <c r="EC676" s="1488" t="e">
        <f t="shared" si="5"/>
        <v>#VALUE!</v>
      </c>
      <c r="ED676" s="1488"/>
      <c r="EE676" s="1488"/>
      <c r="EF676" s="1488"/>
      <c r="EG676" s="1488"/>
      <c r="EH676" s="1488" t="e">
        <f t="shared" si="6"/>
        <v>#VALUE!</v>
      </c>
      <c r="EI676" s="1488"/>
      <c r="EJ676" s="1488"/>
      <c r="EK676" s="1488"/>
      <c r="EL676" s="1488"/>
      <c r="EM676" s="1488" t="e">
        <f t="shared" si="7"/>
        <v>#VALUE!</v>
      </c>
      <c r="EN676" s="1488"/>
      <c r="EO676" s="1488"/>
      <c r="EP676" s="1488"/>
      <c r="EQ676" s="1488"/>
      <c r="ER676" s="1488" t="e">
        <f t="shared" si="8"/>
        <v>#VALUE!</v>
      </c>
      <c r="ES676" s="1488"/>
      <c r="ET676" s="1488"/>
      <c r="EU676" s="1488"/>
      <c r="EV676" s="1488"/>
      <c r="EW676" s="1488" t="e">
        <f t="shared" si="9"/>
        <v>#VALUE!</v>
      </c>
      <c r="EX676" s="1488"/>
      <c r="EY676" s="1488"/>
      <c r="EZ676" s="1488"/>
      <c r="FA676" s="1488"/>
    </row>
    <row r="677" spans="1:157" ht="12.95" customHeight="1">
      <c r="A677" s="22"/>
      <c r="B677" t="s">
        <v>580</v>
      </c>
      <c r="G677" s="1417"/>
      <c r="H677" s="1417"/>
      <c r="I677" s="1417"/>
      <c r="J677" s="1417"/>
      <c r="K677" s="1417"/>
      <c r="L677" s="1417"/>
      <c r="M677" s="1417"/>
      <c r="N677" s="1417"/>
      <c r="O677" s="1417"/>
      <c r="P677" s="1417"/>
      <c r="Q677" s="1417"/>
      <c r="R677" s="1417"/>
      <c r="T677" s="22"/>
      <c r="U677" t="s">
        <v>580</v>
      </c>
      <c r="Z677" s="1419"/>
      <c r="AA677" s="1419"/>
      <c r="AB677" s="1419"/>
      <c r="AC677" s="1419"/>
      <c r="AD677" s="1419"/>
      <c r="AE677" s="1419"/>
      <c r="AF677" s="1419"/>
      <c r="AG677" s="1419"/>
      <c r="AH677" s="1419"/>
      <c r="AI677" s="1419"/>
      <c r="AJ677" s="1419"/>
      <c r="AK677" s="141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88" t="e">
        <f t="shared" si="4"/>
        <v>#VALUE!</v>
      </c>
      <c r="DY677" s="1488"/>
      <c r="DZ677" s="1488"/>
      <c r="EA677" s="1488"/>
      <c r="EB677" s="1488"/>
      <c r="EC677" s="1488" t="e">
        <f t="shared" si="5"/>
        <v>#VALUE!</v>
      </c>
      <c r="ED677" s="1488"/>
      <c r="EE677" s="1488"/>
      <c r="EF677" s="1488"/>
      <c r="EG677" s="1488"/>
      <c r="EH677" s="1488" t="e">
        <f t="shared" si="6"/>
        <v>#VALUE!</v>
      </c>
      <c r="EI677" s="1488"/>
      <c r="EJ677" s="1488"/>
      <c r="EK677" s="1488"/>
      <c r="EL677" s="1488"/>
      <c r="EM677" s="1488" t="e">
        <f t="shared" si="7"/>
        <v>#VALUE!</v>
      </c>
      <c r="EN677" s="1488"/>
      <c r="EO677" s="1488"/>
      <c r="EP677" s="1488"/>
      <c r="EQ677" s="1488"/>
      <c r="ER677" s="1488" t="e">
        <f t="shared" si="8"/>
        <v>#VALUE!</v>
      </c>
      <c r="ES677" s="1488"/>
      <c r="ET677" s="1488"/>
      <c r="EU677" s="1488"/>
      <c r="EV677" s="1488"/>
      <c r="EW677" s="1488" t="e">
        <f t="shared" si="9"/>
        <v>#VALUE!</v>
      </c>
      <c r="EX677" s="1488"/>
      <c r="EY677" s="1488"/>
      <c r="EZ677" s="1488"/>
      <c r="FA677" s="1488"/>
    </row>
    <row r="678" spans="1:157" ht="12.95" customHeight="1">
      <c r="A678" s="22"/>
      <c r="B678" t="s">
        <v>17</v>
      </c>
      <c r="G678" s="1417"/>
      <c r="H678" s="1417"/>
      <c r="I678" s="1417"/>
      <c r="J678" s="1417"/>
      <c r="K678" s="1417"/>
      <c r="L678" s="1417"/>
      <c r="M678" s="1417"/>
      <c r="N678" s="1417"/>
      <c r="O678" s="1417"/>
      <c r="P678" s="1417"/>
      <c r="Q678" s="1417"/>
      <c r="R678" s="1417"/>
      <c r="T678" s="22"/>
      <c r="U678" t="s">
        <v>17</v>
      </c>
      <c r="Z678" s="1419"/>
      <c r="AA678" s="1419"/>
      <c r="AB678" s="1419"/>
      <c r="AC678" s="1419"/>
      <c r="AD678" s="1419"/>
      <c r="AE678" s="1419"/>
      <c r="AF678" s="1419"/>
      <c r="AG678" s="1419"/>
      <c r="AH678" s="1419"/>
      <c r="AI678" s="1419"/>
      <c r="AJ678" s="1419"/>
      <c r="AK678" s="141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88">
        <f>SUMIF(DX643:EB677,"&gt;0")</f>
        <v>1325</v>
      </c>
      <c r="DY678" s="1488"/>
      <c r="DZ678" s="1488"/>
      <c r="EA678" s="1488"/>
      <c r="EB678" s="1488"/>
      <c r="EC678" s="1488">
        <f>SUMIF(EC643:EG677,"&gt;0")</f>
        <v>1742.3783783783786</v>
      </c>
      <c r="ED678" s="1488"/>
      <c r="EE678" s="1488"/>
      <c r="EF678" s="1488"/>
      <c r="EG678" s="1488"/>
      <c r="EH678" s="1488">
        <f>SUMIF(EH643:EL677,"&gt;0")</f>
        <v>2092.8571428571431</v>
      </c>
      <c r="EI678" s="1488"/>
      <c r="EJ678" s="1488"/>
      <c r="EK678" s="1488"/>
      <c r="EL678" s="1488"/>
      <c r="EM678" s="1488">
        <f>SUMIF(EM643:EQ677,"&gt;0")</f>
        <v>2419.0571428571429</v>
      </c>
      <c r="EN678" s="1488"/>
      <c r="EO678" s="1488"/>
      <c r="EP678" s="1488"/>
      <c r="EQ678" s="1488"/>
      <c r="ER678" s="1488">
        <f>SUMIF(ER643:EV677,"&gt;0")</f>
        <v>0</v>
      </c>
      <c r="ES678" s="1488"/>
      <c r="ET678" s="1488"/>
      <c r="EU678" s="1488"/>
      <c r="EV678" s="1488"/>
      <c r="EW678" s="1488">
        <f>SUMIF(EW643:FA677,"&gt;0")</f>
        <v>0</v>
      </c>
      <c r="EX678" s="1488"/>
      <c r="EY678" s="1488"/>
      <c r="EZ678" s="1488"/>
      <c r="FA678" s="1488"/>
    </row>
    <row r="679" spans="1:157" ht="12.95" customHeight="1">
      <c r="A679" s="22"/>
      <c r="B679" t="s">
        <v>316</v>
      </c>
      <c r="G679" s="1415"/>
      <c r="H679" s="1415"/>
      <c r="I679" s="1415"/>
      <c r="J679" s="1415"/>
      <c r="K679" s="1415"/>
      <c r="L679" s="1415"/>
      <c r="O679" s="33" t="s">
        <v>206</v>
      </c>
      <c r="P679" s="1418"/>
      <c r="Q679" s="1418"/>
      <c r="R679" s="1418"/>
      <c r="T679" s="22"/>
      <c r="U679" t="s">
        <v>316</v>
      </c>
      <c r="Z679" s="1415"/>
      <c r="AA679" s="1415"/>
      <c r="AB679" s="1415"/>
      <c r="AC679" s="1415"/>
      <c r="AD679" s="1415"/>
      <c r="AE679" s="1415"/>
      <c r="AH679" s="33" t="s">
        <v>206</v>
      </c>
      <c r="AI679" s="1418"/>
      <c r="AJ679" s="1418"/>
      <c r="AK679" s="141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17"/>
      <c r="I680" s="1417"/>
      <c r="J680" s="1417"/>
      <c r="K680" s="1417"/>
      <c r="L680" s="1417"/>
      <c r="M680" s="1417"/>
      <c r="N680" s="1417"/>
      <c r="O680" s="1417"/>
      <c r="P680" s="1417"/>
      <c r="Q680" s="1417"/>
      <c r="R680" s="1417"/>
      <c r="T680" s="22"/>
      <c r="U680" t="s">
        <v>18</v>
      </c>
      <c r="AA680" s="1417"/>
      <c r="AB680" s="1417"/>
      <c r="AC680" s="1417"/>
      <c r="AD680" s="1417"/>
      <c r="AE680" s="1417"/>
      <c r="AF680" s="1417"/>
      <c r="AG680" s="1417"/>
      <c r="AH680" s="1417"/>
      <c r="AI680" s="1417"/>
      <c r="AJ680" s="1417"/>
      <c r="AK680" s="1417"/>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266" t="s">
        <v>669</v>
      </c>
      <c r="O681" s="1266"/>
      <c r="T681" s="22"/>
      <c r="U681" t="s">
        <v>20</v>
      </c>
      <c r="AG681" s="1266" t="s">
        <v>669</v>
      </c>
      <c r="AH681" s="1266"/>
      <c r="AZ681" s="3"/>
    </row>
    <row r="682" spans="1:157" ht="12.95" customHeight="1">
      <c r="A682" s="22"/>
      <c r="T682" s="22"/>
      <c r="AZ682" s="3"/>
    </row>
    <row r="683" spans="1:157" ht="12.95" customHeight="1">
      <c r="A683" s="55" t="s">
        <v>461</v>
      </c>
      <c r="B683" t="s">
        <v>463</v>
      </c>
      <c r="G683" s="1416">
        <f>C643</f>
        <v>0</v>
      </c>
      <c r="H683" s="1416"/>
      <c r="I683" s="1416"/>
      <c r="J683" s="1416"/>
      <c r="K683" s="1416"/>
      <c r="L683" s="1416"/>
      <c r="M683" s="1416"/>
      <c r="N683" s="1416"/>
      <c r="O683" s="1416"/>
      <c r="P683" s="1416"/>
      <c r="Q683" s="1416"/>
      <c r="R683" s="1416"/>
      <c r="T683" s="55" t="s">
        <v>646</v>
      </c>
      <c r="U683" t="s">
        <v>463</v>
      </c>
      <c r="Z683" s="1416">
        <f>C644</f>
        <v>0</v>
      </c>
      <c r="AA683" s="1416"/>
      <c r="AB683" s="1416"/>
      <c r="AC683" s="1416"/>
      <c r="AD683" s="1416"/>
      <c r="AE683" s="1416"/>
      <c r="AF683" s="1416"/>
      <c r="AG683" s="1416"/>
      <c r="AH683" s="1416"/>
      <c r="AI683" s="1416"/>
      <c r="AJ683" s="1416"/>
      <c r="AK683" s="1416"/>
      <c r="AZ683" s="3"/>
    </row>
    <row r="684" spans="1:157" ht="12.95" customHeight="1">
      <c r="A684" s="22"/>
      <c r="B684" t="s">
        <v>85</v>
      </c>
      <c r="G684" s="1417"/>
      <c r="H684" s="1417"/>
      <c r="I684" s="1417"/>
      <c r="J684" s="1417"/>
      <c r="K684" s="1417"/>
      <c r="L684" s="1417"/>
      <c r="M684" s="1417"/>
      <c r="N684" s="1417"/>
      <c r="O684" s="1417"/>
      <c r="P684" s="1417"/>
      <c r="Q684" s="1417"/>
      <c r="R684" s="1417"/>
      <c r="T684" s="22"/>
      <c r="U684" t="s">
        <v>85</v>
      </c>
      <c r="Z684" s="1417"/>
      <c r="AA684" s="1417"/>
      <c r="AB684" s="1417"/>
      <c r="AC684" s="1417"/>
      <c r="AD684" s="1417"/>
      <c r="AE684" s="1417"/>
      <c r="AF684" s="1417"/>
      <c r="AG684" s="1417"/>
      <c r="AH684" s="1417"/>
      <c r="AI684" s="1417"/>
      <c r="AJ684" s="1417"/>
      <c r="AK684" s="1417"/>
      <c r="AZ684" s="3"/>
    </row>
    <row r="685" spans="1:157" ht="12.95" customHeight="1">
      <c r="A685" s="22"/>
      <c r="B685" t="s">
        <v>580</v>
      </c>
      <c r="G685" s="1417"/>
      <c r="H685" s="1417"/>
      <c r="I685" s="1417"/>
      <c r="J685" s="1417"/>
      <c r="K685" s="1417"/>
      <c r="L685" s="1417"/>
      <c r="M685" s="1417"/>
      <c r="N685" s="1417"/>
      <c r="O685" s="1417"/>
      <c r="P685" s="1417"/>
      <c r="Q685" s="1417"/>
      <c r="R685" s="1417"/>
      <c r="T685" s="22"/>
      <c r="U685" t="s">
        <v>580</v>
      </c>
      <c r="Z685" s="1419"/>
      <c r="AA685" s="1419"/>
      <c r="AB685" s="1419"/>
      <c r="AC685" s="1419"/>
      <c r="AD685" s="1419"/>
      <c r="AE685" s="1419"/>
      <c r="AF685" s="1419"/>
      <c r="AG685" s="1419"/>
      <c r="AH685" s="1419"/>
      <c r="AI685" s="1419"/>
      <c r="AJ685" s="1419"/>
      <c r="AK685" s="1419"/>
      <c r="AZ685" s="3"/>
    </row>
    <row r="686" spans="1:157" ht="12.95" customHeight="1">
      <c r="A686" s="22"/>
      <c r="B686" t="s">
        <v>17</v>
      </c>
      <c r="G686" s="1417"/>
      <c r="H686" s="1417"/>
      <c r="I686" s="1417"/>
      <c r="J686" s="1417"/>
      <c r="K686" s="1417"/>
      <c r="L686" s="1417"/>
      <c r="M686" s="1417"/>
      <c r="N686" s="1417"/>
      <c r="O686" s="1417"/>
      <c r="P686" s="1417"/>
      <c r="Q686" s="1417"/>
      <c r="R686" s="1417"/>
      <c r="T686" s="22"/>
      <c r="U686" t="s">
        <v>17</v>
      </c>
      <c r="Z686" s="1419"/>
      <c r="AA686" s="1419"/>
      <c r="AB686" s="1419"/>
      <c r="AC686" s="1419"/>
      <c r="AD686" s="1419"/>
      <c r="AE686" s="1419"/>
      <c r="AF686" s="1419"/>
      <c r="AG686" s="1419"/>
      <c r="AH686" s="1419"/>
      <c r="AI686" s="1419"/>
      <c r="AJ686" s="1419"/>
      <c r="AK686" s="1419"/>
      <c r="AZ686" s="3"/>
    </row>
    <row r="687" spans="1:157" ht="12.95" customHeight="1">
      <c r="A687" s="22"/>
      <c r="B687" t="s">
        <v>316</v>
      </c>
      <c r="G687" s="1415"/>
      <c r="H687" s="1415"/>
      <c r="I687" s="1415"/>
      <c r="J687" s="1415"/>
      <c r="K687" s="1415"/>
      <c r="L687" s="1415"/>
      <c r="O687" s="33" t="s">
        <v>206</v>
      </c>
      <c r="P687" s="1418"/>
      <c r="Q687" s="1418"/>
      <c r="R687" s="1418"/>
      <c r="T687" s="22"/>
      <c r="U687" t="s">
        <v>316</v>
      </c>
      <c r="Z687" s="1415"/>
      <c r="AA687" s="1415"/>
      <c r="AB687" s="1415"/>
      <c r="AC687" s="1415"/>
      <c r="AD687" s="1415"/>
      <c r="AE687" s="1415"/>
      <c r="AH687" s="33" t="s">
        <v>206</v>
      </c>
      <c r="AI687" s="1418"/>
      <c r="AJ687" s="1418"/>
      <c r="AK687" s="1418"/>
      <c r="AZ687" s="3"/>
    </row>
    <row r="688" spans="1:157" ht="12.95" customHeight="1">
      <c r="A688" s="22"/>
      <c r="B688" t="s">
        <v>18</v>
      </c>
      <c r="H688" s="1417"/>
      <c r="I688" s="1417"/>
      <c r="J688" s="1417"/>
      <c r="K688" s="1417"/>
      <c r="L688" s="1417"/>
      <c r="M688" s="1417"/>
      <c r="N688" s="1417"/>
      <c r="O688" s="1417"/>
      <c r="P688" s="1417"/>
      <c r="Q688" s="1417"/>
      <c r="R688" s="1417"/>
      <c r="T688" s="22"/>
      <c r="U688" t="s">
        <v>18</v>
      </c>
      <c r="AA688" s="1417"/>
      <c r="AB688" s="1417"/>
      <c r="AC688" s="1417"/>
      <c r="AD688" s="1417"/>
      <c r="AE688" s="1417"/>
      <c r="AF688" s="1417"/>
      <c r="AG688" s="1417"/>
      <c r="AH688" s="1417"/>
      <c r="AI688" s="1417"/>
      <c r="AJ688" s="1417"/>
      <c r="AK688" s="1417"/>
      <c r="AZ688" s="3"/>
    </row>
    <row r="689" spans="1:52" ht="12.95" customHeight="1">
      <c r="A689" s="22"/>
      <c r="B689" t="s">
        <v>20</v>
      </c>
      <c r="N689" s="1266" t="s">
        <v>669</v>
      </c>
      <c r="O689" s="1266"/>
      <c r="T689" s="22"/>
      <c r="U689" t="s">
        <v>20</v>
      </c>
      <c r="AG689" s="1266" t="s">
        <v>669</v>
      </c>
      <c r="AH689" s="1266"/>
      <c r="AZ689" s="3"/>
    </row>
    <row r="690" spans="1:52" ht="12.95" customHeight="1">
      <c r="A690" s="22"/>
      <c r="T690" s="22"/>
      <c r="AZ690" s="3"/>
    </row>
    <row r="691" spans="1:52" ht="12.95" customHeight="1">
      <c r="A691" s="55" t="s">
        <v>362</v>
      </c>
      <c r="B691" t="s">
        <v>463</v>
      </c>
      <c r="G691" s="1416">
        <f>C645</f>
        <v>0</v>
      </c>
      <c r="H691" s="1416"/>
      <c r="I691" s="1416"/>
      <c r="J691" s="1416"/>
      <c r="K691" s="1416"/>
      <c r="L691" s="1416"/>
      <c r="M691" s="1416"/>
      <c r="N691" s="1416"/>
      <c r="O691" s="1416"/>
      <c r="P691" s="1416"/>
      <c r="Q691" s="1416"/>
      <c r="R691" s="1416"/>
      <c r="T691" s="55" t="s">
        <v>363</v>
      </c>
      <c r="U691" t="s">
        <v>463</v>
      </c>
      <c r="Z691" s="1416">
        <f>C646</f>
        <v>0</v>
      </c>
      <c r="AA691" s="1416"/>
      <c r="AB691" s="1416"/>
      <c r="AC691" s="1416"/>
      <c r="AD691" s="1416"/>
      <c r="AE691" s="1416"/>
      <c r="AF691" s="1416"/>
      <c r="AG691" s="1416"/>
      <c r="AH691" s="1416"/>
      <c r="AI691" s="1416"/>
      <c r="AJ691" s="1416"/>
      <c r="AK691" s="1416"/>
      <c r="AZ691" s="3"/>
    </row>
    <row r="692" spans="1:52" ht="12.95" customHeight="1">
      <c r="B692" t="s">
        <v>85</v>
      </c>
      <c r="G692" s="1417"/>
      <c r="H692" s="1417"/>
      <c r="I692" s="1417"/>
      <c r="J692" s="1417"/>
      <c r="K692" s="1417"/>
      <c r="L692" s="1417"/>
      <c r="M692" s="1417"/>
      <c r="N692" s="1417"/>
      <c r="O692" s="1417"/>
      <c r="P692" s="1417"/>
      <c r="Q692" s="1417"/>
      <c r="R692" s="1417"/>
      <c r="T692" s="22"/>
      <c r="U692" t="s">
        <v>85</v>
      </c>
      <c r="Z692" s="1417"/>
      <c r="AA692" s="1417"/>
      <c r="AB692" s="1417"/>
      <c r="AC692" s="1417"/>
      <c r="AD692" s="1417"/>
      <c r="AE692" s="1417"/>
      <c r="AF692" s="1417"/>
      <c r="AG692" s="1417"/>
      <c r="AH692" s="1417"/>
      <c r="AI692" s="1417"/>
      <c r="AJ692" s="1417"/>
      <c r="AK692" s="1417"/>
      <c r="AZ692" s="3"/>
    </row>
    <row r="693" spans="1:52" ht="12.95" customHeight="1">
      <c r="B693" t="s">
        <v>580</v>
      </c>
      <c r="G693" s="1417"/>
      <c r="H693" s="1417"/>
      <c r="I693" s="1417"/>
      <c r="J693" s="1417"/>
      <c r="K693" s="1417"/>
      <c r="L693" s="1417"/>
      <c r="M693" s="1417"/>
      <c r="N693" s="1417"/>
      <c r="O693" s="1417"/>
      <c r="P693" s="1417"/>
      <c r="Q693" s="1417"/>
      <c r="R693" s="1417"/>
      <c r="U693" t="s">
        <v>580</v>
      </c>
      <c r="Z693" s="1419"/>
      <c r="AA693" s="1419"/>
      <c r="AB693" s="1419"/>
      <c r="AC693" s="1419"/>
      <c r="AD693" s="1419"/>
      <c r="AE693" s="1419"/>
      <c r="AF693" s="1419"/>
      <c r="AG693" s="1419"/>
      <c r="AH693" s="1419"/>
      <c r="AI693" s="1419"/>
      <c r="AJ693" s="1419"/>
      <c r="AK693" s="1419"/>
      <c r="AZ693" s="3"/>
    </row>
    <row r="694" spans="1:52" ht="12.95" customHeight="1">
      <c r="B694" t="s">
        <v>17</v>
      </c>
      <c r="G694" s="1417"/>
      <c r="H694" s="1417"/>
      <c r="I694" s="1417"/>
      <c r="J694" s="1417"/>
      <c r="K694" s="1417"/>
      <c r="L694" s="1417"/>
      <c r="M694" s="1417"/>
      <c r="N694" s="1417"/>
      <c r="O694" s="1417"/>
      <c r="P694" s="1417"/>
      <c r="Q694" s="1417"/>
      <c r="R694" s="1417"/>
      <c r="U694" t="s">
        <v>17</v>
      </c>
      <c r="Z694" s="1419"/>
      <c r="AA694" s="1419"/>
      <c r="AB694" s="1419"/>
      <c r="AC694" s="1419"/>
      <c r="AD694" s="1419"/>
      <c r="AE694" s="1419"/>
      <c r="AF694" s="1419"/>
      <c r="AG694" s="1419"/>
      <c r="AH694" s="1419"/>
      <c r="AI694" s="1419"/>
      <c r="AJ694" s="1419"/>
      <c r="AK694" s="1419"/>
      <c r="AZ694" s="3"/>
    </row>
    <row r="695" spans="1:52" ht="12.95" customHeight="1">
      <c r="B695" t="s">
        <v>316</v>
      </c>
      <c r="G695" s="1415"/>
      <c r="H695" s="1415"/>
      <c r="I695" s="1415"/>
      <c r="J695" s="1415"/>
      <c r="K695" s="1415"/>
      <c r="L695" s="1415"/>
      <c r="O695" s="33" t="s">
        <v>206</v>
      </c>
      <c r="P695" s="1418"/>
      <c r="Q695" s="1418"/>
      <c r="R695" s="1418"/>
      <c r="U695" t="s">
        <v>316</v>
      </c>
      <c r="Z695" s="1415"/>
      <c r="AA695" s="1415"/>
      <c r="AB695" s="1415"/>
      <c r="AC695" s="1415"/>
      <c r="AD695" s="1415"/>
      <c r="AE695" s="1415"/>
      <c r="AH695" s="33" t="s">
        <v>206</v>
      </c>
      <c r="AI695" s="1418"/>
      <c r="AJ695" s="1418"/>
      <c r="AK695" s="1418"/>
      <c r="AZ695" s="3"/>
    </row>
    <row r="696" spans="1:52" ht="12.95" customHeight="1">
      <c r="B696" t="s">
        <v>18</v>
      </c>
      <c r="H696" s="1417"/>
      <c r="I696" s="1417"/>
      <c r="J696" s="1417"/>
      <c r="K696" s="1417"/>
      <c r="L696" s="1417"/>
      <c r="M696" s="1417"/>
      <c r="N696" s="1417"/>
      <c r="O696" s="1417"/>
      <c r="P696" s="1417"/>
      <c r="Q696" s="1417"/>
      <c r="R696" s="1417"/>
      <c r="U696" t="s">
        <v>18</v>
      </c>
      <c r="AA696" s="1417"/>
      <c r="AB696" s="1417"/>
      <c r="AC696" s="1417"/>
      <c r="AD696" s="1417"/>
      <c r="AE696" s="1417"/>
      <c r="AF696" s="1417"/>
      <c r="AG696" s="1417"/>
      <c r="AH696" s="1417"/>
      <c r="AI696" s="1417"/>
      <c r="AJ696" s="1417"/>
      <c r="AK696" s="1417"/>
      <c r="AZ696" s="3"/>
    </row>
    <row r="697" spans="1:52" ht="12.95" customHeight="1">
      <c r="B697" t="s">
        <v>20</v>
      </c>
      <c r="N697" s="1266" t="s">
        <v>669</v>
      </c>
      <c r="O697" s="1266"/>
      <c r="U697" t="s">
        <v>20</v>
      </c>
      <c r="AG697" s="1266" t="s">
        <v>669</v>
      </c>
      <c r="AH697" s="1266"/>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2597</v>
      </c>
      <c r="E700" s="135"/>
      <c r="F700" s="135"/>
      <c r="G700" s="135"/>
      <c r="H700" s="135"/>
      <c r="AZ700" s="3"/>
    </row>
    <row r="701" spans="1:52" ht="12.95" customHeight="1">
      <c r="B701" s="135"/>
      <c r="C701" s="135"/>
      <c r="E701" s="136" t="s">
        <v>434</v>
      </c>
      <c r="F701" s="135"/>
      <c r="G701" s="135"/>
      <c r="H701" s="135"/>
      <c r="AE701" s="1266" t="s">
        <v>669</v>
      </c>
      <c r="AF701" s="1266"/>
      <c r="AZ701" s="3"/>
    </row>
    <row r="702" spans="1:52" ht="12.95" customHeight="1">
      <c r="B702" s="135"/>
      <c r="C702" s="135"/>
      <c r="D702" s="136" t="s">
        <v>437</v>
      </c>
      <c r="E702" s="135"/>
      <c r="F702" s="135"/>
      <c r="G702" s="135"/>
      <c r="H702" s="135"/>
      <c r="AE702" s="1266" t="s">
        <v>545</v>
      </c>
      <c r="AF702" s="1266"/>
      <c r="AZ702" s="3"/>
    </row>
    <row r="703" spans="1:52" ht="12.95" customHeight="1">
      <c r="B703" s="135"/>
      <c r="C703" s="135"/>
      <c r="D703" s="136" t="s">
        <v>920</v>
      </c>
      <c r="E703" s="135"/>
      <c r="F703" s="135"/>
      <c r="G703" s="135"/>
      <c r="H703" s="135"/>
      <c r="AE703" s="1611">
        <v>46161</v>
      </c>
      <c r="AF703" s="1611"/>
      <c r="AG703" s="1611"/>
      <c r="AH703" s="1611"/>
      <c r="AI703" s="1611"/>
    </row>
    <row r="704" spans="1:52" ht="12.95" customHeight="1">
      <c r="B704" s="135"/>
      <c r="C704" s="135"/>
      <c r="D704" s="317" t="s">
        <v>983</v>
      </c>
      <c r="E704" s="135"/>
      <c r="F704" s="135"/>
      <c r="G704" s="135"/>
      <c r="H704" s="135"/>
      <c r="AE704" s="1615">
        <v>46252</v>
      </c>
      <c r="AF704" s="1615"/>
      <c r="AG704" s="1615"/>
      <c r="AH704" s="1615"/>
      <c r="AI704" s="1615"/>
    </row>
    <row r="705" spans="1:110" ht="12.95" customHeight="1">
      <c r="B705" s="135"/>
      <c r="C705" s="135"/>
    </row>
    <row r="706" spans="1:110" ht="12.95" customHeight="1">
      <c r="B706" s="135"/>
      <c r="C706" s="135"/>
      <c r="D706" s="136" t="s">
        <v>816</v>
      </c>
      <c r="E706" s="135"/>
      <c r="F706" s="135"/>
      <c r="G706" s="135"/>
      <c r="H706" s="135"/>
      <c r="AE706" s="1611">
        <v>46419</v>
      </c>
      <c r="AF706" s="1611"/>
      <c r="AG706" s="1611"/>
      <c r="AH706" s="1611"/>
      <c r="AI706" s="1611"/>
    </row>
    <row r="707" spans="1:110" ht="12.95" customHeight="1">
      <c r="B707" s="135"/>
      <c r="C707" s="135"/>
      <c r="D707" s="136" t="s">
        <v>435</v>
      </c>
      <c r="E707" s="135"/>
      <c r="F707" s="135"/>
      <c r="G707" s="135"/>
      <c r="H707" s="135"/>
      <c r="AE707" s="1492">
        <v>0.27129999999999999</v>
      </c>
      <c r="AF707" s="1492"/>
      <c r="AG707" s="1492"/>
      <c r="AH707" s="1492"/>
      <c r="AI707" s="1492"/>
    </row>
    <row r="708" spans="1:110" ht="12.95" customHeight="1">
      <c r="B708" s="135"/>
      <c r="C708" s="135"/>
      <c r="D708" s="136" t="s">
        <v>436</v>
      </c>
      <c r="E708" s="135"/>
      <c r="F708" s="135"/>
      <c r="G708" s="135"/>
      <c r="H708" s="135"/>
      <c r="W708" s="1416" t="str">
        <f>H344</f>
        <v>California Municipal Finance Authority</v>
      </c>
      <c r="X708" s="1416"/>
      <c r="Y708" s="1416"/>
      <c r="Z708" s="1416"/>
      <c r="AA708" s="1416"/>
      <c r="AB708" s="1416"/>
      <c r="AC708" s="1416"/>
      <c r="AD708" s="1416"/>
      <c r="AE708" s="1416"/>
      <c r="AF708" s="1416"/>
      <c r="AG708" s="1416"/>
      <c r="AH708" s="1416"/>
      <c r="AI708" s="1416"/>
      <c r="AJ708" s="1416"/>
      <c r="AK708" s="1416"/>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266" t="s">
        <v>669</v>
      </c>
      <c r="AF710" s="1266"/>
    </row>
    <row r="711" spans="1:110" ht="12.95" customHeight="1">
      <c r="B711" s="135"/>
      <c r="C711" s="135"/>
      <c r="D711" s="136" t="s">
        <v>442</v>
      </c>
      <c r="E711" s="135"/>
      <c r="F711" s="135"/>
      <c r="G711" s="135"/>
      <c r="H711" s="135"/>
      <c r="W711" s="1417" t="s">
        <v>591</v>
      </c>
      <c r="X711" s="1417"/>
      <c r="Y711" s="1417"/>
      <c r="Z711" s="1417"/>
      <c r="AA711" s="1417"/>
      <c r="AB711" s="1417"/>
      <c r="AC711" s="1417"/>
      <c r="AD711" s="1417"/>
      <c r="AE711" s="1417"/>
      <c r="AF711" s="1417"/>
      <c r="AG711" s="1417"/>
      <c r="AH711" s="1417"/>
      <c r="AI711" s="1417"/>
      <c r="AJ711" s="1417"/>
      <c r="AK711" s="1417"/>
    </row>
    <row r="712" spans="1:110" ht="12.95" customHeight="1">
      <c r="B712" s="135"/>
      <c r="C712" s="135"/>
      <c r="D712" s="136" t="s">
        <v>87</v>
      </c>
      <c r="E712" s="135"/>
      <c r="F712" s="135"/>
      <c r="G712" s="135"/>
      <c r="H712" s="135"/>
      <c r="J712" s="1417" t="s">
        <v>2730</v>
      </c>
      <c r="K712" s="1417"/>
      <c r="L712" s="1417"/>
      <c r="M712" s="1417"/>
      <c r="N712" s="1417"/>
      <c r="O712" s="1417"/>
      <c r="P712" s="1417"/>
      <c r="Q712" s="1417"/>
      <c r="R712" s="1417"/>
      <c r="S712" s="1417"/>
      <c r="T712" s="1417"/>
      <c r="U712" s="1417"/>
      <c r="V712" s="1417"/>
      <c r="W712" s="1417"/>
      <c r="X712" s="1417"/>
      <c r="BB712" s="34"/>
      <c r="BC712" s="34"/>
      <c r="BD712" s="34"/>
      <c r="BE712" s="3"/>
      <c r="BF712" s="3"/>
      <c r="BJ712" s="3"/>
      <c r="BK712" s="3"/>
      <c r="BL712" s="3"/>
      <c r="BM712" s="3"/>
      <c r="BN712" s="34"/>
      <c r="BO712" s="34"/>
    </row>
    <row r="713" spans="1:110" ht="12.95" customHeight="1">
      <c r="B713" s="135"/>
      <c r="C713" s="135"/>
      <c r="D713" s="136" t="s">
        <v>88</v>
      </c>
      <c r="J713" s="1623" t="s">
        <v>2730</v>
      </c>
      <c r="K713" s="1415"/>
      <c r="L713" s="1415"/>
      <c r="M713" s="1415"/>
      <c r="N713" s="1415"/>
      <c r="O713" s="1415"/>
      <c r="P713" s="4" t="s">
        <v>206</v>
      </c>
      <c r="Q713" s="4"/>
      <c r="R713" s="1418"/>
      <c r="S713" s="1418"/>
      <c r="T713" s="141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17" t="s">
        <v>307</v>
      </c>
      <c r="X714" s="1417"/>
      <c r="Y714" s="1417"/>
      <c r="Z714" s="1417"/>
      <c r="AA714" s="1417"/>
      <c r="AB714" s="1417"/>
      <c r="AC714" s="1417"/>
      <c r="AD714" s="1417"/>
      <c r="AE714" s="1417"/>
      <c r="AF714" s="1417"/>
      <c r="AG714" s="1417"/>
      <c r="AH714" s="1417"/>
      <c r="AI714" s="1417"/>
      <c r="AJ714" s="1417"/>
      <c r="AK714" s="1417"/>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17" t="s">
        <v>334</v>
      </c>
      <c r="F715" s="1417"/>
      <c r="G715" s="1417"/>
      <c r="H715" s="1417"/>
      <c r="I715" s="1417"/>
      <c r="J715" s="1417"/>
      <c r="K715" s="1417"/>
      <c r="L715" s="1417"/>
      <c r="M715" s="1417"/>
      <c r="N715" s="1417"/>
      <c r="O715" s="1417"/>
      <c r="P715" s="1417"/>
      <c r="Q715" s="1417"/>
      <c r="R715" s="1417"/>
      <c r="S715" s="1417"/>
      <c r="T715" s="1417"/>
      <c r="U715" s="1417"/>
      <c r="V715" s="1417"/>
      <c r="W715" s="1417"/>
      <c r="X715" s="1417"/>
      <c r="Y715" s="1417"/>
      <c r="Z715" s="1417"/>
      <c r="AA715" s="1417"/>
      <c r="AB715" s="1417"/>
      <c r="AC715" s="1417"/>
      <c r="AD715" s="1417"/>
      <c r="AE715" s="1417"/>
      <c r="AF715" s="1417"/>
      <c r="AG715" s="1417"/>
      <c r="AH715" s="1417"/>
      <c r="AI715" s="1417"/>
      <c r="AJ715" s="1417"/>
      <c r="AK715" s="1417"/>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403" t="s">
        <v>95</v>
      </c>
      <c r="B717" s="1403"/>
      <c r="C717" s="1403"/>
      <c r="D717" s="1403"/>
      <c r="E717" s="1403"/>
      <c r="F717" s="1403"/>
      <c r="G717" s="1403"/>
      <c r="H717" s="1403"/>
      <c r="I717" s="1403"/>
      <c r="J717" s="1403"/>
      <c r="K717" s="1403"/>
      <c r="L717" s="1403"/>
      <c r="M717" s="1403"/>
      <c r="N717" s="1403"/>
      <c r="O717" s="1403"/>
      <c r="P717" s="1403"/>
      <c r="Q717" s="1403"/>
      <c r="R717" s="1403"/>
      <c r="S717" s="1403"/>
      <c r="T717" s="1403"/>
      <c r="U717" s="1403"/>
      <c r="V717" s="1403"/>
      <c r="W717" s="1403"/>
      <c r="X717" s="1403"/>
      <c r="Y717" s="1403"/>
      <c r="Z717" s="1403"/>
      <c r="AA717" s="1403"/>
      <c r="AB717" s="1403"/>
      <c r="AC717" s="1403"/>
      <c r="AD717" s="1403"/>
      <c r="AE717" s="1403"/>
      <c r="AF717" s="1403"/>
      <c r="AG717" s="1403"/>
      <c r="AH717" s="1403"/>
      <c r="AI717" s="1403"/>
      <c r="AJ717" s="1403"/>
      <c r="AK717" s="1403"/>
      <c r="AL717" s="1403"/>
      <c r="AM717" s="1403"/>
      <c r="AN717" s="1403"/>
      <c r="AO717" s="1403"/>
      <c r="AP717" s="1403"/>
      <c r="AQ717" s="1403"/>
      <c r="AR717" s="1403"/>
      <c r="AS717" s="1403"/>
      <c r="AT717" s="1403"/>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403"/>
      <c r="B718" s="1403"/>
      <c r="C718" s="1403"/>
      <c r="D718" s="1403"/>
      <c r="E718" s="1403"/>
      <c r="F718" s="1403"/>
      <c r="G718" s="1403"/>
      <c r="H718" s="1403"/>
      <c r="I718" s="1403"/>
      <c r="J718" s="1403"/>
      <c r="K718" s="1403"/>
      <c r="L718" s="1403"/>
      <c r="M718" s="1403"/>
      <c r="N718" s="1403"/>
      <c r="O718" s="1403"/>
      <c r="P718" s="1403"/>
      <c r="Q718" s="1403"/>
      <c r="R718" s="1403"/>
      <c r="S718" s="1403"/>
      <c r="T718" s="1403"/>
      <c r="U718" s="1403"/>
      <c r="V718" s="1403"/>
      <c r="W718" s="1403"/>
      <c r="X718" s="1403"/>
      <c r="Y718" s="1403"/>
      <c r="Z718" s="1403"/>
      <c r="AA718" s="1403"/>
      <c r="AB718" s="1403"/>
      <c r="AC718" s="1403"/>
      <c r="AD718" s="1403"/>
      <c r="AE718" s="1403"/>
      <c r="AF718" s="1403"/>
      <c r="AG718" s="1403"/>
      <c r="AH718" s="1403"/>
      <c r="AI718" s="1403"/>
      <c r="AJ718" s="1403"/>
      <c r="AK718" s="1403"/>
      <c r="AL718" s="1403"/>
      <c r="AM718" s="1403"/>
      <c r="AN718" s="1403"/>
      <c r="AO718" s="1403"/>
      <c r="AP718" s="1403"/>
      <c r="AQ718" s="1403"/>
      <c r="AR718" s="1403"/>
      <c r="AS718" s="1403"/>
      <c r="AT718" s="1403"/>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403"/>
      <c r="B719" s="1403"/>
      <c r="C719" s="1403"/>
      <c r="D719" s="1403"/>
      <c r="E719" s="1403"/>
      <c r="F719" s="1403"/>
      <c r="G719" s="1403"/>
      <c r="H719" s="1403"/>
      <c r="I719" s="1403"/>
      <c r="J719" s="1403"/>
      <c r="K719" s="1403"/>
      <c r="L719" s="1403"/>
      <c r="M719" s="1403"/>
      <c r="N719" s="1403"/>
      <c r="O719" s="1403"/>
      <c r="P719" s="1403"/>
      <c r="Q719" s="1403"/>
      <c r="R719" s="1403"/>
      <c r="S719" s="1403"/>
      <c r="T719" s="1403"/>
      <c r="U719" s="1403"/>
      <c r="V719" s="1403"/>
      <c r="W719" s="1403"/>
      <c r="X719" s="1403"/>
      <c r="Y719" s="1403"/>
      <c r="Z719" s="1403"/>
      <c r="AA719" s="1403"/>
      <c r="AB719" s="1403"/>
      <c r="AC719" s="1403"/>
      <c r="AD719" s="1403"/>
      <c r="AE719" s="1403"/>
      <c r="AF719" s="1403"/>
      <c r="AG719" s="1403"/>
      <c r="AH719" s="1403"/>
      <c r="AI719" s="1403"/>
      <c r="AJ719" s="1403"/>
      <c r="AK719" s="1403"/>
      <c r="AL719" s="1403"/>
      <c r="AM719" s="1403"/>
      <c r="AN719" s="1403"/>
      <c r="AO719" s="1403"/>
      <c r="AP719" s="1403"/>
      <c r="AQ719" s="1403"/>
      <c r="AR719" s="1403"/>
      <c r="AS719" s="1403"/>
      <c r="AT719" s="1403"/>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91" t="s">
        <v>389</v>
      </c>
      <c r="C722" s="1496"/>
      <c r="D722" s="1496"/>
      <c r="E722" s="1496"/>
      <c r="F722" s="1497"/>
      <c r="G722" s="1591" t="s">
        <v>285</v>
      </c>
      <c r="H722" s="1496"/>
      <c r="I722" s="1496"/>
      <c r="J722" s="1497"/>
      <c r="K722" s="1626" t="s">
        <v>1668</v>
      </c>
      <c r="L722" s="1627"/>
      <c r="M722" s="1627"/>
      <c r="N722" s="1628"/>
      <c r="O722" s="1591" t="s">
        <v>447</v>
      </c>
      <c r="P722" s="1496"/>
      <c r="Q722" s="1496"/>
      <c r="R722" s="1496"/>
      <c r="S722" s="1497"/>
      <c r="T722" s="1495" t="s">
        <v>1922</v>
      </c>
      <c r="U722" s="1496"/>
      <c r="V722" s="1496"/>
      <c r="W722" s="1497"/>
      <c r="X722" s="1495" t="s">
        <v>1924</v>
      </c>
      <c r="Y722" s="1496"/>
      <c r="Z722" s="1496"/>
      <c r="AA722" s="1496"/>
      <c r="AB722" s="1497"/>
      <c r="AC722" s="1495" t="s">
        <v>1923</v>
      </c>
      <c r="AD722" s="1496"/>
      <c r="AE722" s="1496"/>
      <c r="AF722" s="1496"/>
      <c r="AG722" s="1497"/>
      <c r="AH722" s="1495" t="s">
        <v>1925</v>
      </c>
      <c r="AI722" s="1496"/>
      <c r="AJ722" s="1497"/>
      <c r="AK722" s="1495" t="s">
        <v>1952</v>
      </c>
      <c r="AL722" s="1496"/>
      <c r="AM722" s="1496"/>
      <c r="AN722" s="1496"/>
      <c r="AO722" s="149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98"/>
      <c r="C723" s="1499"/>
      <c r="D723" s="1499"/>
      <c r="E723" s="1499"/>
      <c r="F723" s="1500"/>
      <c r="G723" s="1498"/>
      <c r="H723" s="1499"/>
      <c r="I723" s="1499"/>
      <c r="J723" s="1500"/>
      <c r="K723" s="1629"/>
      <c r="L723" s="1630"/>
      <c r="M723" s="1630"/>
      <c r="N723" s="1631"/>
      <c r="O723" s="1498"/>
      <c r="P723" s="1499"/>
      <c r="Q723" s="1499"/>
      <c r="R723" s="1499"/>
      <c r="S723" s="1500"/>
      <c r="T723" s="1498"/>
      <c r="U723" s="1499"/>
      <c r="V723" s="1499"/>
      <c r="W723" s="1500"/>
      <c r="X723" s="1498"/>
      <c r="Y723" s="1499"/>
      <c r="Z723" s="1499"/>
      <c r="AA723" s="1499"/>
      <c r="AB723" s="1500"/>
      <c r="AC723" s="1498"/>
      <c r="AD723" s="1499"/>
      <c r="AE723" s="1499"/>
      <c r="AF723" s="1499"/>
      <c r="AG723" s="1500"/>
      <c r="AH723" s="1498"/>
      <c r="AI723" s="1499"/>
      <c r="AJ723" s="1500"/>
      <c r="AK723" s="1498"/>
      <c r="AL723" s="1499"/>
      <c r="AM723" s="1499"/>
      <c r="AN723" s="1499"/>
      <c r="AO723" s="150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98"/>
      <c r="C724" s="1499"/>
      <c r="D724" s="1499"/>
      <c r="E724" s="1499"/>
      <c r="F724" s="1500"/>
      <c r="G724" s="1498"/>
      <c r="H724" s="1499"/>
      <c r="I724" s="1499"/>
      <c r="J724" s="1500"/>
      <c r="K724" s="1629"/>
      <c r="L724" s="1630"/>
      <c r="M724" s="1630"/>
      <c r="N724" s="1631"/>
      <c r="O724" s="1498"/>
      <c r="P724" s="1499"/>
      <c r="Q724" s="1499"/>
      <c r="R724" s="1499"/>
      <c r="S724" s="1500"/>
      <c r="T724" s="1498"/>
      <c r="U724" s="1499"/>
      <c r="V724" s="1499"/>
      <c r="W724" s="1500"/>
      <c r="X724" s="1498"/>
      <c r="Y724" s="1499"/>
      <c r="Z724" s="1499"/>
      <c r="AA724" s="1499"/>
      <c r="AB724" s="1500"/>
      <c r="AC724" s="1498"/>
      <c r="AD724" s="1499"/>
      <c r="AE724" s="1499"/>
      <c r="AF724" s="1499"/>
      <c r="AG724" s="1500"/>
      <c r="AH724" s="1498"/>
      <c r="AI724" s="1499"/>
      <c r="AJ724" s="1500"/>
      <c r="AK724" s="1498"/>
      <c r="AL724" s="1499"/>
      <c r="AM724" s="1499"/>
      <c r="AN724" s="1499"/>
      <c r="AO724" s="1500"/>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501"/>
      <c r="C725" s="1502"/>
      <c r="D725" s="1502"/>
      <c r="E725" s="1502"/>
      <c r="F725" s="1503"/>
      <c r="G725" s="1501"/>
      <c r="H725" s="1502"/>
      <c r="I725" s="1502"/>
      <c r="J725" s="1503"/>
      <c r="K725" s="1629"/>
      <c r="L725" s="1630"/>
      <c r="M725" s="1630"/>
      <c r="N725" s="1631"/>
      <c r="O725" s="1501"/>
      <c r="P725" s="1502"/>
      <c r="Q725" s="1502"/>
      <c r="R725" s="1502"/>
      <c r="S725" s="1503"/>
      <c r="T725" s="1501"/>
      <c r="U725" s="1502"/>
      <c r="V725" s="1502"/>
      <c r="W725" s="1503"/>
      <c r="X725" s="1501"/>
      <c r="Y725" s="1502"/>
      <c r="Z725" s="1502"/>
      <c r="AA725" s="1502"/>
      <c r="AB725" s="1503"/>
      <c r="AC725" s="1501"/>
      <c r="AD725" s="1502"/>
      <c r="AE725" s="1502"/>
      <c r="AF725" s="1502"/>
      <c r="AG725" s="1503"/>
      <c r="AH725" s="1501"/>
      <c r="AI725" s="1502"/>
      <c r="AJ725" s="1503"/>
      <c r="AK725" s="1501"/>
      <c r="AL725" s="1502"/>
      <c r="AM725" s="1502"/>
      <c r="AN725" s="1502"/>
      <c r="AO725" s="1503"/>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18"/>
      <c r="CJ725" s="1519"/>
      <c r="CK725" s="121" t="s">
        <v>475</v>
      </c>
      <c r="CL725" s="122"/>
      <c r="CM725" s="1518"/>
      <c r="CN725" s="1519"/>
      <c r="CO725" s="3"/>
      <c r="CP725" s="1541" t="s">
        <v>633</v>
      </c>
      <c r="CQ725" s="1542"/>
      <c r="CR725" s="1542"/>
      <c r="CS725" s="1542"/>
      <c r="CT725" s="1543"/>
      <c r="CU725" s="1514" t="s">
        <v>325</v>
      </c>
      <c r="CV725" s="1514"/>
      <c r="CW725" s="1514"/>
      <c r="CX725" s="1514"/>
      <c r="CY725" s="1514"/>
      <c r="CZ725" s="1514" t="s">
        <v>163</v>
      </c>
      <c r="DA725" s="1514"/>
      <c r="DB725" s="1514"/>
      <c r="DC725" s="1514"/>
      <c r="DD725" s="1514"/>
      <c r="DE725" s="1514" t="s">
        <v>164</v>
      </c>
      <c r="DF725" s="1514"/>
      <c r="DG725" s="1514"/>
      <c r="DH725" s="1514"/>
      <c r="DI725" s="1514"/>
      <c r="DJ725" s="1514" t="s">
        <v>460</v>
      </c>
      <c r="DK725" s="1514"/>
      <c r="DL725" s="1514"/>
      <c r="DM725" s="1514"/>
      <c r="DN725" s="1514"/>
      <c r="DO725" s="1514" t="s">
        <v>30</v>
      </c>
      <c r="DP725" s="1514"/>
      <c r="DQ725" s="1514"/>
      <c r="DR725" s="1514"/>
      <c r="DS725" s="1514"/>
      <c r="DT725" s="89"/>
      <c r="DU725" s="1514" t="s">
        <v>633</v>
      </c>
      <c r="DV725" s="1514"/>
      <c r="DW725" s="1514"/>
      <c r="DX725" s="1514"/>
      <c r="DY725" s="1514"/>
      <c r="DZ725" s="1514" t="s">
        <v>325</v>
      </c>
      <c r="EA725" s="1514"/>
      <c r="EB725" s="1514"/>
      <c r="EC725" s="1514"/>
      <c r="ED725" s="1514"/>
      <c r="EE725" s="1514" t="s">
        <v>163</v>
      </c>
      <c r="EF725" s="1514"/>
      <c r="EG725" s="1514"/>
      <c r="EH725" s="1514"/>
      <c r="EI725" s="1514"/>
      <c r="EJ725" s="1514" t="s">
        <v>164</v>
      </c>
      <c r="EK725" s="1514"/>
      <c r="EL725" s="1514"/>
      <c r="EM725" s="1514"/>
      <c r="EN725" s="1514"/>
      <c r="EO725" s="1514" t="s">
        <v>460</v>
      </c>
      <c r="EP725" s="1514"/>
      <c r="EQ725" s="1514"/>
      <c r="ER725" s="1514"/>
      <c r="ES725" s="1514"/>
      <c r="ET725" s="1514" t="s">
        <v>30</v>
      </c>
      <c r="EU725" s="1514"/>
      <c r="EV725" s="1514"/>
      <c r="EW725" s="1514"/>
      <c r="EX725" s="1514"/>
      <c r="EY725" s="4"/>
      <c r="EZ725" s="1514" t="s">
        <v>633</v>
      </c>
      <c r="FA725" s="1514"/>
      <c r="FB725" s="1514"/>
      <c r="FC725" s="1514"/>
      <c r="FD725" s="1514"/>
      <c r="FE725" s="1514" t="s">
        <v>325</v>
      </c>
      <c r="FF725" s="1514"/>
      <c r="FG725" s="1514"/>
      <c r="FH725" s="1514"/>
      <c r="FI725" s="1514"/>
      <c r="FJ725" s="1514" t="s">
        <v>163</v>
      </c>
      <c r="FK725" s="1514"/>
      <c r="FL725" s="1514"/>
      <c r="FM725" s="1514"/>
      <c r="FN725" s="1514"/>
      <c r="FO725" s="1514" t="s">
        <v>164</v>
      </c>
      <c r="FP725" s="1514"/>
      <c r="FQ725" s="1514"/>
      <c r="FR725" s="1514"/>
      <c r="FS725" s="1514"/>
      <c r="FT725" s="1514" t="s">
        <v>460</v>
      </c>
      <c r="FU725" s="1514"/>
      <c r="FV725" s="1514"/>
      <c r="FW725" s="1514"/>
      <c r="FX725" s="1514"/>
      <c r="FY725" s="1514" t="s">
        <v>30</v>
      </c>
      <c r="FZ725" s="1514"/>
      <c r="GA725" s="1514"/>
      <c r="GB725" s="1514"/>
      <c r="GC725" s="1514"/>
    </row>
    <row r="726" spans="1:185" ht="12.95" customHeight="1">
      <c r="A726" s="4"/>
      <c r="B726" s="1425" t="s">
        <v>324</v>
      </c>
      <c r="C726" s="1426"/>
      <c r="D726" s="1426"/>
      <c r="E726" s="1426"/>
      <c r="F726" s="1427"/>
      <c r="G726" s="1504">
        <v>3</v>
      </c>
      <c r="H726" s="1505"/>
      <c r="I726" s="1505"/>
      <c r="J726" s="1506"/>
      <c r="K726" s="1548">
        <v>375</v>
      </c>
      <c r="L726" s="1549"/>
      <c r="M726" s="1549"/>
      <c r="N726" s="1550"/>
      <c r="O726" s="1473">
        <f>795-T726</f>
        <v>795</v>
      </c>
      <c r="P726" s="1474"/>
      <c r="Q726" s="1474"/>
      <c r="R726" s="1474"/>
      <c r="S726" s="1475"/>
      <c r="T726" s="1473">
        <v>0</v>
      </c>
      <c r="U726" s="1474"/>
      <c r="V726" s="1474"/>
      <c r="W726" s="1475"/>
      <c r="X726" s="1531">
        <f t="shared" ref="X726:X749" si="10">O726+T726</f>
        <v>795</v>
      </c>
      <c r="Y726" s="1402"/>
      <c r="Z726" s="1402"/>
      <c r="AA726" s="1402"/>
      <c r="AB726" s="1532"/>
      <c r="AC726" s="1405">
        <v>0.3</v>
      </c>
      <c r="AD726" s="1406"/>
      <c r="AE726" s="1406"/>
      <c r="AF726" s="1406"/>
      <c r="AG726" s="1407"/>
      <c r="AH726" s="1524">
        <f>IF($AC726&gt;0,($X726/$AZ726), "")</f>
        <v>0.3</v>
      </c>
      <c r="AI726" s="1525"/>
      <c r="AJ726" s="1526"/>
      <c r="AK726" s="1425" t="s">
        <v>591</v>
      </c>
      <c r="AL726" s="1426"/>
      <c r="AM726" s="1426"/>
      <c r="AN726" s="1426"/>
      <c r="AO726" s="1427"/>
      <c r="AP726" s="3"/>
      <c r="AQ726" s="3"/>
      <c r="AR726" s="3"/>
      <c r="AS726" s="3"/>
      <c r="AZ726" s="118">
        <f t="shared" ref="AZ726:AZ760" si="11">IF($G726=0,"N/A",VLOOKUP($T$189,TC_Rent,(MATCH($B726,bedrooms,FALSE)),FALSE))</f>
        <v>2650</v>
      </c>
      <c r="BA726" s="3"/>
      <c r="BB726" s="3"/>
      <c r="BC726" s="3"/>
      <c r="BD726" s="3"/>
      <c r="BE726" s="204"/>
      <c r="BF726" s="293">
        <f t="shared" ref="BF726:BF760" si="12">G726</f>
        <v>3</v>
      </c>
      <c r="BG726" s="297">
        <f t="shared" ref="BG726:BG760" si="13">IF($BF$761=0,0,BF726/$BF$761)</f>
        <v>5.1724137931034482E-2</v>
      </c>
      <c r="BH726" s="298">
        <f t="shared" ref="BH726:BH760" si="14">IF(BG726=0,"",BG726*AC726)</f>
        <v>1.5517241379310345E-2</v>
      </c>
      <c r="BI726" s="3"/>
      <c r="BJ726" s="3"/>
      <c r="BK726" s="3"/>
      <c r="BL726" s="3"/>
      <c r="BM726" s="3"/>
      <c r="BN726" s="3"/>
      <c r="BS726" s="293">
        <f t="shared" ref="BS726:BS760" si="15">G726</f>
        <v>3</v>
      </c>
      <c r="BT726" s="297">
        <f t="shared" ref="BT726:BT760" si="16">IF($BS$761=0,0,BS726/$BS$761)</f>
        <v>5.1724137931034482E-2</v>
      </c>
      <c r="BU726" s="298">
        <f t="shared" ref="BU726:BU760" si="17">IF(BT726=0,"",BT726*AH726)</f>
        <v>1.5517241379310345E-2</v>
      </c>
      <c r="CC726" s="3"/>
      <c r="CD726" s="3"/>
      <c r="CE726" s="3"/>
      <c r="CF726" s="3"/>
      <c r="CG726" s="1515">
        <f>IF(AND(AC726&lt;=0.5,AC726&gt;=0.36),1,0)</f>
        <v>0</v>
      </c>
      <c r="CH726" s="1517"/>
      <c r="CI726" s="1518">
        <f>IF(CG726=1,G726,0)</f>
        <v>0</v>
      </c>
      <c r="CJ726" s="1519"/>
      <c r="CK726" s="1515">
        <f t="shared" ref="CK726:CK760" si="18">IF(AND(AC726&lt;=0.35,AC726&gt;0),1,0)</f>
        <v>1</v>
      </c>
      <c r="CL726" s="1517"/>
      <c r="CM726" s="1518">
        <f t="shared" ref="CM726:CM760" si="19">IF(CK726=1,G726,0)</f>
        <v>3</v>
      </c>
      <c r="CN726" s="1519"/>
      <c r="CO726" s="3"/>
      <c r="CP726" s="1508">
        <f t="shared" ref="CP726:CP760" si="20">IF(B726="SRO/Studio",G726,0)</f>
        <v>3</v>
      </c>
      <c r="CQ726" s="1509"/>
      <c r="CR726" s="1509"/>
      <c r="CS726" s="1509"/>
      <c r="CT726" s="1510"/>
      <c r="CU726" s="1493">
        <f t="shared" ref="CU726:CU760" si="21">IF(B726="1 Bedroom",G726,0)</f>
        <v>0</v>
      </c>
      <c r="CV726" s="1493"/>
      <c r="CW726" s="1493"/>
      <c r="CX726" s="1493"/>
      <c r="CY726" s="1493"/>
      <c r="CZ726" s="1493">
        <f t="shared" ref="CZ726:CZ760" si="22">IF(B726="2 Bedrooms",G726,0)</f>
        <v>0</v>
      </c>
      <c r="DA726" s="1493"/>
      <c r="DB726" s="1493"/>
      <c r="DC726" s="1493"/>
      <c r="DD726" s="1493"/>
      <c r="DE726" s="1493">
        <f t="shared" ref="DE726:DE760" si="23">IF(B726="3 Bedrooms",G726,0)</f>
        <v>0</v>
      </c>
      <c r="DF726" s="1493"/>
      <c r="DG726" s="1493"/>
      <c r="DH726" s="1493"/>
      <c r="DI726" s="1493"/>
      <c r="DJ726" s="1493">
        <f t="shared" ref="DJ726:DJ760" si="24">IF(B726="4 Bedrooms",G726,0)</f>
        <v>0</v>
      </c>
      <c r="DK726" s="1493"/>
      <c r="DL726" s="1493"/>
      <c r="DM726" s="1493"/>
      <c r="DN726" s="1493"/>
      <c r="DO726" s="1493">
        <f t="shared" ref="DO726:DO760" si="25">IF(B726="5 Bedrooms",G726,0)</f>
        <v>0</v>
      </c>
      <c r="DP726" s="1493"/>
      <c r="DQ726" s="1493"/>
      <c r="DR726" s="1493"/>
      <c r="DS726" s="1493"/>
      <c r="DT726" s="6"/>
      <c r="DU726" s="1494">
        <f t="shared" ref="DU726:DU760" si="26">IF(AND(B726="SRO/Studio",AC726&lt;=0.3),G726,0)</f>
        <v>3</v>
      </c>
      <c r="DV726" s="1494"/>
      <c r="DW726" s="1494"/>
      <c r="DX726" s="1494"/>
      <c r="DY726" s="1494"/>
      <c r="DZ726" s="1494">
        <f t="shared" ref="DZ726:DZ760" si="27">IF(AND(B726="1 Bedroom",AC726&lt;=0.3),G726,0)</f>
        <v>0</v>
      </c>
      <c r="EA726" s="1494"/>
      <c r="EB726" s="1494"/>
      <c r="EC726" s="1494"/>
      <c r="ED726" s="1494"/>
      <c r="EE726" s="1494">
        <f t="shared" ref="EE726:EE760" si="28">IF(AND(B726="2 Bedrooms",AC726&lt;=0.3),G726,0)</f>
        <v>0</v>
      </c>
      <c r="EF726" s="1494"/>
      <c r="EG726" s="1494"/>
      <c r="EH726" s="1494"/>
      <c r="EI726" s="1494"/>
      <c r="EJ726" s="1494">
        <f t="shared" ref="EJ726:EJ760" si="29">IF(AND(B726="3 Bedrooms",AC726&lt;=0.3),G726,0)</f>
        <v>0</v>
      </c>
      <c r="EK726" s="1494"/>
      <c r="EL726" s="1494"/>
      <c r="EM726" s="1494"/>
      <c r="EN726" s="1494"/>
      <c r="EO726" s="1494">
        <f t="shared" ref="EO726:EO760" si="30">IF(AND(B726="4 Bedrooms",AC726&lt;=0.3),G726,0)</f>
        <v>0</v>
      </c>
      <c r="EP726" s="1494"/>
      <c r="EQ726" s="1494"/>
      <c r="ER726" s="1494"/>
      <c r="ES726" s="1494"/>
      <c r="ET726" s="1494">
        <f t="shared" ref="ET726:ET760" si="31">IF(AND(B726="5 Bedrooms",AC726&lt;=0.3),G726,0)</f>
        <v>0</v>
      </c>
      <c r="EU726" s="1494"/>
      <c r="EV726" s="1494"/>
      <c r="EW726" s="1494"/>
      <c r="EX726" s="1494"/>
      <c r="EY726" s="4"/>
      <c r="EZ726" s="1515">
        <f t="shared" ref="EZ726:EZ760" si="32">IF(CP726&gt;0,O726,"")</f>
        <v>795</v>
      </c>
      <c r="FA726" s="1516"/>
      <c r="FB726" s="1516"/>
      <c r="FC726" s="1516"/>
      <c r="FD726" s="1517"/>
      <c r="FE726" s="1515" t="str">
        <f t="shared" ref="FE726:FE760" si="33">IF(CU726&gt;0,O726,"")</f>
        <v/>
      </c>
      <c r="FF726" s="1516"/>
      <c r="FG726" s="1516"/>
      <c r="FH726" s="1516"/>
      <c r="FI726" s="1517"/>
      <c r="FJ726" s="1515" t="str">
        <f t="shared" ref="FJ726:FJ760" si="34">IF(CZ726&gt;0,O726,"")</f>
        <v/>
      </c>
      <c r="FK726" s="1516"/>
      <c r="FL726" s="1516"/>
      <c r="FM726" s="1516"/>
      <c r="FN726" s="1517"/>
      <c r="FO726" s="1515" t="str">
        <f t="shared" ref="FO726:FO760" si="35">IF(DE726&gt;0,O726,"")</f>
        <v/>
      </c>
      <c r="FP726" s="1516"/>
      <c r="FQ726" s="1516"/>
      <c r="FR726" s="1516"/>
      <c r="FS726" s="1517"/>
      <c r="FT726" s="1515" t="str">
        <f t="shared" ref="FT726:FT760" si="36">IF(DJ726&gt;0,O726,"")</f>
        <v/>
      </c>
      <c r="FU726" s="1516"/>
      <c r="FV726" s="1516"/>
      <c r="FW726" s="1516"/>
      <c r="FX726" s="1517"/>
      <c r="FY726" s="1515" t="str">
        <f t="shared" ref="FY726:FY760" si="37">IF(DO726&gt;0,O726,"")</f>
        <v/>
      </c>
      <c r="FZ726" s="1516"/>
      <c r="GA726" s="1516"/>
      <c r="GB726" s="1516"/>
      <c r="GC726" s="1517"/>
    </row>
    <row r="727" spans="1:185" ht="12.95" customHeight="1">
      <c r="A727" s="4"/>
      <c r="B727" s="1425" t="s">
        <v>324</v>
      </c>
      <c r="C727" s="1426"/>
      <c r="D727" s="1426"/>
      <c r="E727" s="1426"/>
      <c r="F727" s="1427"/>
      <c r="G727" s="1504">
        <v>1</v>
      </c>
      <c r="H727" s="1505"/>
      <c r="I727" s="1505"/>
      <c r="J727" s="1506"/>
      <c r="K727" s="1548">
        <v>375</v>
      </c>
      <c r="L727" s="1549"/>
      <c r="M727" s="1549"/>
      <c r="N727" s="1550"/>
      <c r="O727" s="1473">
        <f>1325-T727</f>
        <v>1325</v>
      </c>
      <c r="P727" s="1474"/>
      <c r="Q727" s="1474"/>
      <c r="R727" s="1474"/>
      <c r="S727" s="1475"/>
      <c r="T727" s="1473">
        <v>0</v>
      </c>
      <c r="U727" s="1474"/>
      <c r="V727" s="1474"/>
      <c r="W727" s="1475"/>
      <c r="X727" s="1531">
        <f t="shared" si="10"/>
        <v>1325</v>
      </c>
      <c r="Y727" s="1402"/>
      <c r="Z727" s="1402"/>
      <c r="AA727" s="1402"/>
      <c r="AB727" s="1532"/>
      <c r="AC727" s="1405">
        <v>0.5</v>
      </c>
      <c r="AD727" s="1406"/>
      <c r="AE727" s="1406"/>
      <c r="AF727" s="1406"/>
      <c r="AG727" s="1407"/>
      <c r="AH727" s="1524">
        <f t="shared" ref="AH727:AH760" si="38">IF($AC727&gt;0,($X727/$AZ727), "")</f>
        <v>0.5</v>
      </c>
      <c r="AI727" s="1525"/>
      <c r="AJ727" s="1526"/>
      <c r="AK727" s="1425" t="s">
        <v>591</v>
      </c>
      <c r="AL727" s="1426"/>
      <c r="AM727" s="1426"/>
      <c r="AN727" s="1426"/>
      <c r="AO727" s="1427"/>
      <c r="AP727" s="3"/>
      <c r="AQ727" s="3"/>
      <c r="AR727" s="3"/>
      <c r="AS727" s="3"/>
      <c r="AZ727" s="118">
        <f t="shared" si="11"/>
        <v>2650</v>
      </c>
      <c r="BA727" s="3"/>
      <c r="BB727" s="3"/>
      <c r="BC727" s="3"/>
      <c r="BD727" s="3"/>
      <c r="BE727" s="204"/>
      <c r="BF727" s="294">
        <f t="shared" si="12"/>
        <v>1</v>
      </c>
      <c r="BG727" s="297">
        <f t="shared" si="13"/>
        <v>1.7241379310344827E-2</v>
      </c>
      <c r="BH727" s="298">
        <f t="shared" si="14"/>
        <v>8.6206896551724137E-3</v>
      </c>
      <c r="BI727" s="3"/>
      <c r="BJ727" s="3"/>
      <c r="BK727" s="3"/>
      <c r="BL727" s="3"/>
      <c r="BM727" s="3"/>
      <c r="BN727" s="3"/>
      <c r="BS727" s="294">
        <f t="shared" si="15"/>
        <v>1</v>
      </c>
      <c r="BT727" s="297">
        <f t="shared" si="16"/>
        <v>1.7241379310344827E-2</v>
      </c>
      <c r="BU727" s="298">
        <f t="shared" si="17"/>
        <v>8.6206896551724137E-3</v>
      </c>
      <c r="CC727" s="3"/>
      <c r="CD727" s="3"/>
      <c r="CE727" s="3"/>
      <c r="CF727" s="3"/>
      <c r="CG727" s="1515">
        <f t="shared" ref="CG727:CG760" si="39">IF(AND(AC727&lt;=0.5,AC727&gt;=0.36),1,0)</f>
        <v>1</v>
      </c>
      <c r="CH727" s="1517"/>
      <c r="CI727" s="1518">
        <f t="shared" ref="CI727:CI760" si="40">IF(CG727=1,G727,0)</f>
        <v>1</v>
      </c>
      <c r="CJ727" s="1519"/>
      <c r="CK727" s="1515">
        <f t="shared" si="18"/>
        <v>0</v>
      </c>
      <c r="CL727" s="1517"/>
      <c r="CM727" s="1518">
        <f t="shared" si="19"/>
        <v>0</v>
      </c>
      <c r="CN727" s="1519"/>
      <c r="CO727" s="3"/>
      <c r="CP727" s="1508">
        <f t="shared" si="20"/>
        <v>1</v>
      </c>
      <c r="CQ727" s="1509"/>
      <c r="CR727" s="1509"/>
      <c r="CS727" s="1509"/>
      <c r="CT727" s="1510"/>
      <c r="CU727" s="1493">
        <f t="shared" si="21"/>
        <v>0</v>
      </c>
      <c r="CV727" s="1493"/>
      <c r="CW727" s="1493"/>
      <c r="CX727" s="1493"/>
      <c r="CY727" s="1493"/>
      <c r="CZ727" s="1493">
        <f t="shared" si="22"/>
        <v>0</v>
      </c>
      <c r="DA727" s="1493"/>
      <c r="DB727" s="1493"/>
      <c r="DC727" s="1493"/>
      <c r="DD727" s="1493"/>
      <c r="DE727" s="1493">
        <f t="shared" si="23"/>
        <v>0</v>
      </c>
      <c r="DF727" s="1493"/>
      <c r="DG727" s="1493"/>
      <c r="DH727" s="1493"/>
      <c r="DI727" s="1493"/>
      <c r="DJ727" s="1493">
        <f t="shared" si="24"/>
        <v>0</v>
      </c>
      <c r="DK727" s="1493"/>
      <c r="DL727" s="1493"/>
      <c r="DM727" s="1493"/>
      <c r="DN727" s="1493"/>
      <c r="DO727" s="1493">
        <f t="shared" si="25"/>
        <v>0</v>
      </c>
      <c r="DP727" s="1493"/>
      <c r="DQ727" s="1493"/>
      <c r="DR727" s="1493"/>
      <c r="DS727" s="1493"/>
      <c r="DT727" s="6"/>
      <c r="DU727" s="1494">
        <f t="shared" si="26"/>
        <v>0</v>
      </c>
      <c r="DV727" s="1494"/>
      <c r="DW727" s="1494"/>
      <c r="DX727" s="1494"/>
      <c r="DY727" s="1494"/>
      <c r="DZ727" s="1494">
        <f t="shared" si="27"/>
        <v>0</v>
      </c>
      <c r="EA727" s="1494"/>
      <c r="EB727" s="1494"/>
      <c r="EC727" s="1494"/>
      <c r="ED727" s="1494"/>
      <c r="EE727" s="1494">
        <f t="shared" si="28"/>
        <v>0</v>
      </c>
      <c r="EF727" s="1494"/>
      <c r="EG727" s="1494"/>
      <c r="EH727" s="1494"/>
      <c r="EI727" s="1494"/>
      <c r="EJ727" s="1494">
        <f t="shared" si="29"/>
        <v>0</v>
      </c>
      <c r="EK727" s="1494"/>
      <c r="EL727" s="1494"/>
      <c r="EM727" s="1494"/>
      <c r="EN727" s="1494"/>
      <c r="EO727" s="1494">
        <f t="shared" si="30"/>
        <v>0</v>
      </c>
      <c r="EP727" s="1494"/>
      <c r="EQ727" s="1494"/>
      <c r="ER727" s="1494"/>
      <c r="ES727" s="1494"/>
      <c r="ET727" s="1494">
        <f t="shared" si="31"/>
        <v>0</v>
      </c>
      <c r="EU727" s="1494"/>
      <c r="EV727" s="1494"/>
      <c r="EW727" s="1494"/>
      <c r="EX727" s="1494"/>
      <c r="EY727" s="4"/>
      <c r="EZ727" s="1515">
        <f t="shared" si="32"/>
        <v>1325</v>
      </c>
      <c r="FA727" s="1516"/>
      <c r="FB727" s="1516"/>
      <c r="FC727" s="1516"/>
      <c r="FD727" s="1517"/>
      <c r="FE727" s="1515" t="str">
        <f t="shared" si="33"/>
        <v/>
      </c>
      <c r="FF727" s="1516"/>
      <c r="FG727" s="1516"/>
      <c r="FH727" s="1516"/>
      <c r="FI727" s="1517"/>
      <c r="FJ727" s="1515" t="str">
        <f t="shared" si="34"/>
        <v/>
      </c>
      <c r="FK727" s="1516"/>
      <c r="FL727" s="1516"/>
      <c r="FM727" s="1516"/>
      <c r="FN727" s="1517"/>
      <c r="FO727" s="1515" t="str">
        <f t="shared" si="35"/>
        <v/>
      </c>
      <c r="FP727" s="1516"/>
      <c r="FQ727" s="1516"/>
      <c r="FR727" s="1516"/>
      <c r="FS727" s="1517"/>
      <c r="FT727" s="1515" t="str">
        <f t="shared" si="36"/>
        <v/>
      </c>
      <c r="FU727" s="1516"/>
      <c r="FV727" s="1516"/>
      <c r="FW727" s="1516"/>
      <c r="FX727" s="1517"/>
      <c r="FY727" s="1515" t="str">
        <f t="shared" si="37"/>
        <v/>
      </c>
      <c r="FZ727" s="1516"/>
      <c r="GA727" s="1516"/>
      <c r="GB727" s="1516"/>
      <c r="GC727" s="1517"/>
    </row>
    <row r="728" spans="1:185" ht="12.95" customHeight="1">
      <c r="A728" s="4"/>
      <c r="B728" s="1425" t="s">
        <v>324</v>
      </c>
      <c r="C728" s="1426"/>
      <c r="D728" s="1426"/>
      <c r="E728" s="1426"/>
      <c r="F728" s="1427"/>
      <c r="G728" s="1504">
        <v>3</v>
      </c>
      <c r="H728" s="1505"/>
      <c r="I728" s="1505"/>
      <c r="J728" s="1506"/>
      <c r="K728" s="1548">
        <v>375</v>
      </c>
      <c r="L728" s="1549"/>
      <c r="M728" s="1549"/>
      <c r="N728" s="1550"/>
      <c r="O728" s="1473">
        <f>1855-T728</f>
        <v>1855</v>
      </c>
      <c r="P728" s="1474"/>
      <c r="Q728" s="1474"/>
      <c r="R728" s="1474"/>
      <c r="S728" s="1475"/>
      <c r="T728" s="1473">
        <v>0</v>
      </c>
      <c r="U728" s="1474"/>
      <c r="V728" s="1474"/>
      <c r="W728" s="1475"/>
      <c r="X728" s="1531">
        <f t="shared" si="10"/>
        <v>1855</v>
      </c>
      <c r="Y728" s="1402"/>
      <c r="Z728" s="1402"/>
      <c r="AA728" s="1402"/>
      <c r="AB728" s="1532"/>
      <c r="AC728" s="1405">
        <v>0.7</v>
      </c>
      <c r="AD728" s="1406"/>
      <c r="AE728" s="1406"/>
      <c r="AF728" s="1406"/>
      <c r="AG728" s="1407"/>
      <c r="AH728" s="1524">
        <f t="shared" si="38"/>
        <v>0.7</v>
      </c>
      <c r="AI728" s="1525"/>
      <c r="AJ728" s="1526"/>
      <c r="AK728" s="1425" t="s">
        <v>591</v>
      </c>
      <c r="AL728" s="1426"/>
      <c r="AM728" s="1426"/>
      <c r="AN728" s="1426"/>
      <c r="AO728" s="1427"/>
      <c r="AP728" s="3"/>
      <c r="AQ728" s="3"/>
      <c r="AR728" s="3"/>
      <c r="AS728" s="3"/>
      <c r="AZ728" s="118">
        <f t="shared" si="11"/>
        <v>2650</v>
      </c>
      <c r="BA728" s="3"/>
      <c r="BB728" s="3"/>
      <c r="BC728" s="3"/>
      <c r="BD728" s="3"/>
      <c r="BE728" s="204"/>
      <c r="BF728" s="294">
        <f t="shared" si="12"/>
        <v>3</v>
      </c>
      <c r="BG728" s="297">
        <f t="shared" si="13"/>
        <v>5.1724137931034482E-2</v>
      </c>
      <c r="BH728" s="298">
        <f t="shared" si="14"/>
        <v>3.6206896551724134E-2</v>
      </c>
      <c r="BI728" s="3"/>
      <c r="BJ728" s="3"/>
      <c r="BK728" s="3"/>
      <c r="BL728" s="3"/>
      <c r="BM728" s="3"/>
      <c r="BN728" s="3"/>
      <c r="BS728" s="294">
        <f t="shared" si="15"/>
        <v>3</v>
      </c>
      <c r="BT728" s="297">
        <f t="shared" si="16"/>
        <v>5.1724137931034482E-2</v>
      </c>
      <c r="BU728" s="298">
        <f t="shared" si="17"/>
        <v>3.6206896551724134E-2</v>
      </c>
      <c r="CC728" s="3"/>
      <c r="CD728" s="3"/>
      <c r="CE728" s="3"/>
      <c r="CF728" s="3"/>
      <c r="CG728" s="1515">
        <f t="shared" si="39"/>
        <v>0</v>
      </c>
      <c r="CH728" s="1517"/>
      <c r="CI728" s="1518">
        <f t="shared" si="40"/>
        <v>0</v>
      </c>
      <c r="CJ728" s="1519"/>
      <c r="CK728" s="1515">
        <f t="shared" si="18"/>
        <v>0</v>
      </c>
      <c r="CL728" s="1517"/>
      <c r="CM728" s="1518">
        <f t="shared" si="19"/>
        <v>0</v>
      </c>
      <c r="CN728" s="1519"/>
      <c r="CO728" s="3"/>
      <c r="CP728" s="1508">
        <f t="shared" si="20"/>
        <v>3</v>
      </c>
      <c r="CQ728" s="1509"/>
      <c r="CR728" s="1509"/>
      <c r="CS728" s="1509"/>
      <c r="CT728" s="1510"/>
      <c r="CU728" s="1493">
        <f t="shared" si="21"/>
        <v>0</v>
      </c>
      <c r="CV728" s="1493"/>
      <c r="CW728" s="1493"/>
      <c r="CX728" s="1493"/>
      <c r="CY728" s="1493"/>
      <c r="CZ728" s="1493">
        <f t="shared" si="22"/>
        <v>0</v>
      </c>
      <c r="DA728" s="1493"/>
      <c r="DB728" s="1493"/>
      <c r="DC728" s="1493"/>
      <c r="DD728" s="1493"/>
      <c r="DE728" s="1493">
        <f t="shared" si="23"/>
        <v>0</v>
      </c>
      <c r="DF728" s="1493"/>
      <c r="DG728" s="1493"/>
      <c r="DH728" s="1493"/>
      <c r="DI728" s="1493"/>
      <c r="DJ728" s="1493">
        <f t="shared" si="24"/>
        <v>0</v>
      </c>
      <c r="DK728" s="1493"/>
      <c r="DL728" s="1493"/>
      <c r="DM728" s="1493"/>
      <c r="DN728" s="1493"/>
      <c r="DO728" s="1493">
        <f t="shared" si="25"/>
        <v>0</v>
      </c>
      <c r="DP728" s="1493"/>
      <c r="DQ728" s="1493"/>
      <c r="DR728" s="1493"/>
      <c r="DS728" s="1493"/>
      <c r="DT728" s="6"/>
      <c r="DU728" s="1494">
        <f t="shared" si="26"/>
        <v>0</v>
      </c>
      <c r="DV728" s="1494"/>
      <c r="DW728" s="1494"/>
      <c r="DX728" s="1494"/>
      <c r="DY728" s="1494"/>
      <c r="DZ728" s="1494">
        <f t="shared" si="27"/>
        <v>0</v>
      </c>
      <c r="EA728" s="1494"/>
      <c r="EB728" s="1494"/>
      <c r="EC728" s="1494"/>
      <c r="ED728" s="1494"/>
      <c r="EE728" s="1494">
        <f t="shared" si="28"/>
        <v>0</v>
      </c>
      <c r="EF728" s="1494"/>
      <c r="EG728" s="1494"/>
      <c r="EH728" s="1494"/>
      <c r="EI728" s="1494"/>
      <c r="EJ728" s="1494">
        <f t="shared" si="29"/>
        <v>0</v>
      </c>
      <c r="EK728" s="1494"/>
      <c r="EL728" s="1494"/>
      <c r="EM728" s="1494"/>
      <c r="EN728" s="1494"/>
      <c r="EO728" s="1494">
        <f t="shared" si="30"/>
        <v>0</v>
      </c>
      <c r="EP728" s="1494"/>
      <c r="EQ728" s="1494"/>
      <c r="ER728" s="1494"/>
      <c r="ES728" s="1494"/>
      <c r="ET728" s="1494">
        <f t="shared" si="31"/>
        <v>0</v>
      </c>
      <c r="EU728" s="1494"/>
      <c r="EV728" s="1494"/>
      <c r="EW728" s="1494"/>
      <c r="EX728" s="1494"/>
      <c r="EZ728" s="1515">
        <f t="shared" si="32"/>
        <v>1855</v>
      </c>
      <c r="FA728" s="1516"/>
      <c r="FB728" s="1516"/>
      <c r="FC728" s="1516"/>
      <c r="FD728" s="1517"/>
      <c r="FE728" s="1515" t="str">
        <f t="shared" si="33"/>
        <v/>
      </c>
      <c r="FF728" s="1516"/>
      <c r="FG728" s="1516"/>
      <c r="FH728" s="1516"/>
      <c r="FI728" s="1517"/>
      <c r="FJ728" s="1515" t="str">
        <f t="shared" si="34"/>
        <v/>
      </c>
      <c r="FK728" s="1516"/>
      <c r="FL728" s="1516"/>
      <c r="FM728" s="1516"/>
      <c r="FN728" s="1517"/>
      <c r="FO728" s="1515" t="str">
        <f t="shared" si="35"/>
        <v/>
      </c>
      <c r="FP728" s="1516"/>
      <c r="FQ728" s="1516"/>
      <c r="FR728" s="1516"/>
      <c r="FS728" s="1517"/>
      <c r="FT728" s="1515" t="str">
        <f t="shared" si="36"/>
        <v/>
      </c>
      <c r="FU728" s="1516"/>
      <c r="FV728" s="1516"/>
      <c r="FW728" s="1516"/>
      <c r="FX728" s="1517"/>
      <c r="FY728" s="1515" t="str">
        <f t="shared" si="37"/>
        <v/>
      </c>
      <c r="FZ728" s="1516"/>
      <c r="GA728" s="1516"/>
      <c r="GB728" s="1516"/>
      <c r="GC728" s="1517"/>
    </row>
    <row r="729" spans="1:185" ht="12.95" customHeight="1">
      <c r="B729" s="1425"/>
      <c r="C729" s="1426"/>
      <c r="D729" s="1426"/>
      <c r="E729" s="1426"/>
      <c r="F729" s="1427"/>
      <c r="G729" s="1504"/>
      <c r="H729" s="1505"/>
      <c r="I729" s="1505"/>
      <c r="J729" s="1506"/>
      <c r="K729" s="1548"/>
      <c r="L729" s="1549"/>
      <c r="M729" s="1549"/>
      <c r="N729" s="1550"/>
      <c r="O729" s="1473"/>
      <c r="P729" s="1474"/>
      <c r="Q729" s="1474"/>
      <c r="R729" s="1474"/>
      <c r="S729" s="1475"/>
      <c r="T729" s="1473"/>
      <c r="U729" s="1474"/>
      <c r="V729" s="1474"/>
      <c r="W729" s="1475"/>
      <c r="X729" s="1531">
        <f t="shared" si="10"/>
        <v>0</v>
      </c>
      <c r="Y729" s="1402"/>
      <c r="Z729" s="1402"/>
      <c r="AA729" s="1402"/>
      <c r="AB729" s="1532"/>
      <c r="AC729" s="1405"/>
      <c r="AD729" s="1406"/>
      <c r="AE729" s="1406"/>
      <c r="AF729" s="1406"/>
      <c r="AG729" s="1407"/>
      <c r="AH729" s="1524" t="str">
        <f t="shared" si="38"/>
        <v/>
      </c>
      <c r="AI729" s="1525"/>
      <c r="AJ729" s="1526"/>
      <c r="AK729" s="1425" t="s">
        <v>591</v>
      </c>
      <c r="AL729" s="1426"/>
      <c r="AM729" s="1426"/>
      <c r="AN729" s="1426"/>
      <c r="AO729" s="1427"/>
      <c r="AP729" s="3"/>
      <c r="AQ729" s="3"/>
      <c r="AR729" s="3"/>
      <c r="AS729" s="3"/>
      <c r="AY729" s="116"/>
      <c r="AZ729" s="118" t="str">
        <f t="shared" si="11"/>
        <v>N/A</v>
      </c>
      <c r="BA729" s="3"/>
      <c r="BB729" s="3"/>
      <c r="BC729" s="3"/>
      <c r="BD729" s="3"/>
      <c r="BE729" s="204"/>
      <c r="BF729" s="294">
        <f t="shared" si="12"/>
        <v>0</v>
      </c>
      <c r="BG729" s="297">
        <f t="shared" si="13"/>
        <v>0</v>
      </c>
      <c r="BH729" s="298" t="str">
        <f t="shared" si="14"/>
        <v/>
      </c>
      <c r="BI729" s="3"/>
      <c r="BJ729" s="3"/>
      <c r="BK729" s="3"/>
      <c r="BL729" s="3"/>
      <c r="BM729" s="3"/>
      <c r="BN729" s="3"/>
      <c r="BS729" s="294">
        <f t="shared" si="15"/>
        <v>0</v>
      </c>
      <c r="BT729" s="297">
        <f t="shared" si="16"/>
        <v>0</v>
      </c>
      <c r="BU729" s="298" t="str">
        <f t="shared" si="17"/>
        <v/>
      </c>
      <c r="CC729" s="3"/>
      <c r="CD729" s="3"/>
      <c r="CE729" s="3"/>
      <c r="CF729" s="3"/>
      <c r="CG729" s="1515">
        <f t="shared" si="39"/>
        <v>0</v>
      </c>
      <c r="CH729" s="1517"/>
      <c r="CI729" s="1518">
        <f t="shared" si="40"/>
        <v>0</v>
      </c>
      <c r="CJ729" s="1519"/>
      <c r="CK729" s="1515">
        <f t="shared" si="18"/>
        <v>0</v>
      </c>
      <c r="CL729" s="1517"/>
      <c r="CM729" s="1518">
        <f t="shared" si="19"/>
        <v>0</v>
      </c>
      <c r="CN729" s="1519"/>
      <c r="CO729" s="3"/>
      <c r="CP729" s="1508">
        <f t="shared" si="20"/>
        <v>0</v>
      </c>
      <c r="CQ729" s="1509"/>
      <c r="CR729" s="1509"/>
      <c r="CS729" s="1509"/>
      <c r="CT729" s="1510"/>
      <c r="CU729" s="1493">
        <f t="shared" si="21"/>
        <v>0</v>
      </c>
      <c r="CV729" s="1493"/>
      <c r="CW729" s="1493"/>
      <c r="CX729" s="1493"/>
      <c r="CY729" s="1493"/>
      <c r="CZ729" s="1493">
        <f t="shared" si="22"/>
        <v>0</v>
      </c>
      <c r="DA729" s="1493"/>
      <c r="DB729" s="1493"/>
      <c r="DC729" s="1493"/>
      <c r="DD729" s="1493"/>
      <c r="DE729" s="1493">
        <f t="shared" si="23"/>
        <v>0</v>
      </c>
      <c r="DF729" s="1493"/>
      <c r="DG729" s="1493"/>
      <c r="DH729" s="1493"/>
      <c r="DI729" s="1493"/>
      <c r="DJ729" s="1493">
        <f t="shared" si="24"/>
        <v>0</v>
      </c>
      <c r="DK729" s="1493"/>
      <c r="DL729" s="1493"/>
      <c r="DM729" s="1493"/>
      <c r="DN729" s="1493"/>
      <c r="DO729" s="1493">
        <f t="shared" si="25"/>
        <v>0</v>
      </c>
      <c r="DP729" s="1493"/>
      <c r="DQ729" s="1493"/>
      <c r="DR729" s="1493"/>
      <c r="DS729" s="1493"/>
      <c r="DT729" s="6"/>
      <c r="DU729" s="1494">
        <f t="shared" si="26"/>
        <v>0</v>
      </c>
      <c r="DV729" s="1494"/>
      <c r="DW729" s="1494"/>
      <c r="DX729" s="1494"/>
      <c r="DY729" s="1494"/>
      <c r="DZ729" s="1494">
        <f t="shared" si="27"/>
        <v>0</v>
      </c>
      <c r="EA729" s="1494"/>
      <c r="EB729" s="1494"/>
      <c r="EC729" s="1494"/>
      <c r="ED729" s="1494"/>
      <c r="EE729" s="1494">
        <f t="shared" si="28"/>
        <v>0</v>
      </c>
      <c r="EF729" s="1494"/>
      <c r="EG729" s="1494"/>
      <c r="EH729" s="1494"/>
      <c r="EI729" s="1494"/>
      <c r="EJ729" s="1494">
        <f t="shared" si="29"/>
        <v>0</v>
      </c>
      <c r="EK729" s="1494"/>
      <c r="EL729" s="1494"/>
      <c r="EM729" s="1494"/>
      <c r="EN729" s="1494"/>
      <c r="EO729" s="1494">
        <f t="shared" si="30"/>
        <v>0</v>
      </c>
      <c r="EP729" s="1494"/>
      <c r="EQ729" s="1494"/>
      <c r="ER729" s="1494"/>
      <c r="ES729" s="1494"/>
      <c r="ET729" s="1494">
        <f t="shared" si="31"/>
        <v>0</v>
      </c>
      <c r="EU729" s="1494"/>
      <c r="EV729" s="1494"/>
      <c r="EW729" s="1494"/>
      <c r="EX729" s="1494"/>
      <c r="EZ729" s="1515" t="str">
        <f t="shared" si="32"/>
        <v/>
      </c>
      <c r="FA729" s="1516"/>
      <c r="FB729" s="1516"/>
      <c r="FC729" s="1516"/>
      <c r="FD729" s="1517"/>
      <c r="FE729" s="1515" t="str">
        <f t="shared" si="33"/>
        <v/>
      </c>
      <c r="FF729" s="1516"/>
      <c r="FG729" s="1516"/>
      <c r="FH729" s="1516"/>
      <c r="FI729" s="1517"/>
      <c r="FJ729" s="1515" t="str">
        <f t="shared" si="34"/>
        <v/>
      </c>
      <c r="FK729" s="1516"/>
      <c r="FL729" s="1516"/>
      <c r="FM729" s="1516"/>
      <c r="FN729" s="1517"/>
      <c r="FO729" s="1515" t="str">
        <f t="shared" si="35"/>
        <v/>
      </c>
      <c r="FP729" s="1516"/>
      <c r="FQ729" s="1516"/>
      <c r="FR729" s="1516"/>
      <c r="FS729" s="1517"/>
      <c r="FT729" s="1515" t="str">
        <f t="shared" si="36"/>
        <v/>
      </c>
      <c r="FU729" s="1516"/>
      <c r="FV729" s="1516"/>
      <c r="FW729" s="1516"/>
      <c r="FX729" s="1517"/>
      <c r="FY729" s="1515" t="str">
        <f t="shared" si="37"/>
        <v/>
      </c>
      <c r="FZ729" s="1516"/>
      <c r="GA729" s="1516"/>
      <c r="GB729" s="1516"/>
      <c r="GC729" s="1517"/>
    </row>
    <row r="730" spans="1:185" ht="12.95" customHeight="1">
      <c r="B730" s="1653" t="s">
        <v>325</v>
      </c>
      <c r="C730" s="1426"/>
      <c r="D730" s="1426"/>
      <c r="E730" s="1426"/>
      <c r="F730" s="1427"/>
      <c r="G730" s="1504">
        <v>5</v>
      </c>
      <c r="H730" s="1505"/>
      <c r="I730" s="1505"/>
      <c r="J730" s="1506"/>
      <c r="K730" s="1548">
        <v>468</v>
      </c>
      <c r="L730" s="1549"/>
      <c r="M730" s="1549"/>
      <c r="N730" s="1550"/>
      <c r="O730" s="1473">
        <f>852-T730</f>
        <v>852</v>
      </c>
      <c r="P730" s="1474"/>
      <c r="Q730" s="1474"/>
      <c r="R730" s="1474"/>
      <c r="S730" s="1475"/>
      <c r="T730" s="1473">
        <v>0</v>
      </c>
      <c r="U730" s="1474"/>
      <c r="V730" s="1474"/>
      <c r="W730" s="1475"/>
      <c r="X730" s="1531">
        <f t="shared" si="10"/>
        <v>852</v>
      </c>
      <c r="Y730" s="1402"/>
      <c r="Z730" s="1402"/>
      <c r="AA730" s="1402"/>
      <c r="AB730" s="1532"/>
      <c r="AC730" s="1405">
        <v>0.3</v>
      </c>
      <c r="AD730" s="1406"/>
      <c r="AE730" s="1406"/>
      <c r="AF730" s="1406"/>
      <c r="AG730" s="1407"/>
      <c r="AH730" s="1524">
        <f t="shared" si="38"/>
        <v>0.3</v>
      </c>
      <c r="AI730" s="1525"/>
      <c r="AJ730" s="1526"/>
      <c r="AK730" s="1425" t="s">
        <v>591</v>
      </c>
      <c r="AL730" s="1426"/>
      <c r="AM730" s="1426"/>
      <c r="AN730" s="1426"/>
      <c r="AO730" s="1427"/>
      <c r="AP730" s="3"/>
      <c r="AQ730" s="3"/>
      <c r="AR730" s="3"/>
      <c r="AS730" s="3"/>
      <c r="AY730" s="116"/>
      <c r="AZ730" s="118">
        <f t="shared" si="11"/>
        <v>2840</v>
      </c>
      <c r="BA730" s="3"/>
      <c r="BB730" s="3"/>
      <c r="BC730" s="3"/>
      <c r="BD730" s="3"/>
      <c r="BE730" s="204"/>
      <c r="BF730" s="294">
        <f t="shared" si="12"/>
        <v>5</v>
      </c>
      <c r="BG730" s="297">
        <f t="shared" si="13"/>
        <v>8.6206896551724144E-2</v>
      </c>
      <c r="BH730" s="298">
        <f t="shared" si="14"/>
        <v>2.5862068965517241E-2</v>
      </c>
      <c r="BI730" s="3"/>
      <c r="BJ730" s="3"/>
      <c r="BK730" s="3"/>
      <c r="BL730" s="3"/>
      <c r="BM730" s="3"/>
      <c r="BN730" s="3"/>
      <c r="BS730" s="294">
        <f t="shared" si="15"/>
        <v>5</v>
      </c>
      <c r="BT730" s="297">
        <f t="shared" si="16"/>
        <v>8.6206896551724144E-2</v>
      </c>
      <c r="BU730" s="298">
        <f t="shared" si="17"/>
        <v>2.5862068965517241E-2</v>
      </c>
      <c r="CC730" s="3"/>
      <c r="CD730" s="3"/>
      <c r="CE730" s="3"/>
      <c r="CF730" s="3"/>
      <c r="CG730" s="1515">
        <f t="shared" si="39"/>
        <v>0</v>
      </c>
      <c r="CH730" s="1517"/>
      <c r="CI730" s="1518">
        <f t="shared" si="40"/>
        <v>0</v>
      </c>
      <c r="CJ730" s="1519"/>
      <c r="CK730" s="1515">
        <f t="shared" si="18"/>
        <v>1</v>
      </c>
      <c r="CL730" s="1517"/>
      <c r="CM730" s="1518">
        <f t="shared" si="19"/>
        <v>5</v>
      </c>
      <c r="CN730" s="1519"/>
      <c r="CO730" s="3"/>
      <c r="CP730" s="1508">
        <f t="shared" si="20"/>
        <v>0</v>
      </c>
      <c r="CQ730" s="1509"/>
      <c r="CR730" s="1509"/>
      <c r="CS730" s="1509"/>
      <c r="CT730" s="1510"/>
      <c r="CU730" s="1493">
        <f t="shared" si="21"/>
        <v>5</v>
      </c>
      <c r="CV730" s="1493"/>
      <c r="CW730" s="1493"/>
      <c r="CX730" s="1493"/>
      <c r="CY730" s="1493"/>
      <c r="CZ730" s="1493">
        <f t="shared" si="22"/>
        <v>0</v>
      </c>
      <c r="DA730" s="1493"/>
      <c r="DB730" s="1493"/>
      <c r="DC730" s="1493"/>
      <c r="DD730" s="1493"/>
      <c r="DE730" s="1493">
        <f t="shared" si="23"/>
        <v>0</v>
      </c>
      <c r="DF730" s="1493"/>
      <c r="DG730" s="1493"/>
      <c r="DH730" s="1493"/>
      <c r="DI730" s="1493"/>
      <c r="DJ730" s="1493">
        <f t="shared" si="24"/>
        <v>0</v>
      </c>
      <c r="DK730" s="1493"/>
      <c r="DL730" s="1493"/>
      <c r="DM730" s="1493"/>
      <c r="DN730" s="1493"/>
      <c r="DO730" s="1493">
        <f t="shared" si="25"/>
        <v>0</v>
      </c>
      <c r="DP730" s="1493"/>
      <c r="DQ730" s="1493"/>
      <c r="DR730" s="1493"/>
      <c r="DS730" s="1493"/>
      <c r="DT730" s="6"/>
      <c r="DU730" s="1494">
        <f t="shared" si="26"/>
        <v>0</v>
      </c>
      <c r="DV730" s="1494"/>
      <c r="DW730" s="1494"/>
      <c r="DX730" s="1494"/>
      <c r="DY730" s="1494"/>
      <c r="DZ730" s="1494">
        <f t="shared" si="27"/>
        <v>5</v>
      </c>
      <c r="EA730" s="1494"/>
      <c r="EB730" s="1494"/>
      <c r="EC730" s="1494"/>
      <c r="ED730" s="1494"/>
      <c r="EE730" s="1494">
        <f t="shared" si="28"/>
        <v>0</v>
      </c>
      <c r="EF730" s="1494"/>
      <c r="EG730" s="1494"/>
      <c r="EH730" s="1494"/>
      <c r="EI730" s="1494"/>
      <c r="EJ730" s="1494">
        <f t="shared" si="29"/>
        <v>0</v>
      </c>
      <c r="EK730" s="1494"/>
      <c r="EL730" s="1494"/>
      <c r="EM730" s="1494"/>
      <c r="EN730" s="1494"/>
      <c r="EO730" s="1494">
        <f t="shared" si="30"/>
        <v>0</v>
      </c>
      <c r="EP730" s="1494"/>
      <c r="EQ730" s="1494"/>
      <c r="ER730" s="1494"/>
      <c r="ES730" s="1494"/>
      <c r="ET730" s="1494">
        <f t="shared" si="31"/>
        <v>0</v>
      </c>
      <c r="EU730" s="1494"/>
      <c r="EV730" s="1494"/>
      <c r="EW730" s="1494"/>
      <c r="EX730" s="1494"/>
      <c r="EZ730" s="1515" t="str">
        <f t="shared" si="32"/>
        <v/>
      </c>
      <c r="FA730" s="1516"/>
      <c r="FB730" s="1516"/>
      <c r="FC730" s="1516"/>
      <c r="FD730" s="1517"/>
      <c r="FE730" s="1515">
        <f t="shared" si="33"/>
        <v>852</v>
      </c>
      <c r="FF730" s="1516"/>
      <c r="FG730" s="1516"/>
      <c r="FH730" s="1516"/>
      <c r="FI730" s="1517"/>
      <c r="FJ730" s="1515" t="str">
        <f t="shared" si="34"/>
        <v/>
      </c>
      <c r="FK730" s="1516"/>
      <c r="FL730" s="1516"/>
      <c r="FM730" s="1516"/>
      <c r="FN730" s="1517"/>
      <c r="FO730" s="1515" t="str">
        <f t="shared" si="35"/>
        <v/>
      </c>
      <c r="FP730" s="1516"/>
      <c r="FQ730" s="1516"/>
      <c r="FR730" s="1516"/>
      <c r="FS730" s="1517"/>
      <c r="FT730" s="1515" t="str">
        <f t="shared" si="36"/>
        <v/>
      </c>
      <c r="FU730" s="1516"/>
      <c r="FV730" s="1516"/>
      <c r="FW730" s="1516"/>
      <c r="FX730" s="1517"/>
      <c r="FY730" s="1515" t="str">
        <f t="shared" si="37"/>
        <v/>
      </c>
      <c r="FZ730" s="1516"/>
      <c r="GA730" s="1516"/>
      <c r="GB730" s="1516"/>
      <c r="GC730" s="1517"/>
    </row>
    <row r="731" spans="1:185" ht="12.95" customHeight="1">
      <c r="B731" s="1425" t="s">
        <v>325</v>
      </c>
      <c r="C731" s="1426"/>
      <c r="D731" s="1426"/>
      <c r="E731" s="1426"/>
      <c r="F731" s="1427"/>
      <c r="G731" s="1504">
        <v>6</v>
      </c>
      <c r="H731" s="1505"/>
      <c r="I731" s="1505"/>
      <c r="J731" s="1506"/>
      <c r="K731" s="1548">
        <v>468</v>
      </c>
      <c r="L731" s="1549"/>
      <c r="M731" s="1549"/>
      <c r="N731" s="1550"/>
      <c r="O731" s="1473">
        <f>1420-T731</f>
        <v>1420</v>
      </c>
      <c r="P731" s="1474"/>
      <c r="Q731" s="1474"/>
      <c r="R731" s="1474"/>
      <c r="S731" s="1475"/>
      <c r="T731" s="1473">
        <v>0</v>
      </c>
      <c r="U731" s="1474"/>
      <c r="V731" s="1474"/>
      <c r="W731" s="1475"/>
      <c r="X731" s="1531">
        <f t="shared" si="10"/>
        <v>1420</v>
      </c>
      <c r="Y731" s="1402"/>
      <c r="Z731" s="1402"/>
      <c r="AA731" s="1402"/>
      <c r="AB731" s="1532"/>
      <c r="AC731" s="1405">
        <v>0.5</v>
      </c>
      <c r="AD731" s="1406"/>
      <c r="AE731" s="1406"/>
      <c r="AF731" s="1406"/>
      <c r="AG731" s="1407"/>
      <c r="AH731" s="1524">
        <f t="shared" si="38"/>
        <v>0.5</v>
      </c>
      <c r="AI731" s="1525"/>
      <c r="AJ731" s="1526"/>
      <c r="AK731" s="1425" t="s">
        <v>591</v>
      </c>
      <c r="AL731" s="1426"/>
      <c r="AM731" s="1426"/>
      <c r="AN731" s="1426"/>
      <c r="AO731" s="1427"/>
      <c r="AP731" s="3"/>
      <c r="AQ731" s="3"/>
      <c r="AR731" s="3"/>
      <c r="AS731" s="3"/>
      <c r="AY731" s="116"/>
      <c r="AZ731" s="118">
        <f t="shared" si="11"/>
        <v>2840</v>
      </c>
      <c r="BA731" s="3"/>
      <c r="BB731" s="3"/>
      <c r="BC731" s="3"/>
      <c r="BD731" s="3"/>
      <c r="BE731" s="204"/>
      <c r="BF731" s="294">
        <f t="shared" si="12"/>
        <v>6</v>
      </c>
      <c r="BG731" s="297">
        <f t="shared" si="13"/>
        <v>0.10344827586206896</v>
      </c>
      <c r="BH731" s="298">
        <f t="shared" si="14"/>
        <v>5.1724137931034482E-2</v>
      </c>
      <c r="BI731" s="3"/>
      <c r="BJ731" s="3"/>
      <c r="BK731" s="3"/>
      <c r="BL731" s="3"/>
      <c r="BM731" s="3"/>
      <c r="BN731" s="3"/>
      <c r="BS731" s="294">
        <f t="shared" si="15"/>
        <v>6</v>
      </c>
      <c r="BT731" s="297">
        <f t="shared" si="16"/>
        <v>0.10344827586206896</v>
      </c>
      <c r="BU731" s="298">
        <f t="shared" si="17"/>
        <v>5.1724137931034482E-2</v>
      </c>
      <c r="CC731" s="3"/>
      <c r="CD731" s="3"/>
      <c r="CE731" s="3"/>
      <c r="CF731" s="3"/>
      <c r="CG731" s="1515">
        <f t="shared" si="39"/>
        <v>1</v>
      </c>
      <c r="CH731" s="1517"/>
      <c r="CI731" s="1518">
        <f t="shared" si="40"/>
        <v>6</v>
      </c>
      <c r="CJ731" s="1519"/>
      <c r="CK731" s="1515">
        <f t="shared" si="18"/>
        <v>0</v>
      </c>
      <c r="CL731" s="1517"/>
      <c r="CM731" s="1518">
        <f t="shared" si="19"/>
        <v>0</v>
      </c>
      <c r="CN731" s="1519"/>
      <c r="CO731" s="3"/>
      <c r="CP731" s="1508">
        <f t="shared" si="20"/>
        <v>0</v>
      </c>
      <c r="CQ731" s="1509"/>
      <c r="CR731" s="1509"/>
      <c r="CS731" s="1509"/>
      <c r="CT731" s="1510"/>
      <c r="CU731" s="1493">
        <f t="shared" si="21"/>
        <v>6</v>
      </c>
      <c r="CV731" s="1493"/>
      <c r="CW731" s="1493"/>
      <c r="CX731" s="1493"/>
      <c r="CY731" s="1493"/>
      <c r="CZ731" s="1493">
        <f t="shared" si="22"/>
        <v>0</v>
      </c>
      <c r="DA731" s="1493"/>
      <c r="DB731" s="1493"/>
      <c r="DC731" s="1493"/>
      <c r="DD731" s="1493"/>
      <c r="DE731" s="1493">
        <f t="shared" si="23"/>
        <v>0</v>
      </c>
      <c r="DF731" s="1493"/>
      <c r="DG731" s="1493"/>
      <c r="DH731" s="1493"/>
      <c r="DI731" s="1493"/>
      <c r="DJ731" s="1493">
        <f t="shared" si="24"/>
        <v>0</v>
      </c>
      <c r="DK731" s="1493"/>
      <c r="DL731" s="1493"/>
      <c r="DM731" s="1493"/>
      <c r="DN731" s="1493"/>
      <c r="DO731" s="1493">
        <f t="shared" si="25"/>
        <v>0</v>
      </c>
      <c r="DP731" s="1493"/>
      <c r="DQ731" s="1493"/>
      <c r="DR731" s="1493"/>
      <c r="DS731" s="1493"/>
      <c r="DT731" s="6"/>
      <c r="DU731" s="1494">
        <f t="shared" si="26"/>
        <v>0</v>
      </c>
      <c r="DV731" s="1494"/>
      <c r="DW731" s="1494"/>
      <c r="DX731" s="1494"/>
      <c r="DY731" s="1494"/>
      <c r="DZ731" s="1494">
        <f t="shared" si="27"/>
        <v>0</v>
      </c>
      <c r="EA731" s="1494"/>
      <c r="EB731" s="1494"/>
      <c r="EC731" s="1494"/>
      <c r="ED731" s="1494"/>
      <c r="EE731" s="1494">
        <f t="shared" si="28"/>
        <v>0</v>
      </c>
      <c r="EF731" s="1494"/>
      <c r="EG731" s="1494"/>
      <c r="EH731" s="1494"/>
      <c r="EI731" s="1494"/>
      <c r="EJ731" s="1494">
        <f t="shared" si="29"/>
        <v>0</v>
      </c>
      <c r="EK731" s="1494"/>
      <c r="EL731" s="1494"/>
      <c r="EM731" s="1494"/>
      <c r="EN731" s="1494"/>
      <c r="EO731" s="1494">
        <f t="shared" si="30"/>
        <v>0</v>
      </c>
      <c r="EP731" s="1494"/>
      <c r="EQ731" s="1494"/>
      <c r="ER731" s="1494"/>
      <c r="ES731" s="1494"/>
      <c r="ET731" s="1494">
        <f t="shared" si="31"/>
        <v>0</v>
      </c>
      <c r="EU731" s="1494"/>
      <c r="EV731" s="1494"/>
      <c r="EW731" s="1494"/>
      <c r="EX731" s="1494"/>
      <c r="EZ731" s="1515" t="str">
        <f t="shared" si="32"/>
        <v/>
      </c>
      <c r="FA731" s="1516"/>
      <c r="FB731" s="1516"/>
      <c r="FC731" s="1516"/>
      <c r="FD731" s="1517"/>
      <c r="FE731" s="1515">
        <f t="shared" si="33"/>
        <v>1420</v>
      </c>
      <c r="FF731" s="1516"/>
      <c r="FG731" s="1516"/>
      <c r="FH731" s="1516"/>
      <c r="FI731" s="1517"/>
      <c r="FJ731" s="1515" t="str">
        <f t="shared" si="34"/>
        <v/>
      </c>
      <c r="FK731" s="1516"/>
      <c r="FL731" s="1516"/>
      <c r="FM731" s="1516"/>
      <c r="FN731" s="1517"/>
      <c r="FO731" s="1515" t="str">
        <f t="shared" si="35"/>
        <v/>
      </c>
      <c r="FP731" s="1516"/>
      <c r="FQ731" s="1516"/>
      <c r="FR731" s="1516"/>
      <c r="FS731" s="1517"/>
      <c r="FT731" s="1515" t="str">
        <f t="shared" si="36"/>
        <v/>
      </c>
      <c r="FU731" s="1516"/>
      <c r="FV731" s="1516"/>
      <c r="FW731" s="1516"/>
      <c r="FX731" s="1517"/>
      <c r="FY731" s="1515" t="str">
        <f t="shared" si="37"/>
        <v/>
      </c>
      <c r="FZ731" s="1516"/>
      <c r="GA731" s="1516"/>
      <c r="GB731" s="1516"/>
      <c r="GC731" s="1517"/>
    </row>
    <row r="732" spans="1:185" ht="12.95" customHeight="1">
      <c r="B732" s="1425" t="s">
        <v>325</v>
      </c>
      <c r="C732" s="1426"/>
      <c r="D732" s="1426"/>
      <c r="E732" s="1426"/>
      <c r="F732" s="1427"/>
      <c r="G732" s="1504">
        <v>26</v>
      </c>
      <c r="H732" s="1505"/>
      <c r="I732" s="1505"/>
      <c r="J732" s="1506"/>
      <c r="K732" s="1548">
        <v>468</v>
      </c>
      <c r="L732" s="1549"/>
      <c r="M732" s="1549"/>
      <c r="N732" s="1550"/>
      <c r="O732" s="1473">
        <f>1988-T732</f>
        <v>1988</v>
      </c>
      <c r="P732" s="1474"/>
      <c r="Q732" s="1474"/>
      <c r="R732" s="1474"/>
      <c r="S732" s="1475"/>
      <c r="T732" s="1473">
        <v>0</v>
      </c>
      <c r="U732" s="1474"/>
      <c r="V732" s="1474"/>
      <c r="W732" s="1475"/>
      <c r="X732" s="1531">
        <f t="shared" si="10"/>
        <v>1988</v>
      </c>
      <c r="Y732" s="1402"/>
      <c r="Z732" s="1402"/>
      <c r="AA732" s="1402"/>
      <c r="AB732" s="1532"/>
      <c r="AC732" s="1405">
        <v>0.7</v>
      </c>
      <c r="AD732" s="1406"/>
      <c r="AE732" s="1406"/>
      <c r="AF732" s="1406"/>
      <c r="AG732" s="1407"/>
      <c r="AH732" s="1524">
        <f t="shared" si="38"/>
        <v>0.7</v>
      </c>
      <c r="AI732" s="1525"/>
      <c r="AJ732" s="1526"/>
      <c r="AK732" s="1425" t="s">
        <v>591</v>
      </c>
      <c r="AL732" s="1426"/>
      <c r="AM732" s="1426"/>
      <c r="AN732" s="1426"/>
      <c r="AO732" s="1427"/>
      <c r="AP732" s="3"/>
      <c r="AQ732" s="3"/>
      <c r="AR732" s="3"/>
      <c r="AS732" s="3"/>
      <c r="AY732" s="116"/>
      <c r="AZ732" s="118">
        <f t="shared" si="11"/>
        <v>2840</v>
      </c>
      <c r="BA732" s="3"/>
      <c r="BB732" s="3"/>
      <c r="BC732" s="3"/>
      <c r="BD732" s="3"/>
      <c r="BE732" s="204"/>
      <c r="BF732" s="294">
        <f t="shared" si="12"/>
        <v>26</v>
      </c>
      <c r="BG732" s="297">
        <f t="shared" si="13"/>
        <v>0.44827586206896552</v>
      </c>
      <c r="BH732" s="298">
        <f t="shared" si="14"/>
        <v>0.31379310344827582</v>
      </c>
      <c r="BI732" s="3"/>
      <c r="BJ732" s="3"/>
      <c r="BK732" s="3"/>
      <c r="BL732" s="3"/>
      <c r="BM732" s="3"/>
      <c r="BN732" s="3"/>
      <c r="BS732" s="294">
        <f t="shared" si="15"/>
        <v>26</v>
      </c>
      <c r="BT732" s="297">
        <f t="shared" si="16"/>
        <v>0.44827586206896552</v>
      </c>
      <c r="BU732" s="298">
        <f t="shared" si="17"/>
        <v>0.31379310344827582</v>
      </c>
      <c r="CC732" s="3"/>
      <c r="CE732" s="3"/>
      <c r="CF732" s="3"/>
      <c r="CG732" s="1515">
        <f t="shared" si="39"/>
        <v>0</v>
      </c>
      <c r="CH732" s="1517"/>
      <c r="CI732" s="1518">
        <f t="shared" si="40"/>
        <v>0</v>
      </c>
      <c r="CJ732" s="1519"/>
      <c r="CK732" s="1515">
        <f t="shared" si="18"/>
        <v>0</v>
      </c>
      <c r="CL732" s="1517"/>
      <c r="CM732" s="1518">
        <f t="shared" si="19"/>
        <v>0</v>
      </c>
      <c r="CN732" s="1519"/>
      <c r="CO732" s="3"/>
      <c r="CP732" s="1508">
        <f t="shared" si="20"/>
        <v>0</v>
      </c>
      <c r="CQ732" s="1509"/>
      <c r="CR732" s="1509"/>
      <c r="CS732" s="1509"/>
      <c r="CT732" s="1510"/>
      <c r="CU732" s="1493">
        <f t="shared" si="21"/>
        <v>26</v>
      </c>
      <c r="CV732" s="1493"/>
      <c r="CW732" s="1493"/>
      <c r="CX732" s="1493"/>
      <c r="CY732" s="1493"/>
      <c r="CZ732" s="1493">
        <f t="shared" si="22"/>
        <v>0</v>
      </c>
      <c r="DA732" s="1493"/>
      <c r="DB732" s="1493"/>
      <c r="DC732" s="1493"/>
      <c r="DD732" s="1493"/>
      <c r="DE732" s="1493">
        <f t="shared" si="23"/>
        <v>0</v>
      </c>
      <c r="DF732" s="1493"/>
      <c r="DG732" s="1493"/>
      <c r="DH732" s="1493"/>
      <c r="DI732" s="1493"/>
      <c r="DJ732" s="1493">
        <f t="shared" si="24"/>
        <v>0</v>
      </c>
      <c r="DK732" s="1493"/>
      <c r="DL732" s="1493"/>
      <c r="DM732" s="1493"/>
      <c r="DN732" s="1493"/>
      <c r="DO732" s="1493">
        <f t="shared" si="25"/>
        <v>0</v>
      </c>
      <c r="DP732" s="1493"/>
      <c r="DQ732" s="1493"/>
      <c r="DR732" s="1493"/>
      <c r="DS732" s="1493"/>
      <c r="DT732" s="6"/>
      <c r="DU732" s="1494">
        <f t="shared" si="26"/>
        <v>0</v>
      </c>
      <c r="DV732" s="1494"/>
      <c r="DW732" s="1494"/>
      <c r="DX732" s="1494"/>
      <c r="DY732" s="1494"/>
      <c r="DZ732" s="1494">
        <f t="shared" si="27"/>
        <v>0</v>
      </c>
      <c r="EA732" s="1494"/>
      <c r="EB732" s="1494"/>
      <c r="EC732" s="1494"/>
      <c r="ED732" s="1494"/>
      <c r="EE732" s="1494">
        <f t="shared" si="28"/>
        <v>0</v>
      </c>
      <c r="EF732" s="1494"/>
      <c r="EG732" s="1494"/>
      <c r="EH732" s="1494"/>
      <c r="EI732" s="1494"/>
      <c r="EJ732" s="1494">
        <f t="shared" si="29"/>
        <v>0</v>
      </c>
      <c r="EK732" s="1494"/>
      <c r="EL732" s="1494"/>
      <c r="EM732" s="1494"/>
      <c r="EN732" s="1494"/>
      <c r="EO732" s="1494">
        <f t="shared" si="30"/>
        <v>0</v>
      </c>
      <c r="EP732" s="1494"/>
      <c r="EQ732" s="1494"/>
      <c r="ER732" s="1494"/>
      <c r="ES732" s="1494"/>
      <c r="ET732" s="1494">
        <f t="shared" si="31"/>
        <v>0</v>
      </c>
      <c r="EU732" s="1494"/>
      <c r="EV732" s="1494"/>
      <c r="EW732" s="1494"/>
      <c r="EX732" s="1494"/>
      <c r="EZ732" s="1515" t="str">
        <f t="shared" si="32"/>
        <v/>
      </c>
      <c r="FA732" s="1516"/>
      <c r="FB732" s="1516"/>
      <c r="FC732" s="1516"/>
      <c r="FD732" s="1517"/>
      <c r="FE732" s="1515">
        <f t="shared" si="33"/>
        <v>1988</v>
      </c>
      <c r="FF732" s="1516"/>
      <c r="FG732" s="1516"/>
      <c r="FH732" s="1516"/>
      <c r="FI732" s="1517"/>
      <c r="FJ732" s="1515" t="str">
        <f t="shared" si="34"/>
        <v/>
      </c>
      <c r="FK732" s="1516"/>
      <c r="FL732" s="1516"/>
      <c r="FM732" s="1516"/>
      <c r="FN732" s="1517"/>
      <c r="FO732" s="1515" t="str">
        <f t="shared" si="35"/>
        <v/>
      </c>
      <c r="FP732" s="1516"/>
      <c r="FQ732" s="1516"/>
      <c r="FR732" s="1516"/>
      <c r="FS732" s="1517"/>
      <c r="FT732" s="1515" t="str">
        <f t="shared" si="36"/>
        <v/>
      </c>
      <c r="FU732" s="1516"/>
      <c r="FV732" s="1516"/>
      <c r="FW732" s="1516"/>
      <c r="FX732" s="1517"/>
      <c r="FY732" s="1515" t="str">
        <f t="shared" si="37"/>
        <v/>
      </c>
      <c r="FZ732" s="1516"/>
      <c r="GA732" s="1516"/>
      <c r="GB732" s="1516"/>
      <c r="GC732" s="1517"/>
    </row>
    <row r="733" spans="1:185" ht="12.95" customHeight="1">
      <c r="B733" s="1425"/>
      <c r="C733" s="1426"/>
      <c r="D733" s="1426"/>
      <c r="E733" s="1426"/>
      <c r="F733" s="1427"/>
      <c r="G733" s="1504"/>
      <c r="H733" s="1505"/>
      <c r="I733" s="1505"/>
      <c r="J733" s="1506"/>
      <c r="K733" s="1548"/>
      <c r="L733" s="1549"/>
      <c r="M733" s="1549"/>
      <c r="N733" s="1550"/>
      <c r="O733" s="1473"/>
      <c r="P733" s="1474"/>
      <c r="Q733" s="1474"/>
      <c r="R733" s="1474"/>
      <c r="S733" s="1475"/>
      <c r="T733" s="1473"/>
      <c r="U733" s="1474"/>
      <c r="V733" s="1474"/>
      <c r="W733" s="1475"/>
      <c r="X733" s="1531">
        <f t="shared" si="10"/>
        <v>0</v>
      </c>
      <c r="Y733" s="1402"/>
      <c r="Z733" s="1402"/>
      <c r="AA733" s="1402"/>
      <c r="AB733" s="1532"/>
      <c r="AC733" s="1405"/>
      <c r="AD733" s="1406"/>
      <c r="AE733" s="1406"/>
      <c r="AF733" s="1406"/>
      <c r="AG733" s="1407"/>
      <c r="AH733" s="1524" t="str">
        <f t="shared" si="38"/>
        <v/>
      </c>
      <c r="AI733" s="1525"/>
      <c r="AJ733" s="1526"/>
      <c r="AK733" s="1425" t="s">
        <v>591</v>
      </c>
      <c r="AL733" s="1426"/>
      <c r="AM733" s="1426"/>
      <c r="AN733" s="1426"/>
      <c r="AO733" s="1427"/>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515">
        <f t="shared" si="39"/>
        <v>0</v>
      </c>
      <c r="CH733" s="1517"/>
      <c r="CI733" s="1518">
        <f t="shared" si="40"/>
        <v>0</v>
      </c>
      <c r="CJ733" s="1519"/>
      <c r="CK733" s="1515">
        <f t="shared" si="18"/>
        <v>0</v>
      </c>
      <c r="CL733" s="1517"/>
      <c r="CM733" s="1518">
        <f t="shared" si="19"/>
        <v>0</v>
      </c>
      <c r="CN733" s="1519"/>
      <c r="CO733" s="3"/>
      <c r="CP733" s="1508">
        <f t="shared" si="20"/>
        <v>0</v>
      </c>
      <c r="CQ733" s="1509"/>
      <c r="CR733" s="1509"/>
      <c r="CS733" s="1509"/>
      <c r="CT733" s="1510"/>
      <c r="CU733" s="1493">
        <f t="shared" si="21"/>
        <v>0</v>
      </c>
      <c r="CV733" s="1493"/>
      <c r="CW733" s="1493"/>
      <c r="CX733" s="1493"/>
      <c r="CY733" s="1493"/>
      <c r="CZ733" s="1493">
        <f t="shared" si="22"/>
        <v>0</v>
      </c>
      <c r="DA733" s="1493"/>
      <c r="DB733" s="1493"/>
      <c r="DC733" s="1493"/>
      <c r="DD733" s="1493"/>
      <c r="DE733" s="1493">
        <f t="shared" si="23"/>
        <v>0</v>
      </c>
      <c r="DF733" s="1493"/>
      <c r="DG733" s="1493"/>
      <c r="DH733" s="1493"/>
      <c r="DI733" s="1493"/>
      <c r="DJ733" s="1493">
        <f t="shared" si="24"/>
        <v>0</v>
      </c>
      <c r="DK733" s="1493"/>
      <c r="DL733" s="1493"/>
      <c r="DM733" s="1493"/>
      <c r="DN733" s="1493"/>
      <c r="DO733" s="1493">
        <f t="shared" si="25"/>
        <v>0</v>
      </c>
      <c r="DP733" s="1493"/>
      <c r="DQ733" s="1493"/>
      <c r="DR733" s="1493"/>
      <c r="DS733" s="1493"/>
      <c r="DT733" s="6"/>
      <c r="DU733" s="1494">
        <f t="shared" si="26"/>
        <v>0</v>
      </c>
      <c r="DV733" s="1494"/>
      <c r="DW733" s="1494"/>
      <c r="DX733" s="1494"/>
      <c r="DY733" s="1494"/>
      <c r="DZ733" s="1494">
        <f t="shared" si="27"/>
        <v>0</v>
      </c>
      <c r="EA733" s="1494"/>
      <c r="EB733" s="1494"/>
      <c r="EC733" s="1494"/>
      <c r="ED733" s="1494"/>
      <c r="EE733" s="1494">
        <f t="shared" si="28"/>
        <v>0</v>
      </c>
      <c r="EF733" s="1494"/>
      <c r="EG733" s="1494"/>
      <c r="EH733" s="1494"/>
      <c r="EI733" s="1494"/>
      <c r="EJ733" s="1494">
        <f t="shared" si="29"/>
        <v>0</v>
      </c>
      <c r="EK733" s="1494"/>
      <c r="EL733" s="1494"/>
      <c r="EM733" s="1494"/>
      <c r="EN733" s="1494"/>
      <c r="EO733" s="1494">
        <f t="shared" si="30"/>
        <v>0</v>
      </c>
      <c r="EP733" s="1494"/>
      <c r="EQ733" s="1494"/>
      <c r="ER733" s="1494"/>
      <c r="ES733" s="1494"/>
      <c r="ET733" s="1494">
        <f t="shared" si="31"/>
        <v>0</v>
      </c>
      <c r="EU733" s="1494"/>
      <c r="EV733" s="1494"/>
      <c r="EW733" s="1494"/>
      <c r="EX733" s="1494"/>
      <c r="EZ733" s="1515" t="str">
        <f t="shared" si="32"/>
        <v/>
      </c>
      <c r="FA733" s="1516"/>
      <c r="FB733" s="1516"/>
      <c r="FC733" s="1516"/>
      <c r="FD733" s="1517"/>
      <c r="FE733" s="1515" t="str">
        <f t="shared" si="33"/>
        <v/>
      </c>
      <c r="FF733" s="1516"/>
      <c r="FG733" s="1516"/>
      <c r="FH733" s="1516"/>
      <c r="FI733" s="1517"/>
      <c r="FJ733" s="1515" t="str">
        <f t="shared" si="34"/>
        <v/>
      </c>
      <c r="FK733" s="1516"/>
      <c r="FL733" s="1516"/>
      <c r="FM733" s="1516"/>
      <c r="FN733" s="1517"/>
      <c r="FO733" s="1515" t="str">
        <f t="shared" si="35"/>
        <v/>
      </c>
      <c r="FP733" s="1516"/>
      <c r="FQ733" s="1516"/>
      <c r="FR733" s="1516"/>
      <c r="FS733" s="1517"/>
      <c r="FT733" s="1515" t="str">
        <f t="shared" si="36"/>
        <v/>
      </c>
      <c r="FU733" s="1516"/>
      <c r="FV733" s="1516"/>
      <c r="FW733" s="1516"/>
      <c r="FX733" s="1517"/>
      <c r="FY733" s="1515" t="str">
        <f t="shared" si="37"/>
        <v/>
      </c>
      <c r="FZ733" s="1516"/>
      <c r="GA733" s="1516"/>
      <c r="GB733" s="1516"/>
      <c r="GC733" s="1517"/>
    </row>
    <row r="734" spans="1:185" ht="12.95" customHeight="1">
      <c r="B734" s="1425" t="s">
        <v>163</v>
      </c>
      <c r="C734" s="1426"/>
      <c r="D734" s="1426"/>
      <c r="E734" s="1426"/>
      <c r="F734" s="1427"/>
      <c r="G734" s="1504">
        <v>1</v>
      </c>
      <c r="H734" s="1505"/>
      <c r="I734" s="1505"/>
      <c r="J734" s="1506"/>
      <c r="K734" s="1548">
        <v>621</v>
      </c>
      <c r="L734" s="1549"/>
      <c r="M734" s="1549"/>
      <c r="N734" s="1550"/>
      <c r="O734" s="1473">
        <f>1022-T734</f>
        <v>1022</v>
      </c>
      <c r="P734" s="1474"/>
      <c r="Q734" s="1474"/>
      <c r="R734" s="1474"/>
      <c r="S734" s="1475"/>
      <c r="T734" s="1473">
        <v>0</v>
      </c>
      <c r="U734" s="1474"/>
      <c r="V734" s="1474"/>
      <c r="W734" s="1475"/>
      <c r="X734" s="1531">
        <f t="shared" si="10"/>
        <v>1022</v>
      </c>
      <c r="Y734" s="1402"/>
      <c r="Z734" s="1402"/>
      <c r="AA734" s="1402"/>
      <c r="AB734" s="1532"/>
      <c r="AC734" s="1405">
        <v>0.3</v>
      </c>
      <c r="AD734" s="1406"/>
      <c r="AE734" s="1406"/>
      <c r="AF734" s="1406"/>
      <c r="AG734" s="1407"/>
      <c r="AH734" s="1524">
        <f t="shared" si="38"/>
        <v>0.30005871990604815</v>
      </c>
      <c r="AI734" s="1525"/>
      <c r="AJ734" s="1526"/>
      <c r="AK734" s="1425" t="s">
        <v>591</v>
      </c>
      <c r="AL734" s="1426"/>
      <c r="AM734" s="1426"/>
      <c r="AN734" s="1426"/>
      <c r="AO734" s="1427"/>
      <c r="AP734" s="3"/>
      <c r="AQ734" s="3"/>
      <c r="AR734" s="3"/>
      <c r="AS734" s="3"/>
      <c r="AY734" s="1080"/>
      <c r="AZ734" s="118">
        <f t="shared" si="11"/>
        <v>3406</v>
      </c>
      <c r="BA734" s="3"/>
      <c r="BB734" s="3"/>
      <c r="BC734" s="3"/>
      <c r="BD734" s="3"/>
      <c r="BE734" s="204"/>
      <c r="BF734" s="294">
        <f t="shared" si="12"/>
        <v>1</v>
      </c>
      <c r="BG734" s="297">
        <f t="shared" si="13"/>
        <v>1.7241379310344827E-2</v>
      </c>
      <c r="BH734" s="298">
        <f t="shared" si="14"/>
        <v>5.1724137931034482E-3</v>
      </c>
      <c r="BI734" s="3"/>
      <c r="BJ734" s="3"/>
      <c r="BK734" s="3"/>
      <c r="BL734" s="3"/>
      <c r="BM734" s="3"/>
      <c r="BN734" s="3"/>
      <c r="BS734" s="294">
        <f t="shared" si="15"/>
        <v>1</v>
      </c>
      <c r="BT734" s="297">
        <f t="shared" si="16"/>
        <v>1.7241379310344827E-2</v>
      </c>
      <c r="BU734" s="298">
        <f t="shared" si="17"/>
        <v>5.1734262052766924E-3</v>
      </c>
      <c r="BV734" s="3"/>
      <c r="BW734" s="3"/>
      <c r="BX734" s="3"/>
      <c r="BY734" s="3"/>
      <c r="BZ734" s="3"/>
      <c r="CA734" s="3"/>
      <c r="CB734" s="3"/>
      <c r="CC734" s="3"/>
      <c r="CE734" s="3"/>
      <c r="CF734" s="3"/>
      <c r="CG734" s="1515">
        <f t="shared" si="39"/>
        <v>0</v>
      </c>
      <c r="CH734" s="1517"/>
      <c r="CI734" s="1518">
        <f t="shared" si="40"/>
        <v>0</v>
      </c>
      <c r="CJ734" s="1519"/>
      <c r="CK734" s="1515">
        <f t="shared" si="18"/>
        <v>1</v>
      </c>
      <c r="CL734" s="1517"/>
      <c r="CM734" s="1518">
        <f t="shared" si="19"/>
        <v>1</v>
      </c>
      <c r="CN734" s="1519"/>
      <c r="CO734" s="3"/>
      <c r="CP734" s="1508">
        <f t="shared" si="20"/>
        <v>0</v>
      </c>
      <c r="CQ734" s="1509"/>
      <c r="CR734" s="1509"/>
      <c r="CS734" s="1509"/>
      <c r="CT734" s="1510"/>
      <c r="CU734" s="1493">
        <f t="shared" si="21"/>
        <v>0</v>
      </c>
      <c r="CV734" s="1493"/>
      <c r="CW734" s="1493"/>
      <c r="CX734" s="1493"/>
      <c r="CY734" s="1493"/>
      <c r="CZ734" s="1493">
        <f t="shared" si="22"/>
        <v>1</v>
      </c>
      <c r="DA734" s="1493"/>
      <c r="DB734" s="1493"/>
      <c r="DC734" s="1493"/>
      <c r="DD734" s="1493"/>
      <c r="DE734" s="1493">
        <f t="shared" si="23"/>
        <v>0</v>
      </c>
      <c r="DF734" s="1493"/>
      <c r="DG734" s="1493"/>
      <c r="DH734" s="1493"/>
      <c r="DI734" s="1493"/>
      <c r="DJ734" s="1493">
        <f t="shared" si="24"/>
        <v>0</v>
      </c>
      <c r="DK734" s="1493"/>
      <c r="DL734" s="1493"/>
      <c r="DM734" s="1493"/>
      <c r="DN734" s="1493"/>
      <c r="DO734" s="1493">
        <f t="shared" si="25"/>
        <v>0</v>
      </c>
      <c r="DP734" s="1493"/>
      <c r="DQ734" s="1493"/>
      <c r="DR734" s="1493"/>
      <c r="DS734" s="1493"/>
      <c r="DT734" s="6"/>
      <c r="DU734" s="1494">
        <f t="shared" si="26"/>
        <v>0</v>
      </c>
      <c r="DV734" s="1494"/>
      <c r="DW734" s="1494"/>
      <c r="DX734" s="1494"/>
      <c r="DY734" s="1494"/>
      <c r="DZ734" s="1494">
        <f t="shared" si="27"/>
        <v>0</v>
      </c>
      <c r="EA734" s="1494"/>
      <c r="EB734" s="1494"/>
      <c r="EC734" s="1494"/>
      <c r="ED734" s="1494"/>
      <c r="EE734" s="1494">
        <f t="shared" si="28"/>
        <v>1</v>
      </c>
      <c r="EF734" s="1494"/>
      <c r="EG734" s="1494"/>
      <c r="EH734" s="1494"/>
      <c r="EI734" s="1494"/>
      <c r="EJ734" s="1494">
        <f t="shared" si="29"/>
        <v>0</v>
      </c>
      <c r="EK734" s="1494"/>
      <c r="EL734" s="1494"/>
      <c r="EM734" s="1494"/>
      <c r="EN734" s="1494"/>
      <c r="EO734" s="1494">
        <f t="shared" si="30"/>
        <v>0</v>
      </c>
      <c r="EP734" s="1494"/>
      <c r="EQ734" s="1494"/>
      <c r="ER734" s="1494"/>
      <c r="ES734" s="1494"/>
      <c r="ET734" s="1494">
        <f t="shared" si="31"/>
        <v>0</v>
      </c>
      <c r="EU734" s="1494"/>
      <c r="EV734" s="1494"/>
      <c r="EW734" s="1494"/>
      <c r="EX734" s="1494"/>
      <c r="EY734" s="4"/>
      <c r="EZ734" s="1515" t="str">
        <f t="shared" si="32"/>
        <v/>
      </c>
      <c r="FA734" s="1516"/>
      <c r="FB734" s="1516"/>
      <c r="FC734" s="1516"/>
      <c r="FD734" s="1517"/>
      <c r="FE734" s="1515" t="str">
        <f t="shared" si="33"/>
        <v/>
      </c>
      <c r="FF734" s="1516"/>
      <c r="FG734" s="1516"/>
      <c r="FH734" s="1516"/>
      <c r="FI734" s="1517"/>
      <c r="FJ734" s="1515">
        <f t="shared" si="34"/>
        <v>1022</v>
      </c>
      <c r="FK734" s="1516"/>
      <c r="FL734" s="1516"/>
      <c r="FM734" s="1516"/>
      <c r="FN734" s="1517"/>
      <c r="FO734" s="1515" t="str">
        <f t="shared" si="35"/>
        <v/>
      </c>
      <c r="FP734" s="1516"/>
      <c r="FQ734" s="1516"/>
      <c r="FR734" s="1516"/>
      <c r="FS734" s="1517"/>
      <c r="FT734" s="1515" t="str">
        <f t="shared" si="36"/>
        <v/>
      </c>
      <c r="FU734" s="1516"/>
      <c r="FV734" s="1516"/>
      <c r="FW734" s="1516"/>
      <c r="FX734" s="1517"/>
      <c r="FY734" s="1515" t="str">
        <f t="shared" si="37"/>
        <v/>
      </c>
      <c r="FZ734" s="1516"/>
      <c r="GA734" s="1516"/>
      <c r="GB734" s="1516"/>
      <c r="GC734" s="1517"/>
    </row>
    <row r="735" spans="1:185" ht="12.95" customHeight="1">
      <c r="A735" s="4"/>
      <c r="B735" s="1425" t="s">
        <v>163</v>
      </c>
      <c r="C735" s="1426"/>
      <c r="D735" s="1426"/>
      <c r="E735" s="1426"/>
      <c r="F735" s="1427"/>
      <c r="G735" s="1504">
        <v>1</v>
      </c>
      <c r="H735" s="1505"/>
      <c r="I735" s="1505"/>
      <c r="J735" s="1506"/>
      <c r="K735" s="1548">
        <v>621</v>
      </c>
      <c r="L735" s="1549"/>
      <c r="M735" s="1549"/>
      <c r="N735" s="1550"/>
      <c r="O735" s="1473">
        <f>1703-T735</f>
        <v>1703</v>
      </c>
      <c r="P735" s="1474"/>
      <c r="Q735" s="1474"/>
      <c r="R735" s="1474"/>
      <c r="S735" s="1475"/>
      <c r="T735" s="1473">
        <v>0</v>
      </c>
      <c r="U735" s="1474"/>
      <c r="V735" s="1474"/>
      <c r="W735" s="1475"/>
      <c r="X735" s="1531">
        <f t="shared" si="10"/>
        <v>1703</v>
      </c>
      <c r="Y735" s="1402"/>
      <c r="Z735" s="1402"/>
      <c r="AA735" s="1402"/>
      <c r="AB735" s="1532"/>
      <c r="AC735" s="1405">
        <v>0.5</v>
      </c>
      <c r="AD735" s="1406"/>
      <c r="AE735" s="1406"/>
      <c r="AF735" s="1406"/>
      <c r="AG735" s="1407"/>
      <c r="AH735" s="1524">
        <f t="shared" si="38"/>
        <v>0.5</v>
      </c>
      <c r="AI735" s="1525"/>
      <c r="AJ735" s="1526"/>
      <c r="AK735" s="1425" t="s">
        <v>591</v>
      </c>
      <c r="AL735" s="1426"/>
      <c r="AM735" s="1426"/>
      <c r="AN735" s="1426"/>
      <c r="AO735" s="1427"/>
      <c r="AP735" s="3"/>
      <c r="AQ735" s="3"/>
      <c r="AR735" s="3"/>
      <c r="AS735" s="3"/>
      <c r="AY735" s="1080"/>
      <c r="AZ735" s="118">
        <f t="shared" si="11"/>
        <v>3406</v>
      </c>
      <c r="BA735" s="3"/>
      <c r="BB735" s="3"/>
      <c r="BC735" s="3"/>
      <c r="BD735" s="3"/>
      <c r="BE735" s="204"/>
      <c r="BF735" s="294">
        <f t="shared" si="12"/>
        <v>1</v>
      </c>
      <c r="BG735" s="297">
        <f t="shared" si="13"/>
        <v>1.7241379310344827E-2</v>
      </c>
      <c r="BH735" s="298">
        <f t="shared" si="14"/>
        <v>8.6206896551724137E-3</v>
      </c>
      <c r="BI735" s="3"/>
      <c r="BJ735" s="3"/>
      <c r="BK735" s="3"/>
      <c r="BL735" s="3"/>
      <c r="BM735" s="3"/>
      <c r="BN735" s="3"/>
      <c r="BS735" s="294">
        <f t="shared" si="15"/>
        <v>1</v>
      </c>
      <c r="BT735" s="297">
        <f t="shared" si="16"/>
        <v>1.7241379310344827E-2</v>
      </c>
      <c r="BU735" s="298">
        <f t="shared" si="17"/>
        <v>8.6206896551724137E-3</v>
      </c>
      <c r="BV735" s="3"/>
      <c r="BW735" s="3"/>
      <c r="BX735" s="3"/>
      <c r="BY735" s="3"/>
      <c r="BZ735" s="3"/>
      <c r="CA735" s="3"/>
      <c r="CB735" s="3"/>
      <c r="CC735" s="3"/>
      <c r="CE735" s="3"/>
      <c r="CF735" s="3"/>
      <c r="CG735" s="1515">
        <f t="shared" si="39"/>
        <v>1</v>
      </c>
      <c r="CH735" s="1517"/>
      <c r="CI735" s="1518">
        <f t="shared" si="40"/>
        <v>1</v>
      </c>
      <c r="CJ735" s="1519"/>
      <c r="CK735" s="1515">
        <f t="shared" si="18"/>
        <v>0</v>
      </c>
      <c r="CL735" s="1517"/>
      <c r="CM735" s="1518">
        <f t="shared" si="19"/>
        <v>0</v>
      </c>
      <c r="CN735" s="1519"/>
      <c r="CO735" s="3"/>
      <c r="CP735" s="1508">
        <f t="shared" si="20"/>
        <v>0</v>
      </c>
      <c r="CQ735" s="1509"/>
      <c r="CR735" s="1509"/>
      <c r="CS735" s="1509"/>
      <c r="CT735" s="1510"/>
      <c r="CU735" s="1493">
        <f t="shared" si="21"/>
        <v>0</v>
      </c>
      <c r="CV735" s="1493"/>
      <c r="CW735" s="1493"/>
      <c r="CX735" s="1493"/>
      <c r="CY735" s="1493"/>
      <c r="CZ735" s="1493">
        <f t="shared" si="22"/>
        <v>1</v>
      </c>
      <c r="DA735" s="1493"/>
      <c r="DB735" s="1493"/>
      <c r="DC735" s="1493"/>
      <c r="DD735" s="1493"/>
      <c r="DE735" s="1493">
        <f t="shared" si="23"/>
        <v>0</v>
      </c>
      <c r="DF735" s="1493"/>
      <c r="DG735" s="1493"/>
      <c r="DH735" s="1493"/>
      <c r="DI735" s="1493"/>
      <c r="DJ735" s="1493">
        <f t="shared" si="24"/>
        <v>0</v>
      </c>
      <c r="DK735" s="1493"/>
      <c r="DL735" s="1493"/>
      <c r="DM735" s="1493"/>
      <c r="DN735" s="1493"/>
      <c r="DO735" s="1493">
        <f t="shared" si="25"/>
        <v>0</v>
      </c>
      <c r="DP735" s="1493"/>
      <c r="DQ735" s="1493"/>
      <c r="DR735" s="1493"/>
      <c r="DS735" s="1493"/>
      <c r="DT735" s="6"/>
      <c r="DU735" s="1494">
        <f t="shared" si="26"/>
        <v>0</v>
      </c>
      <c r="DV735" s="1494"/>
      <c r="DW735" s="1494"/>
      <c r="DX735" s="1494"/>
      <c r="DY735" s="1494"/>
      <c r="DZ735" s="1494">
        <f t="shared" si="27"/>
        <v>0</v>
      </c>
      <c r="EA735" s="1494"/>
      <c r="EB735" s="1494"/>
      <c r="EC735" s="1494"/>
      <c r="ED735" s="1494"/>
      <c r="EE735" s="1494">
        <f t="shared" si="28"/>
        <v>0</v>
      </c>
      <c r="EF735" s="1494"/>
      <c r="EG735" s="1494"/>
      <c r="EH735" s="1494"/>
      <c r="EI735" s="1494"/>
      <c r="EJ735" s="1494">
        <f t="shared" si="29"/>
        <v>0</v>
      </c>
      <c r="EK735" s="1494"/>
      <c r="EL735" s="1494"/>
      <c r="EM735" s="1494"/>
      <c r="EN735" s="1494"/>
      <c r="EO735" s="1494">
        <f t="shared" si="30"/>
        <v>0</v>
      </c>
      <c r="EP735" s="1494"/>
      <c r="EQ735" s="1494"/>
      <c r="ER735" s="1494"/>
      <c r="ES735" s="1494"/>
      <c r="ET735" s="1494">
        <f t="shared" si="31"/>
        <v>0</v>
      </c>
      <c r="EU735" s="1494"/>
      <c r="EV735" s="1494"/>
      <c r="EW735" s="1494"/>
      <c r="EX735" s="1494"/>
      <c r="EY735" s="4"/>
      <c r="EZ735" s="1515" t="str">
        <f t="shared" si="32"/>
        <v/>
      </c>
      <c r="FA735" s="1516"/>
      <c r="FB735" s="1516"/>
      <c r="FC735" s="1516"/>
      <c r="FD735" s="1517"/>
      <c r="FE735" s="1515" t="str">
        <f t="shared" si="33"/>
        <v/>
      </c>
      <c r="FF735" s="1516"/>
      <c r="FG735" s="1516"/>
      <c r="FH735" s="1516"/>
      <c r="FI735" s="1517"/>
      <c r="FJ735" s="1515">
        <f t="shared" si="34"/>
        <v>1703</v>
      </c>
      <c r="FK735" s="1516"/>
      <c r="FL735" s="1516"/>
      <c r="FM735" s="1516"/>
      <c r="FN735" s="1517"/>
      <c r="FO735" s="1515" t="str">
        <f t="shared" si="35"/>
        <v/>
      </c>
      <c r="FP735" s="1516"/>
      <c r="FQ735" s="1516"/>
      <c r="FR735" s="1516"/>
      <c r="FS735" s="1517"/>
      <c r="FT735" s="1515" t="str">
        <f t="shared" si="36"/>
        <v/>
      </c>
      <c r="FU735" s="1516"/>
      <c r="FV735" s="1516"/>
      <c r="FW735" s="1516"/>
      <c r="FX735" s="1517"/>
      <c r="FY735" s="1515" t="str">
        <f t="shared" si="37"/>
        <v/>
      </c>
      <c r="FZ735" s="1516"/>
      <c r="GA735" s="1516"/>
      <c r="GB735" s="1516"/>
      <c r="GC735" s="1517"/>
    </row>
    <row r="736" spans="1:185" ht="12.95" customHeight="1">
      <c r="A736" s="4"/>
      <c r="B736" s="1425" t="s">
        <v>163</v>
      </c>
      <c r="C736" s="1426"/>
      <c r="D736" s="1426"/>
      <c r="E736" s="1426"/>
      <c r="F736" s="1427"/>
      <c r="G736" s="1504">
        <v>5</v>
      </c>
      <c r="H736" s="1505"/>
      <c r="I736" s="1505"/>
      <c r="J736" s="1506"/>
      <c r="K736" s="1548">
        <v>621</v>
      </c>
      <c r="L736" s="1549"/>
      <c r="M736" s="1549"/>
      <c r="N736" s="1550"/>
      <c r="O736" s="1473">
        <f>2385-T736</f>
        <v>2385</v>
      </c>
      <c r="P736" s="1474"/>
      <c r="Q736" s="1474"/>
      <c r="R736" s="1474"/>
      <c r="S736" s="1475"/>
      <c r="T736" s="1473">
        <v>0</v>
      </c>
      <c r="U736" s="1474"/>
      <c r="V736" s="1474"/>
      <c r="W736" s="1475"/>
      <c r="X736" s="1531">
        <f t="shared" si="10"/>
        <v>2385</v>
      </c>
      <c r="Y736" s="1402"/>
      <c r="Z736" s="1402"/>
      <c r="AA736" s="1402"/>
      <c r="AB736" s="1532"/>
      <c r="AC736" s="1405">
        <v>0.7</v>
      </c>
      <c r="AD736" s="1406"/>
      <c r="AE736" s="1406"/>
      <c r="AF736" s="1406"/>
      <c r="AG736" s="1407"/>
      <c r="AH736" s="1524">
        <f t="shared" si="38"/>
        <v>0.70023487962419262</v>
      </c>
      <c r="AI736" s="1525"/>
      <c r="AJ736" s="1526"/>
      <c r="AK736" s="1425" t="s">
        <v>591</v>
      </c>
      <c r="AL736" s="1426"/>
      <c r="AM736" s="1426"/>
      <c r="AN736" s="1426"/>
      <c r="AO736" s="1427"/>
      <c r="AP736" s="3"/>
      <c r="AQ736" s="3"/>
      <c r="AR736" s="3"/>
      <c r="AS736" s="3"/>
      <c r="AY736" s="1080"/>
      <c r="AZ736" s="118">
        <f t="shared" si="11"/>
        <v>3406</v>
      </c>
      <c r="BA736" s="3"/>
      <c r="BB736" s="3"/>
      <c r="BC736" s="3"/>
      <c r="BD736" s="3"/>
      <c r="BE736" s="204"/>
      <c r="BF736" s="294">
        <f t="shared" si="12"/>
        <v>5</v>
      </c>
      <c r="BG736" s="297">
        <f t="shared" si="13"/>
        <v>8.6206896551724144E-2</v>
      </c>
      <c r="BH736" s="298">
        <f t="shared" si="14"/>
        <v>6.0344827586206899E-2</v>
      </c>
      <c r="BI736" s="3"/>
      <c r="BJ736" s="3"/>
      <c r="BK736" s="3"/>
      <c r="BL736" s="3"/>
      <c r="BM736" s="3"/>
      <c r="BN736" s="3"/>
      <c r="BS736" s="294">
        <f t="shared" si="15"/>
        <v>5</v>
      </c>
      <c r="BT736" s="297">
        <f t="shared" si="16"/>
        <v>8.6206896551724144E-2</v>
      </c>
      <c r="BU736" s="298">
        <f t="shared" si="17"/>
        <v>6.036507582967178E-2</v>
      </c>
      <c r="BV736" s="3"/>
      <c r="BW736" s="3"/>
      <c r="BX736" s="3"/>
      <c r="BY736" s="3"/>
      <c r="BZ736" s="3"/>
      <c r="CA736" s="3"/>
      <c r="CB736" s="3"/>
      <c r="CC736" s="3"/>
      <c r="CE736" s="3"/>
      <c r="CF736" s="3"/>
      <c r="CG736" s="1515">
        <f t="shared" si="39"/>
        <v>0</v>
      </c>
      <c r="CH736" s="1517"/>
      <c r="CI736" s="1518">
        <f t="shared" si="40"/>
        <v>0</v>
      </c>
      <c r="CJ736" s="1519"/>
      <c r="CK736" s="1515">
        <f t="shared" si="18"/>
        <v>0</v>
      </c>
      <c r="CL736" s="1517"/>
      <c r="CM736" s="1518">
        <f t="shared" si="19"/>
        <v>0</v>
      </c>
      <c r="CN736" s="1519"/>
      <c r="CO736" s="3"/>
      <c r="CP736" s="1508">
        <f t="shared" si="20"/>
        <v>0</v>
      </c>
      <c r="CQ736" s="1509"/>
      <c r="CR736" s="1509"/>
      <c r="CS736" s="1509"/>
      <c r="CT736" s="1510"/>
      <c r="CU736" s="1493">
        <f t="shared" si="21"/>
        <v>0</v>
      </c>
      <c r="CV736" s="1493"/>
      <c r="CW736" s="1493"/>
      <c r="CX736" s="1493"/>
      <c r="CY736" s="1493"/>
      <c r="CZ736" s="1493">
        <f t="shared" si="22"/>
        <v>5</v>
      </c>
      <c r="DA736" s="1493"/>
      <c r="DB736" s="1493"/>
      <c r="DC736" s="1493"/>
      <c r="DD736" s="1493"/>
      <c r="DE736" s="1493">
        <f t="shared" si="23"/>
        <v>0</v>
      </c>
      <c r="DF736" s="1493"/>
      <c r="DG736" s="1493"/>
      <c r="DH736" s="1493"/>
      <c r="DI736" s="1493"/>
      <c r="DJ736" s="1493">
        <f t="shared" si="24"/>
        <v>0</v>
      </c>
      <c r="DK736" s="1493"/>
      <c r="DL736" s="1493"/>
      <c r="DM736" s="1493"/>
      <c r="DN736" s="1493"/>
      <c r="DO736" s="1493">
        <f t="shared" si="25"/>
        <v>0</v>
      </c>
      <c r="DP736" s="1493"/>
      <c r="DQ736" s="1493"/>
      <c r="DR736" s="1493"/>
      <c r="DS736" s="1493"/>
      <c r="DT736" s="6"/>
      <c r="DU736" s="1494">
        <f t="shared" si="26"/>
        <v>0</v>
      </c>
      <c r="DV736" s="1494"/>
      <c r="DW736" s="1494"/>
      <c r="DX736" s="1494"/>
      <c r="DY736" s="1494"/>
      <c r="DZ736" s="1494">
        <f t="shared" si="27"/>
        <v>0</v>
      </c>
      <c r="EA736" s="1494"/>
      <c r="EB736" s="1494"/>
      <c r="EC736" s="1494"/>
      <c r="ED736" s="1494"/>
      <c r="EE736" s="1494">
        <f t="shared" si="28"/>
        <v>0</v>
      </c>
      <c r="EF736" s="1494"/>
      <c r="EG736" s="1494"/>
      <c r="EH736" s="1494"/>
      <c r="EI736" s="1494"/>
      <c r="EJ736" s="1494">
        <f t="shared" si="29"/>
        <v>0</v>
      </c>
      <c r="EK736" s="1494"/>
      <c r="EL736" s="1494"/>
      <c r="EM736" s="1494"/>
      <c r="EN736" s="1494"/>
      <c r="EO736" s="1494">
        <f t="shared" si="30"/>
        <v>0</v>
      </c>
      <c r="EP736" s="1494"/>
      <c r="EQ736" s="1494"/>
      <c r="ER736" s="1494"/>
      <c r="ES736" s="1494"/>
      <c r="ET736" s="1494">
        <f t="shared" si="31"/>
        <v>0</v>
      </c>
      <c r="EU736" s="1494"/>
      <c r="EV736" s="1494"/>
      <c r="EW736" s="1494"/>
      <c r="EX736" s="1494"/>
      <c r="EY736" s="4"/>
      <c r="EZ736" s="1515" t="str">
        <f t="shared" si="32"/>
        <v/>
      </c>
      <c r="FA736" s="1516"/>
      <c r="FB736" s="1516"/>
      <c r="FC736" s="1516"/>
      <c r="FD736" s="1517"/>
      <c r="FE736" s="1515" t="str">
        <f t="shared" si="33"/>
        <v/>
      </c>
      <c r="FF736" s="1516"/>
      <c r="FG736" s="1516"/>
      <c r="FH736" s="1516"/>
      <c r="FI736" s="1517"/>
      <c r="FJ736" s="1515">
        <f t="shared" si="34"/>
        <v>2385</v>
      </c>
      <c r="FK736" s="1516"/>
      <c r="FL736" s="1516"/>
      <c r="FM736" s="1516"/>
      <c r="FN736" s="1517"/>
      <c r="FO736" s="1515" t="str">
        <f t="shared" si="35"/>
        <v/>
      </c>
      <c r="FP736" s="1516"/>
      <c r="FQ736" s="1516"/>
      <c r="FR736" s="1516"/>
      <c r="FS736" s="1517"/>
      <c r="FT736" s="1515" t="str">
        <f t="shared" si="36"/>
        <v/>
      </c>
      <c r="FU736" s="1516"/>
      <c r="FV736" s="1516"/>
      <c r="FW736" s="1516"/>
      <c r="FX736" s="1517"/>
      <c r="FY736" s="1515" t="str">
        <f t="shared" si="37"/>
        <v/>
      </c>
      <c r="FZ736" s="1516"/>
      <c r="GA736" s="1516"/>
      <c r="GB736" s="1516"/>
      <c r="GC736" s="1517"/>
    </row>
    <row r="737" spans="1:185" ht="12.95" customHeight="1">
      <c r="A737" s="4"/>
      <c r="B737" s="1425"/>
      <c r="C737" s="1426"/>
      <c r="D737" s="1426"/>
      <c r="E737" s="1426"/>
      <c r="F737" s="1427"/>
      <c r="G737" s="1504"/>
      <c r="H737" s="1505"/>
      <c r="I737" s="1505"/>
      <c r="J737" s="1506"/>
      <c r="K737" s="1548"/>
      <c r="L737" s="1549"/>
      <c r="M737" s="1549"/>
      <c r="N737" s="1550"/>
      <c r="O737" s="1473"/>
      <c r="P737" s="1474"/>
      <c r="Q737" s="1474"/>
      <c r="R737" s="1474"/>
      <c r="S737" s="1475"/>
      <c r="T737" s="1473"/>
      <c r="U737" s="1474"/>
      <c r="V737" s="1474"/>
      <c r="W737" s="1475"/>
      <c r="X737" s="1531">
        <f t="shared" si="10"/>
        <v>0</v>
      </c>
      <c r="Y737" s="1402"/>
      <c r="Z737" s="1402"/>
      <c r="AA737" s="1402"/>
      <c r="AB737" s="1532"/>
      <c r="AC737" s="1405"/>
      <c r="AD737" s="1406"/>
      <c r="AE737" s="1406"/>
      <c r="AF737" s="1406"/>
      <c r="AG737" s="1407"/>
      <c r="AH737" s="1524" t="str">
        <f t="shared" si="38"/>
        <v/>
      </c>
      <c r="AI737" s="1525"/>
      <c r="AJ737" s="1526"/>
      <c r="AK737" s="1425" t="s">
        <v>591</v>
      </c>
      <c r="AL737" s="1426"/>
      <c r="AM737" s="1426"/>
      <c r="AN737" s="1426"/>
      <c r="AO737" s="1427"/>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15">
        <f t="shared" si="39"/>
        <v>0</v>
      </c>
      <c r="CH737" s="1517"/>
      <c r="CI737" s="1518">
        <f t="shared" si="40"/>
        <v>0</v>
      </c>
      <c r="CJ737" s="1519"/>
      <c r="CK737" s="1515">
        <f t="shared" si="18"/>
        <v>0</v>
      </c>
      <c r="CL737" s="1517"/>
      <c r="CM737" s="1518">
        <f t="shared" si="19"/>
        <v>0</v>
      </c>
      <c r="CN737" s="1519"/>
      <c r="CO737" s="3"/>
      <c r="CP737" s="1508">
        <f t="shared" si="20"/>
        <v>0</v>
      </c>
      <c r="CQ737" s="1509"/>
      <c r="CR737" s="1509"/>
      <c r="CS737" s="1509"/>
      <c r="CT737" s="1510"/>
      <c r="CU737" s="1493">
        <f t="shared" si="21"/>
        <v>0</v>
      </c>
      <c r="CV737" s="1493"/>
      <c r="CW737" s="1493"/>
      <c r="CX737" s="1493"/>
      <c r="CY737" s="1493"/>
      <c r="CZ737" s="1493">
        <f t="shared" si="22"/>
        <v>0</v>
      </c>
      <c r="DA737" s="1493"/>
      <c r="DB737" s="1493"/>
      <c r="DC737" s="1493"/>
      <c r="DD737" s="1493"/>
      <c r="DE737" s="1493">
        <f t="shared" si="23"/>
        <v>0</v>
      </c>
      <c r="DF737" s="1493"/>
      <c r="DG737" s="1493"/>
      <c r="DH737" s="1493"/>
      <c r="DI737" s="1493"/>
      <c r="DJ737" s="1493">
        <f t="shared" si="24"/>
        <v>0</v>
      </c>
      <c r="DK737" s="1493"/>
      <c r="DL737" s="1493"/>
      <c r="DM737" s="1493"/>
      <c r="DN737" s="1493"/>
      <c r="DO737" s="1493">
        <f t="shared" si="25"/>
        <v>0</v>
      </c>
      <c r="DP737" s="1493"/>
      <c r="DQ737" s="1493"/>
      <c r="DR737" s="1493"/>
      <c r="DS737" s="1493"/>
      <c r="DT737" s="6"/>
      <c r="DU737" s="1494">
        <f t="shared" si="26"/>
        <v>0</v>
      </c>
      <c r="DV737" s="1494"/>
      <c r="DW737" s="1494"/>
      <c r="DX737" s="1494"/>
      <c r="DY737" s="1494"/>
      <c r="DZ737" s="1494">
        <f t="shared" si="27"/>
        <v>0</v>
      </c>
      <c r="EA737" s="1494"/>
      <c r="EB737" s="1494"/>
      <c r="EC737" s="1494"/>
      <c r="ED737" s="1494"/>
      <c r="EE737" s="1494">
        <f t="shared" si="28"/>
        <v>0</v>
      </c>
      <c r="EF737" s="1494"/>
      <c r="EG737" s="1494"/>
      <c r="EH737" s="1494"/>
      <c r="EI737" s="1494"/>
      <c r="EJ737" s="1494">
        <f t="shared" si="29"/>
        <v>0</v>
      </c>
      <c r="EK737" s="1494"/>
      <c r="EL737" s="1494"/>
      <c r="EM737" s="1494"/>
      <c r="EN737" s="1494"/>
      <c r="EO737" s="1494">
        <f t="shared" si="30"/>
        <v>0</v>
      </c>
      <c r="EP737" s="1494"/>
      <c r="EQ737" s="1494"/>
      <c r="ER737" s="1494"/>
      <c r="ES737" s="1494"/>
      <c r="ET737" s="1494">
        <f t="shared" si="31"/>
        <v>0</v>
      </c>
      <c r="EU737" s="1494"/>
      <c r="EV737" s="1494"/>
      <c r="EW737" s="1494"/>
      <c r="EX737" s="1494"/>
      <c r="EZ737" s="1515" t="str">
        <f t="shared" si="32"/>
        <v/>
      </c>
      <c r="FA737" s="1516"/>
      <c r="FB737" s="1516"/>
      <c r="FC737" s="1516"/>
      <c r="FD737" s="1517"/>
      <c r="FE737" s="1515" t="str">
        <f t="shared" si="33"/>
        <v/>
      </c>
      <c r="FF737" s="1516"/>
      <c r="FG737" s="1516"/>
      <c r="FH737" s="1516"/>
      <c r="FI737" s="1517"/>
      <c r="FJ737" s="1515" t="str">
        <f t="shared" si="34"/>
        <v/>
      </c>
      <c r="FK737" s="1516"/>
      <c r="FL737" s="1516"/>
      <c r="FM737" s="1516"/>
      <c r="FN737" s="1517"/>
      <c r="FO737" s="1515" t="str">
        <f t="shared" si="35"/>
        <v/>
      </c>
      <c r="FP737" s="1516"/>
      <c r="FQ737" s="1516"/>
      <c r="FR737" s="1516"/>
      <c r="FS737" s="1517"/>
      <c r="FT737" s="1515" t="str">
        <f t="shared" si="36"/>
        <v/>
      </c>
      <c r="FU737" s="1516"/>
      <c r="FV737" s="1516"/>
      <c r="FW737" s="1516"/>
      <c r="FX737" s="1517"/>
      <c r="FY737" s="1515" t="str">
        <f t="shared" si="37"/>
        <v/>
      </c>
      <c r="FZ737" s="1516"/>
      <c r="GA737" s="1516"/>
      <c r="GB737" s="1516"/>
      <c r="GC737" s="1517"/>
    </row>
    <row r="738" spans="1:185" ht="12.95" customHeight="1">
      <c r="B738" s="1425" t="s">
        <v>164</v>
      </c>
      <c r="C738" s="1426"/>
      <c r="D738" s="1426"/>
      <c r="E738" s="1426"/>
      <c r="F738" s="1427"/>
      <c r="G738" s="1504">
        <v>1</v>
      </c>
      <c r="H738" s="1505"/>
      <c r="I738" s="1505"/>
      <c r="J738" s="1506"/>
      <c r="K738" s="1548">
        <v>769</v>
      </c>
      <c r="L738" s="1549"/>
      <c r="M738" s="1549"/>
      <c r="N738" s="1550"/>
      <c r="O738" s="1473">
        <f>1181.4-T738</f>
        <v>1181.4000000000001</v>
      </c>
      <c r="P738" s="1474"/>
      <c r="Q738" s="1474"/>
      <c r="R738" s="1474"/>
      <c r="S738" s="1475"/>
      <c r="T738" s="1473">
        <v>0</v>
      </c>
      <c r="U738" s="1474"/>
      <c r="V738" s="1474"/>
      <c r="W738" s="1475"/>
      <c r="X738" s="1531">
        <f t="shared" si="10"/>
        <v>1181.4000000000001</v>
      </c>
      <c r="Y738" s="1402"/>
      <c r="Z738" s="1402"/>
      <c r="AA738" s="1402"/>
      <c r="AB738" s="1532"/>
      <c r="AC738" s="1405">
        <v>0.3</v>
      </c>
      <c r="AD738" s="1406"/>
      <c r="AE738" s="1406"/>
      <c r="AF738" s="1406"/>
      <c r="AG738" s="1407"/>
      <c r="AH738" s="1524">
        <f t="shared" si="38"/>
        <v>0.30000000000000004</v>
      </c>
      <c r="AI738" s="1525"/>
      <c r="AJ738" s="1526"/>
      <c r="AK738" s="1425" t="s">
        <v>591</v>
      </c>
      <c r="AL738" s="1426"/>
      <c r="AM738" s="1426"/>
      <c r="AN738" s="1426"/>
      <c r="AO738" s="1427"/>
      <c r="AP738" s="3"/>
      <c r="AQ738" s="3"/>
      <c r="AR738" s="3"/>
      <c r="AS738" s="3"/>
      <c r="AY738" s="1080"/>
      <c r="AZ738" s="118">
        <f t="shared" si="11"/>
        <v>3938</v>
      </c>
      <c r="BA738" s="3"/>
      <c r="BB738" s="3"/>
      <c r="BC738" s="3"/>
      <c r="BD738" s="3"/>
      <c r="BE738" s="204"/>
      <c r="BF738" s="294">
        <f t="shared" si="12"/>
        <v>1</v>
      </c>
      <c r="BG738" s="297">
        <f t="shared" si="13"/>
        <v>1.7241379310344827E-2</v>
      </c>
      <c r="BH738" s="298">
        <f t="shared" si="14"/>
        <v>5.1724137931034482E-3</v>
      </c>
      <c r="BI738" s="3"/>
      <c r="BJ738" s="3"/>
      <c r="BK738" s="3"/>
      <c r="BL738" s="3"/>
      <c r="BM738" s="3"/>
      <c r="BN738" s="3"/>
      <c r="BS738" s="294">
        <f t="shared" si="15"/>
        <v>1</v>
      </c>
      <c r="BT738" s="297">
        <f t="shared" si="16"/>
        <v>1.7241379310344827E-2</v>
      </c>
      <c r="BU738" s="298">
        <f t="shared" si="17"/>
        <v>5.1724137931034491E-3</v>
      </c>
      <c r="BV738" s="3"/>
      <c r="BW738" s="3"/>
      <c r="BX738" s="3"/>
      <c r="BY738" s="3"/>
      <c r="BZ738" s="3"/>
      <c r="CA738" s="3"/>
      <c r="CB738" s="3"/>
      <c r="CC738" s="3"/>
      <c r="CE738" s="3"/>
      <c r="CF738" s="3"/>
      <c r="CG738" s="1515">
        <f t="shared" si="39"/>
        <v>0</v>
      </c>
      <c r="CH738" s="1517"/>
      <c r="CI738" s="1518">
        <f t="shared" si="40"/>
        <v>0</v>
      </c>
      <c r="CJ738" s="1519"/>
      <c r="CK738" s="1515">
        <f t="shared" si="18"/>
        <v>1</v>
      </c>
      <c r="CL738" s="1517"/>
      <c r="CM738" s="1518">
        <f t="shared" si="19"/>
        <v>1</v>
      </c>
      <c r="CN738" s="1519"/>
      <c r="CO738" s="3"/>
      <c r="CP738" s="1508">
        <f t="shared" si="20"/>
        <v>0</v>
      </c>
      <c r="CQ738" s="1509"/>
      <c r="CR738" s="1509"/>
      <c r="CS738" s="1509"/>
      <c r="CT738" s="1510"/>
      <c r="CU738" s="1493">
        <f t="shared" si="21"/>
        <v>0</v>
      </c>
      <c r="CV738" s="1493"/>
      <c r="CW738" s="1493"/>
      <c r="CX738" s="1493"/>
      <c r="CY738" s="1493"/>
      <c r="CZ738" s="1493">
        <f t="shared" si="22"/>
        <v>0</v>
      </c>
      <c r="DA738" s="1493"/>
      <c r="DB738" s="1493"/>
      <c r="DC738" s="1493"/>
      <c r="DD738" s="1493"/>
      <c r="DE738" s="1493">
        <f t="shared" si="23"/>
        <v>1</v>
      </c>
      <c r="DF738" s="1493"/>
      <c r="DG738" s="1493"/>
      <c r="DH738" s="1493"/>
      <c r="DI738" s="1493"/>
      <c r="DJ738" s="1493">
        <f t="shared" si="24"/>
        <v>0</v>
      </c>
      <c r="DK738" s="1493"/>
      <c r="DL738" s="1493"/>
      <c r="DM738" s="1493"/>
      <c r="DN738" s="1493"/>
      <c r="DO738" s="1493">
        <f t="shared" si="25"/>
        <v>0</v>
      </c>
      <c r="DP738" s="1493"/>
      <c r="DQ738" s="1493"/>
      <c r="DR738" s="1493"/>
      <c r="DS738" s="1493"/>
      <c r="DT738" s="6"/>
      <c r="DU738" s="1494">
        <f t="shared" si="26"/>
        <v>0</v>
      </c>
      <c r="DV738" s="1494"/>
      <c r="DW738" s="1494"/>
      <c r="DX738" s="1494"/>
      <c r="DY738" s="1494"/>
      <c r="DZ738" s="1494">
        <f t="shared" si="27"/>
        <v>0</v>
      </c>
      <c r="EA738" s="1494"/>
      <c r="EB738" s="1494"/>
      <c r="EC738" s="1494"/>
      <c r="ED738" s="1494"/>
      <c r="EE738" s="1494">
        <f t="shared" si="28"/>
        <v>0</v>
      </c>
      <c r="EF738" s="1494"/>
      <c r="EG738" s="1494"/>
      <c r="EH738" s="1494"/>
      <c r="EI738" s="1494"/>
      <c r="EJ738" s="1494">
        <f t="shared" si="29"/>
        <v>1</v>
      </c>
      <c r="EK738" s="1494"/>
      <c r="EL738" s="1494"/>
      <c r="EM738" s="1494"/>
      <c r="EN738" s="1494"/>
      <c r="EO738" s="1494">
        <f t="shared" si="30"/>
        <v>0</v>
      </c>
      <c r="EP738" s="1494"/>
      <c r="EQ738" s="1494"/>
      <c r="ER738" s="1494"/>
      <c r="ES738" s="1494"/>
      <c r="ET738" s="1494">
        <f t="shared" si="31"/>
        <v>0</v>
      </c>
      <c r="EU738" s="1494"/>
      <c r="EV738" s="1494"/>
      <c r="EW738" s="1494"/>
      <c r="EX738" s="1494"/>
      <c r="EZ738" s="1515" t="str">
        <f t="shared" si="32"/>
        <v/>
      </c>
      <c r="FA738" s="1516"/>
      <c r="FB738" s="1516"/>
      <c r="FC738" s="1516"/>
      <c r="FD738" s="1517"/>
      <c r="FE738" s="1515" t="str">
        <f t="shared" si="33"/>
        <v/>
      </c>
      <c r="FF738" s="1516"/>
      <c r="FG738" s="1516"/>
      <c r="FH738" s="1516"/>
      <c r="FI738" s="1517"/>
      <c r="FJ738" s="1515" t="str">
        <f t="shared" si="34"/>
        <v/>
      </c>
      <c r="FK738" s="1516"/>
      <c r="FL738" s="1516"/>
      <c r="FM738" s="1516"/>
      <c r="FN738" s="1517"/>
      <c r="FO738" s="1515">
        <f t="shared" si="35"/>
        <v>1181.4000000000001</v>
      </c>
      <c r="FP738" s="1516"/>
      <c r="FQ738" s="1516"/>
      <c r="FR738" s="1516"/>
      <c r="FS738" s="1517"/>
      <c r="FT738" s="1515" t="str">
        <f t="shared" si="36"/>
        <v/>
      </c>
      <c r="FU738" s="1516"/>
      <c r="FV738" s="1516"/>
      <c r="FW738" s="1516"/>
      <c r="FX738" s="1517"/>
      <c r="FY738" s="1515" t="str">
        <f t="shared" si="37"/>
        <v/>
      </c>
      <c r="FZ738" s="1516"/>
      <c r="GA738" s="1516"/>
      <c r="GB738" s="1516"/>
      <c r="GC738" s="1517"/>
    </row>
    <row r="739" spans="1:185" ht="12.95" customHeight="1">
      <c r="B739" s="1425" t="s">
        <v>164</v>
      </c>
      <c r="C739" s="1426"/>
      <c r="D739" s="1426"/>
      <c r="E739" s="1426"/>
      <c r="F739" s="1427"/>
      <c r="G739" s="1504">
        <v>1</v>
      </c>
      <c r="H739" s="1505"/>
      <c r="I739" s="1505"/>
      <c r="J739" s="1506"/>
      <c r="K739" s="1548">
        <v>769</v>
      </c>
      <c r="L739" s="1549"/>
      <c r="M739" s="1549"/>
      <c r="N739" s="1550"/>
      <c r="O739" s="1473">
        <f>1969-T739</f>
        <v>1969</v>
      </c>
      <c r="P739" s="1474"/>
      <c r="Q739" s="1474"/>
      <c r="R739" s="1474"/>
      <c r="S739" s="1475"/>
      <c r="T739" s="1473">
        <v>0</v>
      </c>
      <c r="U739" s="1474"/>
      <c r="V739" s="1474"/>
      <c r="W739" s="1475"/>
      <c r="X739" s="1531">
        <f t="shared" si="10"/>
        <v>1969</v>
      </c>
      <c r="Y739" s="1402"/>
      <c r="Z739" s="1402"/>
      <c r="AA739" s="1402"/>
      <c r="AB739" s="1532"/>
      <c r="AC739" s="1405">
        <v>0.5</v>
      </c>
      <c r="AD739" s="1406"/>
      <c r="AE739" s="1406"/>
      <c r="AF739" s="1406"/>
      <c r="AG739" s="1407"/>
      <c r="AH739" s="1524">
        <f t="shared" si="38"/>
        <v>0.5</v>
      </c>
      <c r="AI739" s="1525"/>
      <c r="AJ739" s="1526"/>
      <c r="AK739" s="1425" t="s">
        <v>591</v>
      </c>
      <c r="AL739" s="1426"/>
      <c r="AM739" s="1426"/>
      <c r="AN739" s="1426"/>
      <c r="AO739" s="1427"/>
      <c r="AP739" s="3"/>
      <c r="AQ739" s="3"/>
      <c r="AR739" s="3"/>
      <c r="AS739" s="3"/>
      <c r="AY739" s="1080"/>
      <c r="AZ739" s="118">
        <f t="shared" si="11"/>
        <v>3938</v>
      </c>
      <c r="BA739" s="3"/>
      <c r="BB739" s="3"/>
      <c r="BC739" s="3"/>
      <c r="BD739" s="3"/>
      <c r="BE739" s="204"/>
      <c r="BF739" s="294">
        <f t="shared" si="12"/>
        <v>1</v>
      </c>
      <c r="BG739" s="297">
        <f t="shared" si="13"/>
        <v>1.7241379310344827E-2</v>
      </c>
      <c r="BH739" s="298">
        <f t="shared" si="14"/>
        <v>8.6206896551724137E-3</v>
      </c>
      <c r="BI739" s="3"/>
      <c r="BJ739" s="3"/>
      <c r="BK739" s="3"/>
      <c r="BL739" s="3"/>
      <c r="BM739" s="3"/>
      <c r="BN739" s="3"/>
      <c r="BS739" s="294">
        <f t="shared" si="15"/>
        <v>1</v>
      </c>
      <c r="BT739" s="297">
        <f t="shared" si="16"/>
        <v>1.7241379310344827E-2</v>
      </c>
      <c r="BU739" s="298">
        <f t="shared" si="17"/>
        <v>8.6206896551724137E-3</v>
      </c>
      <c r="BV739" s="3"/>
      <c r="BW739" s="3"/>
      <c r="BX739" s="3"/>
      <c r="BY739" s="3"/>
      <c r="BZ739" s="3"/>
      <c r="CA739" s="3"/>
      <c r="CB739" s="3"/>
      <c r="CC739" s="3"/>
      <c r="CE739" s="3"/>
      <c r="CF739" s="3"/>
      <c r="CG739" s="1515">
        <f t="shared" si="39"/>
        <v>1</v>
      </c>
      <c r="CH739" s="1517"/>
      <c r="CI739" s="1518">
        <f t="shared" si="40"/>
        <v>1</v>
      </c>
      <c r="CJ739" s="1519"/>
      <c r="CK739" s="1515">
        <f t="shared" si="18"/>
        <v>0</v>
      </c>
      <c r="CL739" s="1517"/>
      <c r="CM739" s="1518">
        <f t="shared" si="19"/>
        <v>0</v>
      </c>
      <c r="CN739" s="1519"/>
      <c r="CO739" s="3"/>
      <c r="CP739" s="1508">
        <f t="shared" si="20"/>
        <v>0</v>
      </c>
      <c r="CQ739" s="1509"/>
      <c r="CR739" s="1509"/>
      <c r="CS739" s="1509"/>
      <c r="CT739" s="1510"/>
      <c r="CU739" s="1493">
        <f t="shared" si="21"/>
        <v>0</v>
      </c>
      <c r="CV739" s="1493"/>
      <c r="CW739" s="1493"/>
      <c r="CX739" s="1493"/>
      <c r="CY739" s="1493"/>
      <c r="CZ739" s="1493">
        <f t="shared" si="22"/>
        <v>0</v>
      </c>
      <c r="DA739" s="1493"/>
      <c r="DB739" s="1493"/>
      <c r="DC739" s="1493"/>
      <c r="DD739" s="1493"/>
      <c r="DE739" s="1493">
        <f t="shared" si="23"/>
        <v>1</v>
      </c>
      <c r="DF739" s="1493"/>
      <c r="DG739" s="1493"/>
      <c r="DH739" s="1493"/>
      <c r="DI739" s="1493"/>
      <c r="DJ739" s="1493">
        <f t="shared" si="24"/>
        <v>0</v>
      </c>
      <c r="DK739" s="1493"/>
      <c r="DL739" s="1493"/>
      <c r="DM739" s="1493"/>
      <c r="DN739" s="1493"/>
      <c r="DO739" s="1493">
        <f t="shared" si="25"/>
        <v>0</v>
      </c>
      <c r="DP739" s="1493"/>
      <c r="DQ739" s="1493"/>
      <c r="DR739" s="1493"/>
      <c r="DS739" s="1493"/>
      <c r="DT739" s="6"/>
      <c r="DU739" s="1494">
        <f t="shared" si="26"/>
        <v>0</v>
      </c>
      <c r="DV739" s="1494"/>
      <c r="DW739" s="1494"/>
      <c r="DX739" s="1494"/>
      <c r="DY739" s="1494"/>
      <c r="DZ739" s="1494">
        <f t="shared" si="27"/>
        <v>0</v>
      </c>
      <c r="EA739" s="1494"/>
      <c r="EB739" s="1494"/>
      <c r="EC739" s="1494"/>
      <c r="ED739" s="1494"/>
      <c r="EE739" s="1494">
        <f t="shared" si="28"/>
        <v>0</v>
      </c>
      <c r="EF739" s="1494"/>
      <c r="EG739" s="1494"/>
      <c r="EH739" s="1494"/>
      <c r="EI739" s="1494"/>
      <c r="EJ739" s="1494">
        <f t="shared" si="29"/>
        <v>0</v>
      </c>
      <c r="EK739" s="1494"/>
      <c r="EL739" s="1494"/>
      <c r="EM739" s="1494"/>
      <c r="EN739" s="1494"/>
      <c r="EO739" s="1494">
        <f t="shared" si="30"/>
        <v>0</v>
      </c>
      <c r="EP739" s="1494"/>
      <c r="EQ739" s="1494"/>
      <c r="ER739" s="1494"/>
      <c r="ES739" s="1494"/>
      <c r="ET739" s="1494">
        <f t="shared" si="31"/>
        <v>0</v>
      </c>
      <c r="EU739" s="1494"/>
      <c r="EV739" s="1494"/>
      <c r="EW739" s="1494"/>
      <c r="EX739" s="1494"/>
      <c r="EZ739" s="1515" t="str">
        <f t="shared" si="32"/>
        <v/>
      </c>
      <c r="FA739" s="1516"/>
      <c r="FB739" s="1516"/>
      <c r="FC739" s="1516"/>
      <c r="FD739" s="1517"/>
      <c r="FE739" s="1515" t="str">
        <f t="shared" si="33"/>
        <v/>
      </c>
      <c r="FF739" s="1516"/>
      <c r="FG739" s="1516"/>
      <c r="FH739" s="1516"/>
      <c r="FI739" s="1517"/>
      <c r="FJ739" s="1515" t="str">
        <f t="shared" si="34"/>
        <v/>
      </c>
      <c r="FK739" s="1516"/>
      <c r="FL739" s="1516"/>
      <c r="FM739" s="1516"/>
      <c r="FN739" s="1517"/>
      <c r="FO739" s="1515">
        <f t="shared" si="35"/>
        <v>1969</v>
      </c>
      <c r="FP739" s="1516"/>
      <c r="FQ739" s="1516"/>
      <c r="FR739" s="1516"/>
      <c r="FS739" s="1517"/>
      <c r="FT739" s="1515" t="str">
        <f t="shared" si="36"/>
        <v/>
      </c>
      <c r="FU739" s="1516"/>
      <c r="FV739" s="1516"/>
      <c r="FW739" s="1516"/>
      <c r="FX739" s="1517"/>
      <c r="FY739" s="1515" t="str">
        <f t="shared" si="37"/>
        <v/>
      </c>
      <c r="FZ739" s="1516"/>
      <c r="GA739" s="1516"/>
      <c r="GB739" s="1516"/>
      <c r="GC739" s="1517"/>
    </row>
    <row r="740" spans="1:185" ht="12.95" customHeight="1">
      <c r="B740" s="1425" t="s">
        <v>164</v>
      </c>
      <c r="C740" s="1426"/>
      <c r="D740" s="1426"/>
      <c r="E740" s="1426"/>
      <c r="F740" s="1427"/>
      <c r="G740" s="1504">
        <v>5</v>
      </c>
      <c r="H740" s="1505"/>
      <c r="I740" s="1505"/>
      <c r="J740" s="1506"/>
      <c r="K740" s="1548">
        <v>769</v>
      </c>
      <c r="L740" s="1549"/>
      <c r="M740" s="1549"/>
      <c r="N740" s="1550"/>
      <c r="O740" s="1473">
        <f>2756.6-T740</f>
        <v>2756.6</v>
      </c>
      <c r="P740" s="1474"/>
      <c r="Q740" s="1474"/>
      <c r="R740" s="1474"/>
      <c r="S740" s="1475"/>
      <c r="T740" s="1473">
        <v>0</v>
      </c>
      <c r="U740" s="1474"/>
      <c r="V740" s="1474"/>
      <c r="W740" s="1475"/>
      <c r="X740" s="1531">
        <f t="shared" si="10"/>
        <v>2756.6</v>
      </c>
      <c r="Y740" s="1402"/>
      <c r="Z740" s="1402"/>
      <c r="AA740" s="1402"/>
      <c r="AB740" s="1532"/>
      <c r="AC740" s="1405">
        <v>0.7</v>
      </c>
      <c r="AD740" s="1406"/>
      <c r="AE740" s="1406"/>
      <c r="AF740" s="1406"/>
      <c r="AG740" s="1407"/>
      <c r="AH740" s="1524">
        <f t="shared" si="38"/>
        <v>0.7</v>
      </c>
      <c r="AI740" s="1525"/>
      <c r="AJ740" s="1526"/>
      <c r="AK740" s="1425" t="s">
        <v>591</v>
      </c>
      <c r="AL740" s="1426"/>
      <c r="AM740" s="1426"/>
      <c r="AN740" s="1426"/>
      <c r="AO740" s="1427"/>
      <c r="AP740" s="3"/>
      <c r="AQ740" s="3"/>
      <c r="AR740" s="3"/>
      <c r="AS740" s="3"/>
      <c r="AY740" s="1080"/>
      <c r="AZ740" s="118">
        <f t="shared" si="11"/>
        <v>3938</v>
      </c>
      <c r="BA740" s="3"/>
      <c r="BB740" s="3"/>
      <c r="BC740" s="3"/>
      <c r="BD740" s="3"/>
      <c r="BE740" s="204"/>
      <c r="BF740" s="294">
        <f t="shared" si="12"/>
        <v>5</v>
      </c>
      <c r="BG740" s="297">
        <f t="shared" si="13"/>
        <v>8.6206896551724144E-2</v>
      </c>
      <c r="BH740" s="298">
        <f t="shared" si="14"/>
        <v>6.0344827586206899E-2</v>
      </c>
      <c r="BI740" s="3"/>
      <c r="BJ740" s="3"/>
      <c r="BK740" s="3"/>
      <c r="BL740" s="3"/>
      <c r="BM740" s="3"/>
      <c r="BN740" s="3"/>
      <c r="BS740" s="294">
        <f t="shared" si="15"/>
        <v>5</v>
      </c>
      <c r="BT740" s="297">
        <f t="shared" si="16"/>
        <v>8.6206896551724144E-2</v>
      </c>
      <c r="BU740" s="298">
        <f t="shared" si="17"/>
        <v>6.0344827586206899E-2</v>
      </c>
      <c r="BV740" s="3"/>
      <c r="BW740" s="3"/>
      <c r="BX740" s="3"/>
      <c r="BY740" s="3"/>
      <c r="BZ740" s="3"/>
      <c r="CA740" s="3"/>
      <c r="CB740" s="3"/>
      <c r="CC740" s="3"/>
      <c r="CE740" s="3"/>
      <c r="CF740" s="3"/>
      <c r="CG740" s="1515">
        <f t="shared" si="39"/>
        <v>0</v>
      </c>
      <c r="CH740" s="1517"/>
      <c r="CI740" s="1518">
        <f t="shared" si="40"/>
        <v>0</v>
      </c>
      <c r="CJ740" s="1519"/>
      <c r="CK740" s="1515">
        <f t="shared" si="18"/>
        <v>0</v>
      </c>
      <c r="CL740" s="1517"/>
      <c r="CM740" s="1518">
        <f t="shared" si="19"/>
        <v>0</v>
      </c>
      <c r="CN740" s="1519"/>
      <c r="CO740" s="3"/>
      <c r="CP740" s="1508">
        <f t="shared" si="20"/>
        <v>0</v>
      </c>
      <c r="CQ740" s="1509"/>
      <c r="CR740" s="1509"/>
      <c r="CS740" s="1509"/>
      <c r="CT740" s="1510"/>
      <c r="CU740" s="1493">
        <f t="shared" si="21"/>
        <v>0</v>
      </c>
      <c r="CV740" s="1493"/>
      <c r="CW740" s="1493"/>
      <c r="CX740" s="1493"/>
      <c r="CY740" s="1493"/>
      <c r="CZ740" s="1493">
        <f t="shared" si="22"/>
        <v>0</v>
      </c>
      <c r="DA740" s="1493"/>
      <c r="DB740" s="1493"/>
      <c r="DC740" s="1493"/>
      <c r="DD740" s="1493"/>
      <c r="DE740" s="1493">
        <f t="shared" si="23"/>
        <v>5</v>
      </c>
      <c r="DF740" s="1493"/>
      <c r="DG740" s="1493"/>
      <c r="DH740" s="1493"/>
      <c r="DI740" s="1493"/>
      <c r="DJ740" s="1493">
        <f t="shared" si="24"/>
        <v>0</v>
      </c>
      <c r="DK740" s="1493"/>
      <c r="DL740" s="1493"/>
      <c r="DM740" s="1493"/>
      <c r="DN740" s="1493"/>
      <c r="DO740" s="1493">
        <f t="shared" si="25"/>
        <v>0</v>
      </c>
      <c r="DP740" s="1493"/>
      <c r="DQ740" s="1493"/>
      <c r="DR740" s="1493"/>
      <c r="DS740" s="1493"/>
      <c r="DT740" s="6"/>
      <c r="DU740" s="1494">
        <f t="shared" si="26"/>
        <v>0</v>
      </c>
      <c r="DV740" s="1494"/>
      <c r="DW740" s="1494"/>
      <c r="DX740" s="1494"/>
      <c r="DY740" s="1494"/>
      <c r="DZ740" s="1494">
        <f t="shared" si="27"/>
        <v>0</v>
      </c>
      <c r="EA740" s="1494"/>
      <c r="EB740" s="1494"/>
      <c r="EC740" s="1494"/>
      <c r="ED740" s="1494"/>
      <c r="EE740" s="1494">
        <f t="shared" si="28"/>
        <v>0</v>
      </c>
      <c r="EF740" s="1494"/>
      <c r="EG740" s="1494"/>
      <c r="EH740" s="1494"/>
      <c r="EI740" s="1494"/>
      <c r="EJ740" s="1494">
        <f t="shared" si="29"/>
        <v>0</v>
      </c>
      <c r="EK740" s="1494"/>
      <c r="EL740" s="1494"/>
      <c r="EM740" s="1494"/>
      <c r="EN740" s="1494"/>
      <c r="EO740" s="1494">
        <f t="shared" si="30"/>
        <v>0</v>
      </c>
      <c r="EP740" s="1494"/>
      <c r="EQ740" s="1494"/>
      <c r="ER740" s="1494"/>
      <c r="ES740" s="1494"/>
      <c r="ET740" s="1494">
        <f t="shared" si="31"/>
        <v>0</v>
      </c>
      <c r="EU740" s="1494"/>
      <c r="EV740" s="1494"/>
      <c r="EW740" s="1494"/>
      <c r="EX740" s="1494"/>
      <c r="EZ740" s="1515" t="str">
        <f t="shared" si="32"/>
        <v/>
      </c>
      <c r="FA740" s="1516"/>
      <c r="FB740" s="1516"/>
      <c r="FC740" s="1516"/>
      <c r="FD740" s="1517"/>
      <c r="FE740" s="1515" t="str">
        <f t="shared" si="33"/>
        <v/>
      </c>
      <c r="FF740" s="1516"/>
      <c r="FG740" s="1516"/>
      <c r="FH740" s="1516"/>
      <c r="FI740" s="1517"/>
      <c r="FJ740" s="1515" t="str">
        <f t="shared" si="34"/>
        <v/>
      </c>
      <c r="FK740" s="1516"/>
      <c r="FL740" s="1516"/>
      <c r="FM740" s="1516"/>
      <c r="FN740" s="1517"/>
      <c r="FO740" s="1515">
        <f t="shared" si="35"/>
        <v>2756.6</v>
      </c>
      <c r="FP740" s="1516"/>
      <c r="FQ740" s="1516"/>
      <c r="FR740" s="1516"/>
      <c r="FS740" s="1517"/>
      <c r="FT740" s="1515" t="str">
        <f t="shared" si="36"/>
        <v/>
      </c>
      <c r="FU740" s="1516"/>
      <c r="FV740" s="1516"/>
      <c r="FW740" s="1516"/>
      <c r="FX740" s="1517"/>
      <c r="FY740" s="1515" t="str">
        <f t="shared" si="37"/>
        <v/>
      </c>
      <c r="FZ740" s="1516"/>
      <c r="GA740" s="1516"/>
      <c r="GB740" s="1516"/>
      <c r="GC740" s="1517"/>
    </row>
    <row r="741" spans="1:185" ht="12.95" customHeight="1">
      <c r="B741" s="1425"/>
      <c r="C741" s="1426"/>
      <c r="D741" s="1426"/>
      <c r="E741" s="1426"/>
      <c r="F741" s="1427"/>
      <c r="G741" s="1504"/>
      <c r="H741" s="1505"/>
      <c r="I741" s="1505"/>
      <c r="J741" s="1506"/>
      <c r="K741" s="1548"/>
      <c r="L741" s="1549"/>
      <c r="M741" s="1549"/>
      <c r="N741" s="1550"/>
      <c r="O741" s="1473"/>
      <c r="P741" s="1474"/>
      <c r="Q741" s="1474"/>
      <c r="R741" s="1474"/>
      <c r="S741" s="1475"/>
      <c r="T741" s="1473"/>
      <c r="U741" s="1474"/>
      <c r="V741" s="1474"/>
      <c r="W741" s="1475"/>
      <c r="X741" s="1531">
        <f t="shared" si="10"/>
        <v>0</v>
      </c>
      <c r="Y741" s="1402"/>
      <c r="Z741" s="1402"/>
      <c r="AA741" s="1402"/>
      <c r="AB741" s="1532"/>
      <c r="AC741" s="1405"/>
      <c r="AD741" s="1406"/>
      <c r="AE741" s="1406"/>
      <c r="AF741" s="1406"/>
      <c r="AG741" s="1407"/>
      <c r="AH741" s="1524" t="str">
        <f t="shared" si="38"/>
        <v/>
      </c>
      <c r="AI741" s="1525"/>
      <c r="AJ741" s="1526"/>
      <c r="AK741" s="1425" t="s">
        <v>591</v>
      </c>
      <c r="AL741" s="1426"/>
      <c r="AM741" s="1426"/>
      <c r="AN741" s="1426"/>
      <c r="AO741" s="1427"/>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15">
        <f t="shared" si="39"/>
        <v>0</v>
      </c>
      <c r="CH741" s="1517"/>
      <c r="CI741" s="1518">
        <f t="shared" si="40"/>
        <v>0</v>
      </c>
      <c r="CJ741" s="1519"/>
      <c r="CK741" s="1515">
        <f t="shared" si="18"/>
        <v>0</v>
      </c>
      <c r="CL741" s="1517"/>
      <c r="CM741" s="1518">
        <f t="shared" si="19"/>
        <v>0</v>
      </c>
      <c r="CN741" s="1519"/>
      <c r="CO741" s="3"/>
      <c r="CP741" s="1508">
        <f t="shared" si="20"/>
        <v>0</v>
      </c>
      <c r="CQ741" s="1509"/>
      <c r="CR741" s="1509"/>
      <c r="CS741" s="1509"/>
      <c r="CT741" s="1510"/>
      <c r="CU741" s="1493">
        <f t="shared" si="21"/>
        <v>0</v>
      </c>
      <c r="CV741" s="1493"/>
      <c r="CW741" s="1493"/>
      <c r="CX741" s="1493"/>
      <c r="CY741" s="1493"/>
      <c r="CZ741" s="1493">
        <f t="shared" si="22"/>
        <v>0</v>
      </c>
      <c r="DA741" s="1493"/>
      <c r="DB741" s="1493"/>
      <c r="DC741" s="1493"/>
      <c r="DD741" s="1493"/>
      <c r="DE741" s="1493">
        <f t="shared" si="23"/>
        <v>0</v>
      </c>
      <c r="DF741" s="1493"/>
      <c r="DG741" s="1493"/>
      <c r="DH741" s="1493"/>
      <c r="DI741" s="1493"/>
      <c r="DJ741" s="1493">
        <f t="shared" si="24"/>
        <v>0</v>
      </c>
      <c r="DK741" s="1493"/>
      <c r="DL741" s="1493"/>
      <c r="DM741" s="1493"/>
      <c r="DN741" s="1493"/>
      <c r="DO741" s="1493">
        <f t="shared" si="25"/>
        <v>0</v>
      </c>
      <c r="DP741" s="1493"/>
      <c r="DQ741" s="1493"/>
      <c r="DR741" s="1493"/>
      <c r="DS741" s="1493"/>
      <c r="DT741" s="6"/>
      <c r="DU741" s="1494">
        <f t="shared" si="26"/>
        <v>0</v>
      </c>
      <c r="DV741" s="1494"/>
      <c r="DW741" s="1494"/>
      <c r="DX741" s="1494"/>
      <c r="DY741" s="1494"/>
      <c r="DZ741" s="1494">
        <f t="shared" si="27"/>
        <v>0</v>
      </c>
      <c r="EA741" s="1494"/>
      <c r="EB741" s="1494"/>
      <c r="EC741" s="1494"/>
      <c r="ED741" s="1494"/>
      <c r="EE741" s="1494">
        <f t="shared" si="28"/>
        <v>0</v>
      </c>
      <c r="EF741" s="1494"/>
      <c r="EG741" s="1494"/>
      <c r="EH741" s="1494"/>
      <c r="EI741" s="1494"/>
      <c r="EJ741" s="1494">
        <f t="shared" si="29"/>
        <v>0</v>
      </c>
      <c r="EK741" s="1494"/>
      <c r="EL741" s="1494"/>
      <c r="EM741" s="1494"/>
      <c r="EN741" s="1494"/>
      <c r="EO741" s="1494">
        <f t="shared" si="30"/>
        <v>0</v>
      </c>
      <c r="EP741" s="1494"/>
      <c r="EQ741" s="1494"/>
      <c r="ER741" s="1494"/>
      <c r="ES741" s="1494"/>
      <c r="ET741" s="1494">
        <f t="shared" si="31"/>
        <v>0</v>
      </c>
      <c r="EU741" s="1494"/>
      <c r="EV741" s="1494"/>
      <c r="EW741" s="1494"/>
      <c r="EX741" s="1494"/>
      <c r="EZ741" s="1515" t="str">
        <f t="shared" si="32"/>
        <v/>
      </c>
      <c r="FA741" s="1516"/>
      <c r="FB741" s="1516"/>
      <c r="FC741" s="1516"/>
      <c r="FD741" s="1517"/>
      <c r="FE741" s="1515" t="str">
        <f t="shared" si="33"/>
        <v/>
      </c>
      <c r="FF741" s="1516"/>
      <c r="FG741" s="1516"/>
      <c r="FH741" s="1516"/>
      <c r="FI741" s="1517"/>
      <c r="FJ741" s="1515" t="str">
        <f t="shared" si="34"/>
        <v/>
      </c>
      <c r="FK741" s="1516"/>
      <c r="FL741" s="1516"/>
      <c r="FM741" s="1516"/>
      <c r="FN741" s="1517"/>
      <c r="FO741" s="1515" t="str">
        <f t="shared" si="35"/>
        <v/>
      </c>
      <c r="FP741" s="1516"/>
      <c r="FQ741" s="1516"/>
      <c r="FR741" s="1516"/>
      <c r="FS741" s="1517"/>
      <c r="FT741" s="1515" t="str">
        <f t="shared" si="36"/>
        <v/>
      </c>
      <c r="FU741" s="1516"/>
      <c r="FV741" s="1516"/>
      <c r="FW741" s="1516"/>
      <c r="FX741" s="1517"/>
      <c r="FY741" s="1515" t="str">
        <f t="shared" si="37"/>
        <v/>
      </c>
      <c r="FZ741" s="1516"/>
      <c r="GA741" s="1516"/>
      <c r="GB741" s="1516"/>
      <c r="GC741" s="1517"/>
    </row>
    <row r="742" spans="1:185" ht="12.95" customHeight="1">
      <c r="B742" s="1425"/>
      <c r="C742" s="1426"/>
      <c r="D742" s="1426"/>
      <c r="E742" s="1426"/>
      <c r="F742" s="1427"/>
      <c r="G742" s="1504"/>
      <c r="H742" s="1505"/>
      <c r="I742" s="1505"/>
      <c r="J742" s="1506"/>
      <c r="K742" s="1548"/>
      <c r="L742" s="1549"/>
      <c r="M742" s="1549"/>
      <c r="N742" s="1550"/>
      <c r="O742" s="1473"/>
      <c r="P742" s="1474"/>
      <c r="Q742" s="1474"/>
      <c r="R742" s="1474"/>
      <c r="S742" s="1475"/>
      <c r="T742" s="1473"/>
      <c r="U742" s="1474"/>
      <c r="V742" s="1474"/>
      <c r="W742" s="1475"/>
      <c r="X742" s="1531">
        <f t="shared" si="10"/>
        <v>0</v>
      </c>
      <c r="Y742" s="1402"/>
      <c r="Z742" s="1402"/>
      <c r="AA742" s="1402"/>
      <c r="AB742" s="1532"/>
      <c r="AC742" s="1405"/>
      <c r="AD742" s="1406"/>
      <c r="AE742" s="1406"/>
      <c r="AF742" s="1406"/>
      <c r="AG742" s="1407"/>
      <c r="AH742" s="1524" t="str">
        <f t="shared" si="38"/>
        <v/>
      </c>
      <c r="AI742" s="1525"/>
      <c r="AJ742" s="1526"/>
      <c r="AK742" s="1425" t="s">
        <v>591</v>
      </c>
      <c r="AL742" s="1426"/>
      <c r="AM742" s="1426"/>
      <c r="AN742" s="1426"/>
      <c r="AO742" s="1427"/>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15">
        <f t="shared" si="39"/>
        <v>0</v>
      </c>
      <c r="CH742" s="1517"/>
      <c r="CI742" s="1518">
        <f t="shared" si="40"/>
        <v>0</v>
      </c>
      <c r="CJ742" s="1519"/>
      <c r="CK742" s="1515">
        <f t="shared" si="18"/>
        <v>0</v>
      </c>
      <c r="CL742" s="1517"/>
      <c r="CM742" s="1518">
        <f t="shared" si="19"/>
        <v>0</v>
      </c>
      <c r="CN742" s="1519"/>
      <c r="CO742" s="3"/>
      <c r="CP742" s="1508">
        <f t="shared" si="20"/>
        <v>0</v>
      </c>
      <c r="CQ742" s="1509"/>
      <c r="CR742" s="1509"/>
      <c r="CS742" s="1509"/>
      <c r="CT742" s="1510"/>
      <c r="CU742" s="1493">
        <f t="shared" si="21"/>
        <v>0</v>
      </c>
      <c r="CV742" s="1493"/>
      <c r="CW742" s="1493"/>
      <c r="CX742" s="1493"/>
      <c r="CY742" s="1493"/>
      <c r="CZ742" s="1493">
        <f t="shared" si="22"/>
        <v>0</v>
      </c>
      <c r="DA742" s="1493"/>
      <c r="DB742" s="1493"/>
      <c r="DC742" s="1493"/>
      <c r="DD742" s="1493"/>
      <c r="DE742" s="1493">
        <f t="shared" si="23"/>
        <v>0</v>
      </c>
      <c r="DF742" s="1493"/>
      <c r="DG742" s="1493"/>
      <c r="DH742" s="1493"/>
      <c r="DI742" s="1493"/>
      <c r="DJ742" s="1493">
        <f t="shared" si="24"/>
        <v>0</v>
      </c>
      <c r="DK742" s="1493"/>
      <c r="DL742" s="1493"/>
      <c r="DM742" s="1493"/>
      <c r="DN742" s="1493"/>
      <c r="DO742" s="1493">
        <f t="shared" si="25"/>
        <v>0</v>
      </c>
      <c r="DP742" s="1493"/>
      <c r="DQ742" s="1493"/>
      <c r="DR742" s="1493"/>
      <c r="DS742" s="1493"/>
      <c r="DT742" s="6"/>
      <c r="DU742" s="1494">
        <f t="shared" si="26"/>
        <v>0</v>
      </c>
      <c r="DV742" s="1494"/>
      <c r="DW742" s="1494"/>
      <c r="DX742" s="1494"/>
      <c r="DY742" s="1494"/>
      <c r="DZ742" s="1494">
        <f t="shared" si="27"/>
        <v>0</v>
      </c>
      <c r="EA742" s="1494"/>
      <c r="EB742" s="1494"/>
      <c r="EC742" s="1494"/>
      <c r="ED742" s="1494"/>
      <c r="EE742" s="1494">
        <f t="shared" si="28"/>
        <v>0</v>
      </c>
      <c r="EF742" s="1494"/>
      <c r="EG742" s="1494"/>
      <c r="EH742" s="1494"/>
      <c r="EI742" s="1494"/>
      <c r="EJ742" s="1494">
        <f t="shared" si="29"/>
        <v>0</v>
      </c>
      <c r="EK742" s="1494"/>
      <c r="EL742" s="1494"/>
      <c r="EM742" s="1494"/>
      <c r="EN742" s="1494"/>
      <c r="EO742" s="1494">
        <f t="shared" si="30"/>
        <v>0</v>
      </c>
      <c r="EP742" s="1494"/>
      <c r="EQ742" s="1494"/>
      <c r="ER742" s="1494"/>
      <c r="ES742" s="1494"/>
      <c r="ET742" s="1494">
        <f t="shared" si="31"/>
        <v>0</v>
      </c>
      <c r="EU742" s="1494"/>
      <c r="EV742" s="1494"/>
      <c r="EW742" s="1494"/>
      <c r="EX742" s="1494"/>
      <c r="EZ742" s="1515" t="str">
        <f t="shared" si="32"/>
        <v/>
      </c>
      <c r="FA742" s="1516"/>
      <c r="FB742" s="1516"/>
      <c r="FC742" s="1516"/>
      <c r="FD742" s="1517"/>
      <c r="FE742" s="1515" t="str">
        <f t="shared" si="33"/>
        <v/>
      </c>
      <c r="FF742" s="1516"/>
      <c r="FG742" s="1516"/>
      <c r="FH742" s="1516"/>
      <c r="FI742" s="1517"/>
      <c r="FJ742" s="1515" t="str">
        <f t="shared" si="34"/>
        <v/>
      </c>
      <c r="FK742" s="1516"/>
      <c r="FL742" s="1516"/>
      <c r="FM742" s="1516"/>
      <c r="FN742" s="1517"/>
      <c r="FO742" s="1515" t="str">
        <f t="shared" si="35"/>
        <v/>
      </c>
      <c r="FP742" s="1516"/>
      <c r="FQ742" s="1516"/>
      <c r="FR742" s="1516"/>
      <c r="FS742" s="1517"/>
      <c r="FT742" s="1515" t="str">
        <f t="shared" si="36"/>
        <v/>
      </c>
      <c r="FU742" s="1516"/>
      <c r="FV742" s="1516"/>
      <c r="FW742" s="1516"/>
      <c r="FX742" s="1517"/>
      <c r="FY742" s="1515" t="str">
        <f t="shared" si="37"/>
        <v/>
      </c>
      <c r="FZ742" s="1516"/>
      <c r="GA742" s="1516"/>
      <c r="GB742" s="1516"/>
      <c r="GC742" s="1517"/>
    </row>
    <row r="743" spans="1:185" ht="12.95" customHeight="1">
      <c r="B743" s="1425"/>
      <c r="C743" s="1426"/>
      <c r="D743" s="1426"/>
      <c r="E743" s="1426"/>
      <c r="F743" s="1427"/>
      <c r="G743" s="1504"/>
      <c r="H743" s="1505"/>
      <c r="I743" s="1505"/>
      <c r="J743" s="1506"/>
      <c r="K743" s="1548"/>
      <c r="L743" s="1549"/>
      <c r="M743" s="1549"/>
      <c r="N743" s="1550"/>
      <c r="O743" s="1473"/>
      <c r="P743" s="1474"/>
      <c r="Q743" s="1474"/>
      <c r="R743" s="1474"/>
      <c r="S743" s="1475"/>
      <c r="T743" s="1473"/>
      <c r="U743" s="1474"/>
      <c r="V743" s="1474"/>
      <c r="W743" s="1475"/>
      <c r="X743" s="1531">
        <f t="shared" si="10"/>
        <v>0</v>
      </c>
      <c r="Y743" s="1402"/>
      <c r="Z743" s="1402"/>
      <c r="AA743" s="1402"/>
      <c r="AB743" s="1532"/>
      <c r="AC743" s="1405"/>
      <c r="AD743" s="1406"/>
      <c r="AE743" s="1406"/>
      <c r="AF743" s="1406"/>
      <c r="AG743" s="1407"/>
      <c r="AH743" s="1524" t="str">
        <f t="shared" si="38"/>
        <v/>
      </c>
      <c r="AI743" s="1525"/>
      <c r="AJ743" s="1526"/>
      <c r="AK743" s="1425" t="s">
        <v>591</v>
      </c>
      <c r="AL743" s="1426"/>
      <c r="AM743" s="1426"/>
      <c r="AN743" s="1426"/>
      <c r="AO743" s="1427"/>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15">
        <f t="shared" si="39"/>
        <v>0</v>
      </c>
      <c r="CH743" s="1517"/>
      <c r="CI743" s="1518">
        <f t="shared" si="40"/>
        <v>0</v>
      </c>
      <c r="CJ743" s="1519"/>
      <c r="CK743" s="1515">
        <f t="shared" si="18"/>
        <v>0</v>
      </c>
      <c r="CL743" s="1517"/>
      <c r="CM743" s="1518">
        <f t="shared" si="19"/>
        <v>0</v>
      </c>
      <c r="CN743" s="1519"/>
      <c r="CO743" s="3"/>
      <c r="CP743" s="1508">
        <f t="shared" si="20"/>
        <v>0</v>
      </c>
      <c r="CQ743" s="1509"/>
      <c r="CR743" s="1509"/>
      <c r="CS743" s="1509"/>
      <c r="CT743" s="1510"/>
      <c r="CU743" s="1493">
        <f t="shared" si="21"/>
        <v>0</v>
      </c>
      <c r="CV743" s="1493"/>
      <c r="CW743" s="1493"/>
      <c r="CX743" s="1493"/>
      <c r="CY743" s="1493"/>
      <c r="CZ743" s="1493">
        <f t="shared" si="22"/>
        <v>0</v>
      </c>
      <c r="DA743" s="1493"/>
      <c r="DB743" s="1493"/>
      <c r="DC743" s="1493"/>
      <c r="DD743" s="1493"/>
      <c r="DE743" s="1493">
        <f t="shared" si="23"/>
        <v>0</v>
      </c>
      <c r="DF743" s="1493"/>
      <c r="DG743" s="1493"/>
      <c r="DH743" s="1493"/>
      <c r="DI743" s="1493"/>
      <c r="DJ743" s="1493">
        <f t="shared" si="24"/>
        <v>0</v>
      </c>
      <c r="DK743" s="1493"/>
      <c r="DL743" s="1493"/>
      <c r="DM743" s="1493"/>
      <c r="DN743" s="1493"/>
      <c r="DO743" s="1493">
        <f t="shared" si="25"/>
        <v>0</v>
      </c>
      <c r="DP743" s="1493"/>
      <c r="DQ743" s="1493"/>
      <c r="DR743" s="1493"/>
      <c r="DS743" s="1493"/>
      <c r="DT743" s="6"/>
      <c r="DU743" s="1494">
        <f t="shared" si="26"/>
        <v>0</v>
      </c>
      <c r="DV743" s="1494"/>
      <c r="DW743" s="1494"/>
      <c r="DX743" s="1494"/>
      <c r="DY743" s="1494"/>
      <c r="DZ743" s="1494">
        <f t="shared" si="27"/>
        <v>0</v>
      </c>
      <c r="EA743" s="1494"/>
      <c r="EB743" s="1494"/>
      <c r="EC743" s="1494"/>
      <c r="ED743" s="1494"/>
      <c r="EE743" s="1494">
        <f t="shared" si="28"/>
        <v>0</v>
      </c>
      <c r="EF743" s="1494"/>
      <c r="EG743" s="1494"/>
      <c r="EH743" s="1494"/>
      <c r="EI743" s="1494"/>
      <c r="EJ743" s="1494">
        <f t="shared" si="29"/>
        <v>0</v>
      </c>
      <c r="EK743" s="1494"/>
      <c r="EL743" s="1494"/>
      <c r="EM743" s="1494"/>
      <c r="EN743" s="1494"/>
      <c r="EO743" s="1494">
        <f t="shared" si="30"/>
        <v>0</v>
      </c>
      <c r="EP743" s="1494"/>
      <c r="EQ743" s="1494"/>
      <c r="ER743" s="1494"/>
      <c r="ES743" s="1494"/>
      <c r="ET743" s="1494">
        <f t="shared" si="31"/>
        <v>0</v>
      </c>
      <c r="EU743" s="1494"/>
      <c r="EV743" s="1494"/>
      <c r="EW743" s="1494"/>
      <c r="EX743" s="1494"/>
      <c r="EZ743" s="1515" t="str">
        <f t="shared" si="32"/>
        <v/>
      </c>
      <c r="FA743" s="1516"/>
      <c r="FB743" s="1516"/>
      <c r="FC743" s="1516"/>
      <c r="FD743" s="1517"/>
      <c r="FE743" s="1515" t="str">
        <f t="shared" si="33"/>
        <v/>
      </c>
      <c r="FF743" s="1516"/>
      <c r="FG743" s="1516"/>
      <c r="FH743" s="1516"/>
      <c r="FI743" s="1517"/>
      <c r="FJ743" s="1515" t="str">
        <f t="shared" si="34"/>
        <v/>
      </c>
      <c r="FK743" s="1516"/>
      <c r="FL743" s="1516"/>
      <c r="FM743" s="1516"/>
      <c r="FN743" s="1517"/>
      <c r="FO743" s="1515" t="str">
        <f t="shared" si="35"/>
        <v/>
      </c>
      <c r="FP743" s="1516"/>
      <c r="FQ743" s="1516"/>
      <c r="FR743" s="1516"/>
      <c r="FS743" s="1517"/>
      <c r="FT743" s="1515" t="str">
        <f t="shared" si="36"/>
        <v/>
      </c>
      <c r="FU743" s="1516"/>
      <c r="FV743" s="1516"/>
      <c r="FW743" s="1516"/>
      <c r="FX743" s="1517"/>
      <c r="FY743" s="1515" t="str">
        <f t="shared" si="37"/>
        <v/>
      </c>
      <c r="FZ743" s="1516"/>
      <c r="GA743" s="1516"/>
      <c r="GB743" s="1516"/>
      <c r="GC743" s="1517"/>
    </row>
    <row r="744" spans="1:185" ht="12.95" customHeight="1">
      <c r="B744" s="1425"/>
      <c r="C744" s="1426"/>
      <c r="D744" s="1426"/>
      <c r="E744" s="1426"/>
      <c r="F744" s="1427"/>
      <c r="G744" s="1504"/>
      <c r="H744" s="1505"/>
      <c r="I744" s="1505"/>
      <c r="J744" s="1506"/>
      <c r="K744" s="1548"/>
      <c r="L744" s="1549"/>
      <c r="M744" s="1549"/>
      <c r="N744" s="1550"/>
      <c r="O744" s="1473"/>
      <c r="P744" s="1474"/>
      <c r="Q744" s="1474"/>
      <c r="R744" s="1474"/>
      <c r="S744" s="1475"/>
      <c r="T744" s="1473"/>
      <c r="U744" s="1474"/>
      <c r="V744" s="1474"/>
      <c r="W744" s="1475"/>
      <c r="X744" s="1531">
        <f t="shared" si="10"/>
        <v>0</v>
      </c>
      <c r="Y744" s="1402"/>
      <c r="Z744" s="1402"/>
      <c r="AA744" s="1402"/>
      <c r="AB744" s="1532"/>
      <c r="AC744" s="1405"/>
      <c r="AD744" s="1406"/>
      <c r="AE744" s="1406"/>
      <c r="AF744" s="1406"/>
      <c r="AG744" s="1407"/>
      <c r="AH744" s="1524" t="str">
        <f t="shared" si="38"/>
        <v/>
      </c>
      <c r="AI744" s="1525"/>
      <c r="AJ744" s="1526"/>
      <c r="AK744" s="1425" t="s">
        <v>591</v>
      </c>
      <c r="AL744" s="1426"/>
      <c r="AM744" s="1426"/>
      <c r="AN744" s="1426"/>
      <c r="AO744" s="1427"/>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15">
        <f t="shared" si="39"/>
        <v>0</v>
      </c>
      <c r="CH744" s="1517"/>
      <c r="CI744" s="1518">
        <f t="shared" si="40"/>
        <v>0</v>
      </c>
      <c r="CJ744" s="1519"/>
      <c r="CK744" s="1515">
        <f t="shared" si="18"/>
        <v>0</v>
      </c>
      <c r="CL744" s="1517"/>
      <c r="CM744" s="1518">
        <f t="shared" si="19"/>
        <v>0</v>
      </c>
      <c r="CN744" s="1519"/>
      <c r="CO744" s="3"/>
      <c r="CP744" s="1508">
        <f t="shared" si="20"/>
        <v>0</v>
      </c>
      <c r="CQ744" s="1509"/>
      <c r="CR744" s="1509"/>
      <c r="CS744" s="1509"/>
      <c r="CT744" s="1510"/>
      <c r="CU744" s="1493">
        <f t="shared" si="21"/>
        <v>0</v>
      </c>
      <c r="CV744" s="1493"/>
      <c r="CW744" s="1493"/>
      <c r="CX744" s="1493"/>
      <c r="CY744" s="1493"/>
      <c r="CZ744" s="1493">
        <f t="shared" si="22"/>
        <v>0</v>
      </c>
      <c r="DA744" s="1493"/>
      <c r="DB744" s="1493"/>
      <c r="DC744" s="1493"/>
      <c r="DD744" s="1493"/>
      <c r="DE744" s="1493">
        <f t="shared" si="23"/>
        <v>0</v>
      </c>
      <c r="DF744" s="1493"/>
      <c r="DG744" s="1493"/>
      <c r="DH744" s="1493"/>
      <c r="DI744" s="1493"/>
      <c r="DJ744" s="1493">
        <f t="shared" si="24"/>
        <v>0</v>
      </c>
      <c r="DK744" s="1493"/>
      <c r="DL744" s="1493"/>
      <c r="DM744" s="1493"/>
      <c r="DN744" s="1493"/>
      <c r="DO744" s="1493">
        <f t="shared" si="25"/>
        <v>0</v>
      </c>
      <c r="DP744" s="1493"/>
      <c r="DQ744" s="1493"/>
      <c r="DR744" s="1493"/>
      <c r="DS744" s="1493"/>
      <c r="DT744" s="6"/>
      <c r="DU744" s="1494">
        <f t="shared" si="26"/>
        <v>0</v>
      </c>
      <c r="DV744" s="1494"/>
      <c r="DW744" s="1494"/>
      <c r="DX744" s="1494"/>
      <c r="DY744" s="1494"/>
      <c r="DZ744" s="1494">
        <f t="shared" si="27"/>
        <v>0</v>
      </c>
      <c r="EA744" s="1494"/>
      <c r="EB744" s="1494"/>
      <c r="EC744" s="1494"/>
      <c r="ED744" s="1494"/>
      <c r="EE744" s="1494">
        <f t="shared" si="28"/>
        <v>0</v>
      </c>
      <c r="EF744" s="1494"/>
      <c r="EG744" s="1494"/>
      <c r="EH744" s="1494"/>
      <c r="EI744" s="1494"/>
      <c r="EJ744" s="1494">
        <f t="shared" si="29"/>
        <v>0</v>
      </c>
      <c r="EK744" s="1494"/>
      <c r="EL744" s="1494"/>
      <c r="EM744" s="1494"/>
      <c r="EN744" s="1494"/>
      <c r="EO744" s="1494">
        <f t="shared" si="30"/>
        <v>0</v>
      </c>
      <c r="EP744" s="1494"/>
      <c r="EQ744" s="1494"/>
      <c r="ER744" s="1494"/>
      <c r="ES744" s="1494"/>
      <c r="ET744" s="1494">
        <f t="shared" si="31"/>
        <v>0</v>
      </c>
      <c r="EU744" s="1494"/>
      <c r="EV744" s="1494"/>
      <c r="EW744" s="1494"/>
      <c r="EX744" s="1494"/>
      <c r="EZ744" s="1515" t="str">
        <f t="shared" si="32"/>
        <v/>
      </c>
      <c r="FA744" s="1516"/>
      <c r="FB744" s="1516"/>
      <c r="FC744" s="1516"/>
      <c r="FD744" s="1517"/>
      <c r="FE744" s="1515" t="str">
        <f t="shared" si="33"/>
        <v/>
      </c>
      <c r="FF744" s="1516"/>
      <c r="FG744" s="1516"/>
      <c r="FH744" s="1516"/>
      <c r="FI744" s="1517"/>
      <c r="FJ744" s="1515" t="str">
        <f t="shared" si="34"/>
        <v/>
      </c>
      <c r="FK744" s="1516"/>
      <c r="FL744" s="1516"/>
      <c r="FM744" s="1516"/>
      <c r="FN744" s="1517"/>
      <c r="FO744" s="1515" t="str">
        <f t="shared" si="35"/>
        <v/>
      </c>
      <c r="FP744" s="1516"/>
      <c r="FQ744" s="1516"/>
      <c r="FR744" s="1516"/>
      <c r="FS744" s="1517"/>
      <c r="FT744" s="1515" t="str">
        <f t="shared" si="36"/>
        <v/>
      </c>
      <c r="FU744" s="1516"/>
      <c r="FV744" s="1516"/>
      <c r="FW744" s="1516"/>
      <c r="FX744" s="1517"/>
      <c r="FY744" s="1515" t="str">
        <f t="shared" si="37"/>
        <v/>
      </c>
      <c r="FZ744" s="1516"/>
      <c r="GA744" s="1516"/>
      <c r="GB744" s="1516"/>
      <c r="GC744" s="1517"/>
    </row>
    <row r="745" spans="1:185" ht="12.95" customHeight="1">
      <c r="B745" s="1425"/>
      <c r="C745" s="1426"/>
      <c r="D745" s="1426"/>
      <c r="E745" s="1426"/>
      <c r="F745" s="1427"/>
      <c r="G745" s="1504"/>
      <c r="H745" s="1505"/>
      <c r="I745" s="1505"/>
      <c r="J745" s="1506"/>
      <c r="K745" s="1548"/>
      <c r="L745" s="1549"/>
      <c r="M745" s="1549"/>
      <c r="N745" s="1550"/>
      <c r="O745" s="1473"/>
      <c r="P745" s="1474"/>
      <c r="Q745" s="1474"/>
      <c r="R745" s="1474"/>
      <c r="S745" s="1475"/>
      <c r="T745" s="1473"/>
      <c r="U745" s="1474"/>
      <c r="V745" s="1474"/>
      <c r="W745" s="1475"/>
      <c r="X745" s="1531">
        <f t="shared" si="10"/>
        <v>0</v>
      </c>
      <c r="Y745" s="1402"/>
      <c r="Z745" s="1402"/>
      <c r="AA745" s="1402"/>
      <c r="AB745" s="1532"/>
      <c r="AC745" s="1405"/>
      <c r="AD745" s="1406"/>
      <c r="AE745" s="1406"/>
      <c r="AF745" s="1406"/>
      <c r="AG745" s="1407"/>
      <c r="AH745" s="1524" t="str">
        <f t="shared" si="38"/>
        <v/>
      </c>
      <c r="AI745" s="1525"/>
      <c r="AJ745" s="1526"/>
      <c r="AK745" s="1425" t="s">
        <v>591</v>
      </c>
      <c r="AL745" s="1426"/>
      <c r="AM745" s="1426"/>
      <c r="AN745" s="1426"/>
      <c r="AO745" s="1427"/>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15">
        <f t="shared" si="39"/>
        <v>0</v>
      </c>
      <c r="CH745" s="1517"/>
      <c r="CI745" s="1518">
        <f t="shared" si="40"/>
        <v>0</v>
      </c>
      <c r="CJ745" s="1519"/>
      <c r="CK745" s="1515">
        <f t="shared" si="18"/>
        <v>0</v>
      </c>
      <c r="CL745" s="1517"/>
      <c r="CM745" s="1518">
        <f t="shared" si="19"/>
        <v>0</v>
      </c>
      <c r="CN745" s="1519"/>
      <c r="CO745" s="3"/>
      <c r="CP745" s="1508">
        <f t="shared" si="20"/>
        <v>0</v>
      </c>
      <c r="CQ745" s="1509"/>
      <c r="CR745" s="1509"/>
      <c r="CS745" s="1509"/>
      <c r="CT745" s="1510"/>
      <c r="CU745" s="1493">
        <f t="shared" si="21"/>
        <v>0</v>
      </c>
      <c r="CV745" s="1493"/>
      <c r="CW745" s="1493"/>
      <c r="CX745" s="1493"/>
      <c r="CY745" s="1493"/>
      <c r="CZ745" s="1493">
        <f t="shared" si="22"/>
        <v>0</v>
      </c>
      <c r="DA745" s="1493"/>
      <c r="DB745" s="1493"/>
      <c r="DC745" s="1493"/>
      <c r="DD745" s="1493"/>
      <c r="DE745" s="1493">
        <f t="shared" si="23"/>
        <v>0</v>
      </c>
      <c r="DF745" s="1493"/>
      <c r="DG745" s="1493"/>
      <c r="DH745" s="1493"/>
      <c r="DI745" s="1493"/>
      <c r="DJ745" s="1493">
        <f t="shared" si="24"/>
        <v>0</v>
      </c>
      <c r="DK745" s="1493"/>
      <c r="DL745" s="1493"/>
      <c r="DM745" s="1493"/>
      <c r="DN745" s="1493"/>
      <c r="DO745" s="1493">
        <f t="shared" si="25"/>
        <v>0</v>
      </c>
      <c r="DP745" s="1493"/>
      <c r="DQ745" s="1493"/>
      <c r="DR745" s="1493"/>
      <c r="DS745" s="1493"/>
      <c r="DT745" s="6"/>
      <c r="DU745" s="1494">
        <f t="shared" si="26"/>
        <v>0</v>
      </c>
      <c r="DV745" s="1494"/>
      <c r="DW745" s="1494"/>
      <c r="DX745" s="1494"/>
      <c r="DY745" s="1494"/>
      <c r="DZ745" s="1494">
        <f t="shared" si="27"/>
        <v>0</v>
      </c>
      <c r="EA745" s="1494"/>
      <c r="EB745" s="1494"/>
      <c r="EC745" s="1494"/>
      <c r="ED745" s="1494"/>
      <c r="EE745" s="1494">
        <f t="shared" si="28"/>
        <v>0</v>
      </c>
      <c r="EF745" s="1494"/>
      <c r="EG745" s="1494"/>
      <c r="EH745" s="1494"/>
      <c r="EI745" s="1494"/>
      <c r="EJ745" s="1494">
        <f t="shared" si="29"/>
        <v>0</v>
      </c>
      <c r="EK745" s="1494"/>
      <c r="EL745" s="1494"/>
      <c r="EM745" s="1494"/>
      <c r="EN745" s="1494"/>
      <c r="EO745" s="1494">
        <f t="shared" si="30"/>
        <v>0</v>
      </c>
      <c r="EP745" s="1494"/>
      <c r="EQ745" s="1494"/>
      <c r="ER745" s="1494"/>
      <c r="ES745" s="1494"/>
      <c r="ET745" s="1494">
        <f t="shared" si="31"/>
        <v>0</v>
      </c>
      <c r="EU745" s="1494"/>
      <c r="EV745" s="1494"/>
      <c r="EW745" s="1494"/>
      <c r="EX745" s="1494"/>
      <c r="EZ745" s="1515" t="str">
        <f t="shared" si="32"/>
        <v/>
      </c>
      <c r="FA745" s="1516"/>
      <c r="FB745" s="1516"/>
      <c r="FC745" s="1516"/>
      <c r="FD745" s="1517"/>
      <c r="FE745" s="1515" t="str">
        <f t="shared" si="33"/>
        <v/>
      </c>
      <c r="FF745" s="1516"/>
      <c r="FG745" s="1516"/>
      <c r="FH745" s="1516"/>
      <c r="FI745" s="1517"/>
      <c r="FJ745" s="1515" t="str">
        <f t="shared" si="34"/>
        <v/>
      </c>
      <c r="FK745" s="1516"/>
      <c r="FL745" s="1516"/>
      <c r="FM745" s="1516"/>
      <c r="FN745" s="1517"/>
      <c r="FO745" s="1515" t="str">
        <f t="shared" si="35"/>
        <v/>
      </c>
      <c r="FP745" s="1516"/>
      <c r="FQ745" s="1516"/>
      <c r="FR745" s="1516"/>
      <c r="FS745" s="1517"/>
      <c r="FT745" s="1515" t="str">
        <f t="shared" si="36"/>
        <v/>
      </c>
      <c r="FU745" s="1516"/>
      <c r="FV745" s="1516"/>
      <c r="FW745" s="1516"/>
      <c r="FX745" s="1517"/>
      <c r="FY745" s="1515" t="str">
        <f t="shared" si="37"/>
        <v/>
      </c>
      <c r="FZ745" s="1516"/>
      <c r="GA745" s="1516"/>
      <c r="GB745" s="1516"/>
      <c r="GC745" s="1517"/>
    </row>
    <row r="746" spans="1:185" ht="12.95" customHeight="1">
      <c r="B746" s="1425"/>
      <c r="C746" s="1426"/>
      <c r="D746" s="1426"/>
      <c r="E746" s="1426"/>
      <c r="F746" s="1427"/>
      <c r="G746" s="1504"/>
      <c r="H746" s="1505"/>
      <c r="I746" s="1505"/>
      <c r="J746" s="1506"/>
      <c r="K746" s="1548"/>
      <c r="L746" s="1549"/>
      <c r="M746" s="1549"/>
      <c r="N746" s="1550"/>
      <c r="O746" s="1473"/>
      <c r="P746" s="1474"/>
      <c r="Q746" s="1474"/>
      <c r="R746" s="1474"/>
      <c r="S746" s="1475"/>
      <c r="T746" s="1473"/>
      <c r="U746" s="1474"/>
      <c r="V746" s="1474"/>
      <c r="W746" s="1475"/>
      <c r="X746" s="1531">
        <f t="shared" si="10"/>
        <v>0</v>
      </c>
      <c r="Y746" s="1402"/>
      <c r="Z746" s="1402"/>
      <c r="AA746" s="1402"/>
      <c r="AB746" s="1532"/>
      <c r="AC746" s="1405"/>
      <c r="AD746" s="1406"/>
      <c r="AE746" s="1406"/>
      <c r="AF746" s="1406"/>
      <c r="AG746" s="1407"/>
      <c r="AH746" s="1524" t="str">
        <f t="shared" si="38"/>
        <v/>
      </c>
      <c r="AI746" s="1525"/>
      <c r="AJ746" s="1526"/>
      <c r="AK746" s="1425" t="s">
        <v>591</v>
      </c>
      <c r="AL746" s="1426"/>
      <c r="AM746" s="1426"/>
      <c r="AN746" s="1426"/>
      <c r="AO746" s="1427"/>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15">
        <f t="shared" si="39"/>
        <v>0</v>
      </c>
      <c r="CH746" s="1517"/>
      <c r="CI746" s="1518">
        <f t="shared" si="40"/>
        <v>0</v>
      </c>
      <c r="CJ746" s="1519"/>
      <c r="CK746" s="1515">
        <f t="shared" si="18"/>
        <v>0</v>
      </c>
      <c r="CL746" s="1517"/>
      <c r="CM746" s="1518">
        <f t="shared" si="19"/>
        <v>0</v>
      </c>
      <c r="CN746" s="1519"/>
      <c r="CO746" s="3"/>
      <c r="CP746" s="1508">
        <f t="shared" si="20"/>
        <v>0</v>
      </c>
      <c r="CQ746" s="1509"/>
      <c r="CR746" s="1509"/>
      <c r="CS746" s="1509"/>
      <c r="CT746" s="1510"/>
      <c r="CU746" s="1493">
        <f t="shared" si="21"/>
        <v>0</v>
      </c>
      <c r="CV746" s="1493"/>
      <c r="CW746" s="1493"/>
      <c r="CX746" s="1493"/>
      <c r="CY746" s="1493"/>
      <c r="CZ746" s="1493">
        <f t="shared" si="22"/>
        <v>0</v>
      </c>
      <c r="DA746" s="1493"/>
      <c r="DB746" s="1493"/>
      <c r="DC746" s="1493"/>
      <c r="DD746" s="1493"/>
      <c r="DE746" s="1493">
        <f t="shared" si="23"/>
        <v>0</v>
      </c>
      <c r="DF746" s="1493"/>
      <c r="DG746" s="1493"/>
      <c r="DH746" s="1493"/>
      <c r="DI746" s="1493"/>
      <c r="DJ746" s="1493">
        <f t="shared" si="24"/>
        <v>0</v>
      </c>
      <c r="DK746" s="1493"/>
      <c r="DL746" s="1493"/>
      <c r="DM746" s="1493"/>
      <c r="DN746" s="1493"/>
      <c r="DO746" s="1493">
        <f t="shared" si="25"/>
        <v>0</v>
      </c>
      <c r="DP746" s="1493"/>
      <c r="DQ746" s="1493"/>
      <c r="DR746" s="1493"/>
      <c r="DS746" s="1493"/>
      <c r="DT746" s="6"/>
      <c r="DU746" s="1494">
        <f t="shared" si="26"/>
        <v>0</v>
      </c>
      <c r="DV746" s="1494"/>
      <c r="DW746" s="1494"/>
      <c r="DX746" s="1494"/>
      <c r="DY746" s="1494"/>
      <c r="DZ746" s="1494">
        <f t="shared" si="27"/>
        <v>0</v>
      </c>
      <c r="EA746" s="1494"/>
      <c r="EB746" s="1494"/>
      <c r="EC746" s="1494"/>
      <c r="ED746" s="1494"/>
      <c r="EE746" s="1494">
        <f t="shared" si="28"/>
        <v>0</v>
      </c>
      <c r="EF746" s="1494"/>
      <c r="EG746" s="1494"/>
      <c r="EH746" s="1494"/>
      <c r="EI746" s="1494"/>
      <c r="EJ746" s="1494">
        <f t="shared" si="29"/>
        <v>0</v>
      </c>
      <c r="EK746" s="1494"/>
      <c r="EL746" s="1494"/>
      <c r="EM746" s="1494"/>
      <c r="EN746" s="1494"/>
      <c r="EO746" s="1494">
        <f t="shared" si="30"/>
        <v>0</v>
      </c>
      <c r="EP746" s="1494"/>
      <c r="EQ746" s="1494"/>
      <c r="ER746" s="1494"/>
      <c r="ES746" s="1494"/>
      <c r="ET746" s="1494">
        <f t="shared" si="31"/>
        <v>0</v>
      </c>
      <c r="EU746" s="1494"/>
      <c r="EV746" s="1494"/>
      <c r="EW746" s="1494"/>
      <c r="EX746" s="1494"/>
      <c r="EZ746" s="1515" t="str">
        <f t="shared" si="32"/>
        <v/>
      </c>
      <c r="FA746" s="1516"/>
      <c r="FB746" s="1516"/>
      <c r="FC746" s="1516"/>
      <c r="FD746" s="1517"/>
      <c r="FE746" s="1515" t="str">
        <f t="shared" si="33"/>
        <v/>
      </c>
      <c r="FF746" s="1516"/>
      <c r="FG746" s="1516"/>
      <c r="FH746" s="1516"/>
      <c r="FI746" s="1517"/>
      <c r="FJ746" s="1515" t="str">
        <f t="shared" si="34"/>
        <v/>
      </c>
      <c r="FK746" s="1516"/>
      <c r="FL746" s="1516"/>
      <c r="FM746" s="1516"/>
      <c r="FN746" s="1517"/>
      <c r="FO746" s="1515" t="str">
        <f t="shared" si="35"/>
        <v/>
      </c>
      <c r="FP746" s="1516"/>
      <c r="FQ746" s="1516"/>
      <c r="FR746" s="1516"/>
      <c r="FS746" s="1517"/>
      <c r="FT746" s="1515" t="str">
        <f t="shared" si="36"/>
        <v/>
      </c>
      <c r="FU746" s="1516"/>
      <c r="FV746" s="1516"/>
      <c r="FW746" s="1516"/>
      <c r="FX746" s="1517"/>
      <c r="FY746" s="1515" t="str">
        <f t="shared" si="37"/>
        <v/>
      </c>
      <c r="FZ746" s="1516"/>
      <c r="GA746" s="1516"/>
      <c r="GB746" s="1516"/>
      <c r="GC746" s="1517"/>
    </row>
    <row r="747" spans="1:185" ht="12.95" customHeight="1">
      <c r="B747" s="1425"/>
      <c r="C747" s="1426"/>
      <c r="D747" s="1426"/>
      <c r="E747" s="1426"/>
      <c r="F747" s="1427"/>
      <c r="G747" s="1504"/>
      <c r="H747" s="1505"/>
      <c r="I747" s="1505"/>
      <c r="J747" s="1506"/>
      <c r="K747" s="1548"/>
      <c r="L747" s="1549"/>
      <c r="M747" s="1549"/>
      <c r="N747" s="1550"/>
      <c r="O747" s="1473"/>
      <c r="P747" s="1474"/>
      <c r="Q747" s="1474"/>
      <c r="R747" s="1474"/>
      <c r="S747" s="1475"/>
      <c r="T747" s="1473"/>
      <c r="U747" s="1474"/>
      <c r="V747" s="1474"/>
      <c r="W747" s="1475"/>
      <c r="X747" s="1531">
        <f t="shared" si="10"/>
        <v>0</v>
      </c>
      <c r="Y747" s="1402"/>
      <c r="Z747" s="1402"/>
      <c r="AA747" s="1402"/>
      <c r="AB747" s="1532"/>
      <c r="AC747" s="1405"/>
      <c r="AD747" s="1406"/>
      <c r="AE747" s="1406"/>
      <c r="AF747" s="1406"/>
      <c r="AG747" s="1407"/>
      <c r="AH747" s="1524" t="str">
        <f t="shared" si="38"/>
        <v/>
      </c>
      <c r="AI747" s="1525"/>
      <c r="AJ747" s="1526"/>
      <c r="AK747" s="1425" t="s">
        <v>591</v>
      </c>
      <c r="AL747" s="1426"/>
      <c r="AM747" s="1426"/>
      <c r="AN747" s="1426"/>
      <c r="AO747" s="1427"/>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15">
        <f t="shared" si="39"/>
        <v>0</v>
      </c>
      <c r="CH747" s="1517"/>
      <c r="CI747" s="1518">
        <f t="shared" si="40"/>
        <v>0</v>
      </c>
      <c r="CJ747" s="1519"/>
      <c r="CK747" s="1515">
        <f t="shared" si="18"/>
        <v>0</v>
      </c>
      <c r="CL747" s="1517"/>
      <c r="CM747" s="1518">
        <f t="shared" si="19"/>
        <v>0</v>
      </c>
      <c r="CN747" s="1519"/>
      <c r="CO747" s="3"/>
      <c r="CP747" s="1508">
        <f t="shared" si="20"/>
        <v>0</v>
      </c>
      <c r="CQ747" s="1509"/>
      <c r="CR747" s="1509"/>
      <c r="CS747" s="1509"/>
      <c r="CT747" s="1510"/>
      <c r="CU747" s="1493">
        <f t="shared" si="21"/>
        <v>0</v>
      </c>
      <c r="CV747" s="1493"/>
      <c r="CW747" s="1493"/>
      <c r="CX747" s="1493"/>
      <c r="CY747" s="1493"/>
      <c r="CZ747" s="1493">
        <f t="shared" si="22"/>
        <v>0</v>
      </c>
      <c r="DA747" s="1493"/>
      <c r="DB747" s="1493"/>
      <c r="DC747" s="1493"/>
      <c r="DD747" s="1493"/>
      <c r="DE747" s="1493">
        <f t="shared" si="23"/>
        <v>0</v>
      </c>
      <c r="DF747" s="1493"/>
      <c r="DG747" s="1493"/>
      <c r="DH747" s="1493"/>
      <c r="DI747" s="1493"/>
      <c r="DJ747" s="1493">
        <f t="shared" si="24"/>
        <v>0</v>
      </c>
      <c r="DK747" s="1493"/>
      <c r="DL747" s="1493"/>
      <c r="DM747" s="1493"/>
      <c r="DN747" s="1493"/>
      <c r="DO747" s="1493">
        <f t="shared" si="25"/>
        <v>0</v>
      </c>
      <c r="DP747" s="1493"/>
      <c r="DQ747" s="1493"/>
      <c r="DR747" s="1493"/>
      <c r="DS747" s="1493"/>
      <c r="DT747" s="6"/>
      <c r="DU747" s="1494">
        <f t="shared" si="26"/>
        <v>0</v>
      </c>
      <c r="DV747" s="1494"/>
      <c r="DW747" s="1494"/>
      <c r="DX747" s="1494"/>
      <c r="DY747" s="1494"/>
      <c r="DZ747" s="1494">
        <f t="shared" si="27"/>
        <v>0</v>
      </c>
      <c r="EA747" s="1494"/>
      <c r="EB747" s="1494"/>
      <c r="EC747" s="1494"/>
      <c r="ED747" s="1494"/>
      <c r="EE747" s="1494">
        <f t="shared" si="28"/>
        <v>0</v>
      </c>
      <c r="EF747" s="1494"/>
      <c r="EG747" s="1494"/>
      <c r="EH747" s="1494"/>
      <c r="EI747" s="1494"/>
      <c r="EJ747" s="1494">
        <f t="shared" si="29"/>
        <v>0</v>
      </c>
      <c r="EK747" s="1494"/>
      <c r="EL747" s="1494"/>
      <c r="EM747" s="1494"/>
      <c r="EN747" s="1494"/>
      <c r="EO747" s="1494">
        <f t="shared" si="30"/>
        <v>0</v>
      </c>
      <c r="EP747" s="1494"/>
      <c r="EQ747" s="1494"/>
      <c r="ER747" s="1494"/>
      <c r="ES747" s="1494"/>
      <c r="ET747" s="1494">
        <f t="shared" si="31"/>
        <v>0</v>
      </c>
      <c r="EU747" s="1494"/>
      <c r="EV747" s="1494"/>
      <c r="EW747" s="1494"/>
      <c r="EX747" s="1494"/>
      <c r="EZ747" s="1515" t="str">
        <f t="shared" si="32"/>
        <v/>
      </c>
      <c r="FA747" s="1516"/>
      <c r="FB747" s="1516"/>
      <c r="FC747" s="1516"/>
      <c r="FD747" s="1517"/>
      <c r="FE747" s="1515" t="str">
        <f t="shared" si="33"/>
        <v/>
      </c>
      <c r="FF747" s="1516"/>
      <c r="FG747" s="1516"/>
      <c r="FH747" s="1516"/>
      <c r="FI747" s="1517"/>
      <c r="FJ747" s="1515" t="str">
        <f t="shared" si="34"/>
        <v/>
      </c>
      <c r="FK747" s="1516"/>
      <c r="FL747" s="1516"/>
      <c r="FM747" s="1516"/>
      <c r="FN747" s="1517"/>
      <c r="FO747" s="1515" t="str">
        <f t="shared" si="35"/>
        <v/>
      </c>
      <c r="FP747" s="1516"/>
      <c r="FQ747" s="1516"/>
      <c r="FR747" s="1516"/>
      <c r="FS747" s="1517"/>
      <c r="FT747" s="1515" t="str">
        <f t="shared" si="36"/>
        <v/>
      </c>
      <c r="FU747" s="1516"/>
      <c r="FV747" s="1516"/>
      <c r="FW747" s="1516"/>
      <c r="FX747" s="1517"/>
      <c r="FY747" s="1515" t="str">
        <f t="shared" si="37"/>
        <v/>
      </c>
      <c r="FZ747" s="1516"/>
      <c r="GA747" s="1516"/>
      <c r="GB747" s="1516"/>
      <c r="GC747" s="1517"/>
    </row>
    <row r="748" spans="1:185" ht="12.95" customHeight="1">
      <c r="B748" s="1425"/>
      <c r="C748" s="1426"/>
      <c r="D748" s="1426"/>
      <c r="E748" s="1426"/>
      <c r="F748" s="1427"/>
      <c r="G748" s="1504"/>
      <c r="H748" s="1505"/>
      <c r="I748" s="1505"/>
      <c r="J748" s="1506"/>
      <c r="K748" s="1548"/>
      <c r="L748" s="1549"/>
      <c r="M748" s="1549"/>
      <c r="N748" s="1550"/>
      <c r="O748" s="1473"/>
      <c r="P748" s="1474"/>
      <c r="Q748" s="1474"/>
      <c r="R748" s="1474"/>
      <c r="S748" s="1475"/>
      <c r="T748" s="1473"/>
      <c r="U748" s="1474"/>
      <c r="V748" s="1474"/>
      <c r="W748" s="1475"/>
      <c r="X748" s="1531">
        <f t="shared" si="10"/>
        <v>0</v>
      </c>
      <c r="Y748" s="1402"/>
      <c r="Z748" s="1402"/>
      <c r="AA748" s="1402"/>
      <c r="AB748" s="1532"/>
      <c r="AC748" s="1405"/>
      <c r="AD748" s="1406"/>
      <c r="AE748" s="1406"/>
      <c r="AF748" s="1406"/>
      <c r="AG748" s="1407"/>
      <c r="AH748" s="1524" t="str">
        <f t="shared" si="38"/>
        <v/>
      </c>
      <c r="AI748" s="1525"/>
      <c r="AJ748" s="1526"/>
      <c r="AK748" s="1425" t="s">
        <v>591</v>
      </c>
      <c r="AL748" s="1426"/>
      <c r="AM748" s="1426"/>
      <c r="AN748" s="1426"/>
      <c r="AO748" s="1427"/>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15">
        <f t="shared" si="39"/>
        <v>0</v>
      </c>
      <c r="CH748" s="1517"/>
      <c r="CI748" s="1518">
        <f t="shared" si="40"/>
        <v>0</v>
      </c>
      <c r="CJ748" s="1519"/>
      <c r="CK748" s="1515">
        <f t="shared" si="18"/>
        <v>0</v>
      </c>
      <c r="CL748" s="1517"/>
      <c r="CM748" s="1518">
        <f t="shared" si="19"/>
        <v>0</v>
      </c>
      <c r="CN748" s="1519"/>
      <c r="CO748" s="3"/>
      <c r="CP748" s="1508">
        <f t="shared" si="20"/>
        <v>0</v>
      </c>
      <c r="CQ748" s="1509"/>
      <c r="CR748" s="1509"/>
      <c r="CS748" s="1509"/>
      <c r="CT748" s="1510"/>
      <c r="CU748" s="1493">
        <f t="shared" si="21"/>
        <v>0</v>
      </c>
      <c r="CV748" s="1493"/>
      <c r="CW748" s="1493"/>
      <c r="CX748" s="1493"/>
      <c r="CY748" s="1493"/>
      <c r="CZ748" s="1493">
        <f t="shared" si="22"/>
        <v>0</v>
      </c>
      <c r="DA748" s="1493"/>
      <c r="DB748" s="1493"/>
      <c r="DC748" s="1493"/>
      <c r="DD748" s="1493"/>
      <c r="DE748" s="1493">
        <f t="shared" si="23"/>
        <v>0</v>
      </c>
      <c r="DF748" s="1493"/>
      <c r="DG748" s="1493"/>
      <c r="DH748" s="1493"/>
      <c r="DI748" s="1493"/>
      <c r="DJ748" s="1493">
        <f t="shared" si="24"/>
        <v>0</v>
      </c>
      <c r="DK748" s="1493"/>
      <c r="DL748" s="1493"/>
      <c r="DM748" s="1493"/>
      <c r="DN748" s="1493"/>
      <c r="DO748" s="1493">
        <f t="shared" si="25"/>
        <v>0</v>
      </c>
      <c r="DP748" s="1493"/>
      <c r="DQ748" s="1493"/>
      <c r="DR748" s="1493"/>
      <c r="DS748" s="1493"/>
      <c r="DT748" s="6"/>
      <c r="DU748" s="1494">
        <f t="shared" si="26"/>
        <v>0</v>
      </c>
      <c r="DV748" s="1494"/>
      <c r="DW748" s="1494"/>
      <c r="DX748" s="1494"/>
      <c r="DY748" s="1494"/>
      <c r="DZ748" s="1494">
        <f t="shared" si="27"/>
        <v>0</v>
      </c>
      <c r="EA748" s="1494"/>
      <c r="EB748" s="1494"/>
      <c r="EC748" s="1494"/>
      <c r="ED748" s="1494"/>
      <c r="EE748" s="1494">
        <f t="shared" si="28"/>
        <v>0</v>
      </c>
      <c r="EF748" s="1494"/>
      <c r="EG748" s="1494"/>
      <c r="EH748" s="1494"/>
      <c r="EI748" s="1494"/>
      <c r="EJ748" s="1494">
        <f t="shared" si="29"/>
        <v>0</v>
      </c>
      <c r="EK748" s="1494"/>
      <c r="EL748" s="1494"/>
      <c r="EM748" s="1494"/>
      <c r="EN748" s="1494"/>
      <c r="EO748" s="1494">
        <f t="shared" si="30"/>
        <v>0</v>
      </c>
      <c r="EP748" s="1494"/>
      <c r="EQ748" s="1494"/>
      <c r="ER748" s="1494"/>
      <c r="ES748" s="1494"/>
      <c r="ET748" s="1494">
        <f t="shared" si="31"/>
        <v>0</v>
      </c>
      <c r="EU748" s="1494"/>
      <c r="EV748" s="1494"/>
      <c r="EW748" s="1494"/>
      <c r="EX748" s="1494"/>
      <c r="EZ748" s="1515" t="str">
        <f t="shared" si="32"/>
        <v/>
      </c>
      <c r="FA748" s="1516"/>
      <c r="FB748" s="1516"/>
      <c r="FC748" s="1516"/>
      <c r="FD748" s="1517"/>
      <c r="FE748" s="1515" t="str">
        <f t="shared" si="33"/>
        <v/>
      </c>
      <c r="FF748" s="1516"/>
      <c r="FG748" s="1516"/>
      <c r="FH748" s="1516"/>
      <c r="FI748" s="1517"/>
      <c r="FJ748" s="1515" t="str">
        <f t="shared" si="34"/>
        <v/>
      </c>
      <c r="FK748" s="1516"/>
      <c r="FL748" s="1516"/>
      <c r="FM748" s="1516"/>
      <c r="FN748" s="1517"/>
      <c r="FO748" s="1515" t="str">
        <f t="shared" si="35"/>
        <v/>
      </c>
      <c r="FP748" s="1516"/>
      <c r="FQ748" s="1516"/>
      <c r="FR748" s="1516"/>
      <c r="FS748" s="1517"/>
      <c r="FT748" s="1515" t="str">
        <f t="shared" si="36"/>
        <v/>
      </c>
      <c r="FU748" s="1516"/>
      <c r="FV748" s="1516"/>
      <c r="FW748" s="1516"/>
      <c r="FX748" s="1517"/>
      <c r="FY748" s="1515" t="str">
        <f t="shared" si="37"/>
        <v/>
      </c>
      <c r="FZ748" s="1516"/>
      <c r="GA748" s="1516"/>
      <c r="GB748" s="1516"/>
      <c r="GC748" s="1517"/>
    </row>
    <row r="749" spans="1:185" ht="12.95" customHeight="1">
      <c r="B749" s="1425"/>
      <c r="C749" s="1426"/>
      <c r="D749" s="1426"/>
      <c r="E749" s="1426"/>
      <c r="F749" s="1427"/>
      <c r="G749" s="1504"/>
      <c r="H749" s="1505"/>
      <c r="I749" s="1505"/>
      <c r="J749" s="1506"/>
      <c r="K749" s="1548"/>
      <c r="L749" s="1549"/>
      <c r="M749" s="1549"/>
      <c r="N749" s="1550"/>
      <c r="O749" s="1473"/>
      <c r="P749" s="1474"/>
      <c r="Q749" s="1474"/>
      <c r="R749" s="1474"/>
      <c r="S749" s="1475"/>
      <c r="T749" s="1473"/>
      <c r="U749" s="1474"/>
      <c r="V749" s="1474"/>
      <c r="W749" s="1475"/>
      <c r="X749" s="1531">
        <f t="shared" si="10"/>
        <v>0</v>
      </c>
      <c r="Y749" s="1402"/>
      <c r="Z749" s="1402"/>
      <c r="AA749" s="1402"/>
      <c r="AB749" s="1532"/>
      <c r="AC749" s="1405"/>
      <c r="AD749" s="1406"/>
      <c r="AE749" s="1406"/>
      <c r="AF749" s="1406"/>
      <c r="AG749" s="1407"/>
      <c r="AH749" s="1524" t="str">
        <f t="shared" si="38"/>
        <v/>
      </c>
      <c r="AI749" s="1525"/>
      <c r="AJ749" s="1526"/>
      <c r="AK749" s="1425" t="s">
        <v>591</v>
      </c>
      <c r="AL749" s="1426"/>
      <c r="AM749" s="1426"/>
      <c r="AN749" s="1426"/>
      <c r="AO749" s="1427"/>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15">
        <f t="shared" si="39"/>
        <v>0</v>
      </c>
      <c r="CH749" s="1517"/>
      <c r="CI749" s="1518">
        <f t="shared" si="40"/>
        <v>0</v>
      </c>
      <c r="CJ749" s="1519"/>
      <c r="CK749" s="1515">
        <f t="shared" si="18"/>
        <v>0</v>
      </c>
      <c r="CL749" s="1517"/>
      <c r="CM749" s="1518">
        <f t="shared" si="19"/>
        <v>0</v>
      </c>
      <c r="CN749" s="1519"/>
      <c r="CO749" s="3"/>
      <c r="CP749" s="1508">
        <f t="shared" si="20"/>
        <v>0</v>
      </c>
      <c r="CQ749" s="1509"/>
      <c r="CR749" s="1509"/>
      <c r="CS749" s="1509"/>
      <c r="CT749" s="1510"/>
      <c r="CU749" s="1493">
        <f t="shared" si="21"/>
        <v>0</v>
      </c>
      <c r="CV749" s="1493"/>
      <c r="CW749" s="1493"/>
      <c r="CX749" s="1493"/>
      <c r="CY749" s="1493"/>
      <c r="CZ749" s="1493">
        <f t="shared" si="22"/>
        <v>0</v>
      </c>
      <c r="DA749" s="1493"/>
      <c r="DB749" s="1493"/>
      <c r="DC749" s="1493"/>
      <c r="DD749" s="1493"/>
      <c r="DE749" s="1493">
        <f t="shared" si="23"/>
        <v>0</v>
      </c>
      <c r="DF749" s="1493"/>
      <c r="DG749" s="1493"/>
      <c r="DH749" s="1493"/>
      <c r="DI749" s="1493"/>
      <c r="DJ749" s="1493">
        <f t="shared" si="24"/>
        <v>0</v>
      </c>
      <c r="DK749" s="1493"/>
      <c r="DL749" s="1493"/>
      <c r="DM749" s="1493"/>
      <c r="DN749" s="1493"/>
      <c r="DO749" s="1493">
        <f t="shared" si="25"/>
        <v>0</v>
      </c>
      <c r="DP749" s="1493"/>
      <c r="DQ749" s="1493"/>
      <c r="DR749" s="1493"/>
      <c r="DS749" s="1493"/>
      <c r="DT749" s="6"/>
      <c r="DU749" s="1494">
        <f t="shared" si="26"/>
        <v>0</v>
      </c>
      <c r="DV749" s="1494"/>
      <c r="DW749" s="1494"/>
      <c r="DX749" s="1494"/>
      <c r="DY749" s="1494"/>
      <c r="DZ749" s="1494">
        <f t="shared" si="27"/>
        <v>0</v>
      </c>
      <c r="EA749" s="1494"/>
      <c r="EB749" s="1494"/>
      <c r="EC749" s="1494"/>
      <c r="ED749" s="1494"/>
      <c r="EE749" s="1494">
        <f t="shared" si="28"/>
        <v>0</v>
      </c>
      <c r="EF749" s="1494"/>
      <c r="EG749" s="1494"/>
      <c r="EH749" s="1494"/>
      <c r="EI749" s="1494"/>
      <c r="EJ749" s="1494">
        <f t="shared" si="29"/>
        <v>0</v>
      </c>
      <c r="EK749" s="1494"/>
      <c r="EL749" s="1494"/>
      <c r="EM749" s="1494"/>
      <c r="EN749" s="1494"/>
      <c r="EO749" s="1494">
        <f t="shared" si="30"/>
        <v>0</v>
      </c>
      <c r="EP749" s="1494"/>
      <c r="EQ749" s="1494"/>
      <c r="ER749" s="1494"/>
      <c r="ES749" s="1494"/>
      <c r="ET749" s="1494">
        <f t="shared" si="31"/>
        <v>0</v>
      </c>
      <c r="EU749" s="1494"/>
      <c r="EV749" s="1494"/>
      <c r="EW749" s="1494"/>
      <c r="EX749" s="1494"/>
      <c r="EZ749" s="1515" t="str">
        <f t="shared" si="32"/>
        <v/>
      </c>
      <c r="FA749" s="1516"/>
      <c r="FB749" s="1516"/>
      <c r="FC749" s="1516"/>
      <c r="FD749" s="1517"/>
      <c r="FE749" s="1515" t="str">
        <f t="shared" si="33"/>
        <v/>
      </c>
      <c r="FF749" s="1516"/>
      <c r="FG749" s="1516"/>
      <c r="FH749" s="1516"/>
      <c r="FI749" s="1517"/>
      <c r="FJ749" s="1515" t="str">
        <f t="shared" si="34"/>
        <v/>
      </c>
      <c r="FK749" s="1516"/>
      <c r="FL749" s="1516"/>
      <c r="FM749" s="1516"/>
      <c r="FN749" s="1517"/>
      <c r="FO749" s="1515" t="str">
        <f t="shared" si="35"/>
        <v/>
      </c>
      <c r="FP749" s="1516"/>
      <c r="FQ749" s="1516"/>
      <c r="FR749" s="1516"/>
      <c r="FS749" s="1517"/>
      <c r="FT749" s="1515" t="str">
        <f t="shared" si="36"/>
        <v/>
      </c>
      <c r="FU749" s="1516"/>
      <c r="FV749" s="1516"/>
      <c r="FW749" s="1516"/>
      <c r="FX749" s="1517"/>
      <c r="FY749" s="1515" t="str">
        <f t="shared" si="37"/>
        <v/>
      </c>
      <c r="FZ749" s="1516"/>
      <c r="GA749" s="1516"/>
      <c r="GB749" s="1516"/>
      <c r="GC749" s="1517"/>
    </row>
    <row r="750" spans="1:185" ht="12.95" customHeight="1">
      <c r="B750" s="1425"/>
      <c r="C750" s="1426"/>
      <c r="D750" s="1426"/>
      <c r="E750" s="1426"/>
      <c r="F750" s="1427"/>
      <c r="G750" s="1504"/>
      <c r="H750" s="1505"/>
      <c r="I750" s="1505"/>
      <c r="J750" s="1506"/>
      <c r="K750" s="1548"/>
      <c r="L750" s="1549"/>
      <c r="M750" s="1549"/>
      <c r="N750" s="1550"/>
      <c r="O750" s="1473"/>
      <c r="P750" s="1474"/>
      <c r="Q750" s="1474"/>
      <c r="R750" s="1474"/>
      <c r="S750" s="1475"/>
      <c r="T750" s="1473"/>
      <c r="U750" s="1474"/>
      <c r="V750" s="1474"/>
      <c r="W750" s="1475"/>
      <c r="X750" s="1531">
        <f t="shared" ref="X750:X759" si="41">O750+T750</f>
        <v>0</v>
      </c>
      <c r="Y750" s="1402"/>
      <c r="Z750" s="1402"/>
      <c r="AA750" s="1402"/>
      <c r="AB750" s="1532"/>
      <c r="AC750" s="1405"/>
      <c r="AD750" s="1406"/>
      <c r="AE750" s="1406"/>
      <c r="AF750" s="1406"/>
      <c r="AG750" s="1407"/>
      <c r="AH750" s="1524" t="str">
        <f t="shared" si="38"/>
        <v/>
      </c>
      <c r="AI750" s="1525"/>
      <c r="AJ750" s="1526"/>
      <c r="AK750" s="1425" t="s">
        <v>591</v>
      </c>
      <c r="AL750" s="1426"/>
      <c r="AM750" s="1426"/>
      <c r="AN750" s="1426"/>
      <c r="AO750" s="1427"/>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15">
        <f t="shared" si="39"/>
        <v>0</v>
      </c>
      <c r="CH750" s="1517"/>
      <c r="CI750" s="1518">
        <f t="shared" si="40"/>
        <v>0</v>
      </c>
      <c r="CJ750" s="1519"/>
      <c r="CK750" s="1515">
        <f t="shared" si="18"/>
        <v>0</v>
      </c>
      <c r="CL750" s="1517"/>
      <c r="CM750" s="1518">
        <f t="shared" si="19"/>
        <v>0</v>
      </c>
      <c r="CN750" s="1519"/>
      <c r="CO750" s="3"/>
      <c r="CP750" s="1508">
        <f t="shared" si="20"/>
        <v>0</v>
      </c>
      <c r="CQ750" s="1509"/>
      <c r="CR750" s="1509"/>
      <c r="CS750" s="1509"/>
      <c r="CT750" s="1510"/>
      <c r="CU750" s="1493">
        <f t="shared" si="21"/>
        <v>0</v>
      </c>
      <c r="CV750" s="1493"/>
      <c r="CW750" s="1493"/>
      <c r="CX750" s="1493"/>
      <c r="CY750" s="1493"/>
      <c r="CZ750" s="1493">
        <f t="shared" si="22"/>
        <v>0</v>
      </c>
      <c r="DA750" s="1493"/>
      <c r="DB750" s="1493"/>
      <c r="DC750" s="1493"/>
      <c r="DD750" s="1493"/>
      <c r="DE750" s="1493">
        <f t="shared" si="23"/>
        <v>0</v>
      </c>
      <c r="DF750" s="1493"/>
      <c r="DG750" s="1493"/>
      <c r="DH750" s="1493"/>
      <c r="DI750" s="1493"/>
      <c r="DJ750" s="1493">
        <f t="shared" si="24"/>
        <v>0</v>
      </c>
      <c r="DK750" s="1493"/>
      <c r="DL750" s="1493"/>
      <c r="DM750" s="1493"/>
      <c r="DN750" s="1493"/>
      <c r="DO750" s="1493">
        <f t="shared" si="25"/>
        <v>0</v>
      </c>
      <c r="DP750" s="1493"/>
      <c r="DQ750" s="1493"/>
      <c r="DR750" s="1493"/>
      <c r="DS750" s="1493"/>
      <c r="DT750" s="6"/>
      <c r="DU750" s="1494">
        <f t="shared" si="26"/>
        <v>0</v>
      </c>
      <c r="DV750" s="1494"/>
      <c r="DW750" s="1494"/>
      <c r="DX750" s="1494"/>
      <c r="DY750" s="1494"/>
      <c r="DZ750" s="1494">
        <f t="shared" si="27"/>
        <v>0</v>
      </c>
      <c r="EA750" s="1494"/>
      <c r="EB750" s="1494"/>
      <c r="EC750" s="1494"/>
      <c r="ED750" s="1494"/>
      <c r="EE750" s="1494">
        <f t="shared" si="28"/>
        <v>0</v>
      </c>
      <c r="EF750" s="1494"/>
      <c r="EG750" s="1494"/>
      <c r="EH750" s="1494"/>
      <c r="EI750" s="1494"/>
      <c r="EJ750" s="1494">
        <f t="shared" si="29"/>
        <v>0</v>
      </c>
      <c r="EK750" s="1494"/>
      <c r="EL750" s="1494"/>
      <c r="EM750" s="1494"/>
      <c r="EN750" s="1494"/>
      <c r="EO750" s="1494">
        <f t="shared" si="30"/>
        <v>0</v>
      </c>
      <c r="EP750" s="1494"/>
      <c r="EQ750" s="1494"/>
      <c r="ER750" s="1494"/>
      <c r="ES750" s="1494"/>
      <c r="ET750" s="1494">
        <f t="shared" si="31"/>
        <v>0</v>
      </c>
      <c r="EU750" s="1494"/>
      <c r="EV750" s="1494"/>
      <c r="EW750" s="1494"/>
      <c r="EX750" s="1494"/>
      <c r="EZ750" s="1515" t="str">
        <f t="shared" si="32"/>
        <v/>
      </c>
      <c r="FA750" s="1516"/>
      <c r="FB750" s="1516"/>
      <c r="FC750" s="1516"/>
      <c r="FD750" s="1517"/>
      <c r="FE750" s="1515" t="str">
        <f t="shared" si="33"/>
        <v/>
      </c>
      <c r="FF750" s="1516"/>
      <c r="FG750" s="1516"/>
      <c r="FH750" s="1516"/>
      <c r="FI750" s="1517"/>
      <c r="FJ750" s="1515" t="str">
        <f t="shared" si="34"/>
        <v/>
      </c>
      <c r="FK750" s="1516"/>
      <c r="FL750" s="1516"/>
      <c r="FM750" s="1516"/>
      <c r="FN750" s="1517"/>
      <c r="FO750" s="1515" t="str">
        <f t="shared" si="35"/>
        <v/>
      </c>
      <c r="FP750" s="1516"/>
      <c r="FQ750" s="1516"/>
      <c r="FR750" s="1516"/>
      <c r="FS750" s="1517"/>
      <c r="FT750" s="1515" t="str">
        <f t="shared" si="36"/>
        <v/>
      </c>
      <c r="FU750" s="1516"/>
      <c r="FV750" s="1516"/>
      <c r="FW750" s="1516"/>
      <c r="FX750" s="1517"/>
      <c r="FY750" s="1515" t="str">
        <f t="shared" si="37"/>
        <v/>
      </c>
      <c r="FZ750" s="1516"/>
      <c r="GA750" s="1516"/>
      <c r="GB750" s="1516"/>
      <c r="GC750" s="1517"/>
    </row>
    <row r="751" spans="1:185" s="3" customFormat="1" ht="12.95" customHeight="1">
      <c r="A751"/>
      <c r="B751" s="1425"/>
      <c r="C751" s="1426"/>
      <c r="D751" s="1426"/>
      <c r="E751" s="1426"/>
      <c r="F751" s="1427"/>
      <c r="G751" s="1504"/>
      <c r="H751" s="1505"/>
      <c r="I751" s="1505"/>
      <c r="J751" s="1506"/>
      <c r="K751" s="1548"/>
      <c r="L751" s="1549"/>
      <c r="M751" s="1549"/>
      <c r="N751" s="1550"/>
      <c r="O751" s="1473"/>
      <c r="P751" s="1474"/>
      <c r="Q751" s="1474"/>
      <c r="R751" s="1474"/>
      <c r="S751" s="1475"/>
      <c r="T751" s="1473"/>
      <c r="U751" s="1474"/>
      <c r="V751" s="1474"/>
      <c r="W751" s="1475"/>
      <c r="X751" s="1531">
        <f t="shared" si="41"/>
        <v>0</v>
      </c>
      <c r="Y751" s="1402"/>
      <c r="Z751" s="1402"/>
      <c r="AA751" s="1402"/>
      <c r="AB751" s="1532"/>
      <c r="AC751" s="1405"/>
      <c r="AD751" s="1406"/>
      <c r="AE751" s="1406"/>
      <c r="AF751" s="1406"/>
      <c r="AG751" s="1407"/>
      <c r="AH751" s="1524" t="str">
        <f t="shared" si="38"/>
        <v/>
      </c>
      <c r="AI751" s="1525"/>
      <c r="AJ751" s="1526"/>
      <c r="AK751" s="1425" t="s">
        <v>591</v>
      </c>
      <c r="AL751" s="1426"/>
      <c r="AM751" s="1426"/>
      <c r="AN751" s="1426"/>
      <c r="AO751" s="1427"/>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15">
        <f t="shared" si="39"/>
        <v>0</v>
      </c>
      <c r="CH751" s="1517"/>
      <c r="CI751" s="1518">
        <f t="shared" si="40"/>
        <v>0</v>
      </c>
      <c r="CJ751" s="1519"/>
      <c r="CK751" s="1515">
        <f t="shared" si="18"/>
        <v>0</v>
      </c>
      <c r="CL751" s="1517"/>
      <c r="CM751" s="1518">
        <f t="shared" si="19"/>
        <v>0</v>
      </c>
      <c r="CN751" s="1519"/>
      <c r="CP751" s="1508">
        <f t="shared" si="20"/>
        <v>0</v>
      </c>
      <c r="CQ751" s="1509"/>
      <c r="CR751" s="1509"/>
      <c r="CS751" s="1509"/>
      <c r="CT751" s="1510"/>
      <c r="CU751" s="1493">
        <f t="shared" si="21"/>
        <v>0</v>
      </c>
      <c r="CV751" s="1493"/>
      <c r="CW751" s="1493"/>
      <c r="CX751" s="1493"/>
      <c r="CY751" s="1493"/>
      <c r="CZ751" s="1493">
        <f t="shared" si="22"/>
        <v>0</v>
      </c>
      <c r="DA751" s="1493"/>
      <c r="DB751" s="1493"/>
      <c r="DC751" s="1493"/>
      <c r="DD751" s="1493"/>
      <c r="DE751" s="1493">
        <f t="shared" si="23"/>
        <v>0</v>
      </c>
      <c r="DF751" s="1493"/>
      <c r="DG751" s="1493"/>
      <c r="DH751" s="1493"/>
      <c r="DI751" s="1493"/>
      <c r="DJ751" s="1493">
        <f t="shared" si="24"/>
        <v>0</v>
      </c>
      <c r="DK751" s="1493"/>
      <c r="DL751" s="1493"/>
      <c r="DM751" s="1493"/>
      <c r="DN751" s="1493"/>
      <c r="DO751" s="1493">
        <f t="shared" si="25"/>
        <v>0</v>
      </c>
      <c r="DP751" s="1493"/>
      <c r="DQ751" s="1493"/>
      <c r="DR751" s="1493"/>
      <c r="DS751" s="1493"/>
      <c r="DT751" s="6"/>
      <c r="DU751" s="1494">
        <f t="shared" si="26"/>
        <v>0</v>
      </c>
      <c r="DV751" s="1494"/>
      <c r="DW751" s="1494"/>
      <c r="DX751" s="1494"/>
      <c r="DY751" s="1494"/>
      <c r="DZ751" s="1494">
        <f t="shared" si="27"/>
        <v>0</v>
      </c>
      <c r="EA751" s="1494"/>
      <c r="EB751" s="1494"/>
      <c r="EC751" s="1494"/>
      <c r="ED751" s="1494"/>
      <c r="EE751" s="1494">
        <f t="shared" si="28"/>
        <v>0</v>
      </c>
      <c r="EF751" s="1494"/>
      <c r="EG751" s="1494"/>
      <c r="EH751" s="1494"/>
      <c r="EI751" s="1494"/>
      <c r="EJ751" s="1494">
        <f t="shared" si="29"/>
        <v>0</v>
      </c>
      <c r="EK751" s="1494"/>
      <c r="EL751" s="1494"/>
      <c r="EM751" s="1494"/>
      <c r="EN751" s="1494"/>
      <c r="EO751" s="1494">
        <f t="shared" si="30"/>
        <v>0</v>
      </c>
      <c r="EP751" s="1494"/>
      <c r="EQ751" s="1494"/>
      <c r="ER751" s="1494"/>
      <c r="ES751" s="1494"/>
      <c r="ET751" s="1494">
        <f t="shared" si="31"/>
        <v>0</v>
      </c>
      <c r="EU751" s="1494"/>
      <c r="EV751" s="1494"/>
      <c r="EW751" s="1494"/>
      <c r="EX751" s="1494"/>
      <c r="EY751"/>
      <c r="EZ751" s="1515" t="str">
        <f t="shared" si="32"/>
        <v/>
      </c>
      <c r="FA751" s="1516"/>
      <c r="FB751" s="1516"/>
      <c r="FC751" s="1516"/>
      <c r="FD751" s="1517"/>
      <c r="FE751" s="1515" t="str">
        <f t="shared" si="33"/>
        <v/>
      </c>
      <c r="FF751" s="1516"/>
      <c r="FG751" s="1516"/>
      <c r="FH751" s="1516"/>
      <c r="FI751" s="1517"/>
      <c r="FJ751" s="1515" t="str">
        <f t="shared" si="34"/>
        <v/>
      </c>
      <c r="FK751" s="1516"/>
      <c r="FL751" s="1516"/>
      <c r="FM751" s="1516"/>
      <c r="FN751" s="1517"/>
      <c r="FO751" s="1515" t="str">
        <f t="shared" si="35"/>
        <v/>
      </c>
      <c r="FP751" s="1516"/>
      <c r="FQ751" s="1516"/>
      <c r="FR751" s="1516"/>
      <c r="FS751" s="1517"/>
      <c r="FT751" s="1515" t="str">
        <f t="shared" si="36"/>
        <v/>
      </c>
      <c r="FU751" s="1516"/>
      <c r="FV751" s="1516"/>
      <c r="FW751" s="1516"/>
      <c r="FX751" s="1517"/>
      <c r="FY751" s="1515" t="str">
        <f t="shared" si="37"/>
        <v/>
      </c>
      <c r="FZ751" s="1516"/>
      <c r="GA751" s="1516"/>
      <c r="GB751" s="1516"/>
      <c r="GC751" s="1517"/>
    </row>
    <row r="752" spans="1:185" ht="12.95" customHeight="1">
      <c r="B752" s="1425"/>
      <c r="C752" s="1426"/>
      <c r="D752" s="1426"/>
      <c r="E752" s="1426"/>
      <c r="F752" s="1427"/>
      <c r="G752" s="1504"/>
      <c r="H752" s="1505"/>
      <c r="I752" s="1505"/>
      <c r="J752" s="1506"/>
      <c r="K752" s="1548"/>
      <c r="L752" s="1549"/>
      <c r="M752" s="1549"/>
      <c r="N752" s="1550"/>
      <c r="O752" s="1473"/>
      <c r="P752" s="1474"/>
      <c r="Q752" s="1474"/>
      <c r="R752" s="1474"/>
      <c r="S752" s="1475"/>
      <c r="T752" s="1473"/>
      <c r="U752" s="1474"/>
      <c r="V752" s="1474"/>
      <c r="W752" s="1475"/>
      <c r="X752" s="1531">
        <f t="shared" si="41"/>
        <v>0</v>
      </c>
      <c r="Y752" s="1402"/>
      <c r="Z752" s="1402"/>
      <c r="AA752" s="1402"/>
      <c r="AB752" s="1532"/>
      <c r="AC752" s="1405"/>
      <c r="AD752" s="1406"/>
      <c r="AE752" s="1406"/>
      <c r="AF752" s="1406"/>
      <c r="AG752" s="1407"/>
      <c r="AH752" s="1524" t="str">
        <f t="shared" si="38"/>
        <v/>
      </c>
      <c r="AI752" s="1525"/>
      <c r="AJ752" s="1526"/>
      <c r="AK752" s="1425" t="s">
        <v>591</v>
      </c>
      <c r="AL752" s="1426"/>
      <c r="AM752" s="1426"/>
      <c r="AN752" s="1426"/>
      <c r="AO752" s="1427"/>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15">
        <f t="shared" si="39"/>
        <v>0</v>
      </c>
      <c r="CH752" s="1517"/>
      <c r="CI752" s="1518">
        <f t="shared" si="40"/>
        <v>0</v>
      </c>
      <c r="CJ752" s="1519"/>
      <c r="CK752" s="1515">
        <f t="shared" si="18"/>
        <v>0</v>
      </c>
      <c r="CL752" s="1517"/>
      <c r="CM752" s="1518">
        <f t="shared" si="19"/>
        <v>0</v>
      </c>
      <c r="CN752" s="1519"/>
      <c r="CO752" s="3"/>
      <c r="CP752" s="1508">
        <f t="shared" si="20"/>
        <v>0</v>
      </c>
      <c r="CQ752" s="1509"/>
      <c r="CR752" s="1509"/>
      <c r="CS752" s="1509"/>
      <c r="CT752" s="1510"/>
      <c r="CU752" s="1493">
        <f t="shared" si="21"/>
        <v>0</v>
      </c>
      <c r="CV752" s="1493"/>
      <c r="CW752" s="1493"/>
      <c r="CX752" s="1493"/>
      <c r="CY752" s="1493"/>
      <c r="CZ752" s="1493">
        <f t="shared" si="22"/>
        <v>0</v>
      </c>
      <c r="DA752" s="1493"/>
      <c r="DB752" s="1493"/>
      <c r="DC752" s="1493"/>
      <c r="DD752" s="1493"/>
      <c r="DE752" s="1493">
        <f t="shared" si="23"/>
        <v>0</v>
      </c>
      <c r="DF752" s="1493"/>
      <c r="DG752" s="1493"/>
      <c r="DH752" s="1493"/>
      <c r="DI752" s="1493"/>
      <c r="DJ752" s="1493">
        <f t="shared" si="24"/>
        <v>0</v>
      </c>
      <c r="DK752" s="1493"/>
      <c r="DL752" s="1493"/>
      <c r="DM752" s="1493"/>
      <c r="DN752" s="1493"/>
      <c r="DO752" s="1493">
        <f t="shared" si="25"/>
        <v>0</v>
      </c>
      <c r="DP752" s="1493"/>
      <c r="DQ752" s="1493"/>
      <c r="DR752" s="1493"/>
      <c r="DS752" s="1493"/>
      <c r="DT752" s="6"/>
      <c r="DU752" s="1494">
        <f t="shared" si="26"/>
        <v>0</v>
      </c>
      <c r="DV752" s="1494"/>
      <c r="DW752" s="1494"/>
      <c r="DX752" s="1494"/>
      <c r="DY752" s="1494"/>
      <c r="DZ752" s="1494">
        <f t="shared" si="27"/>
        <v>0</v>
      </c>
      <c r="EA752" s="1494"/>
      <c r="EB752" s="1494"/>
      <c r="EC752" s="1494"/>
      <c r="ED752" s="1494"/>
      <c r="EE752" s="1494">
        <f t="shared" si="28"/>
        <v>0</v>
      </c>
      <c r="EF752" s="1494"/>
      <c r="EG752" s="1494"/>
      <c r="EH752" s="1494"/>
      <c r="EI752" s="1494"/>
      <c r="EJ752" s="1494">
        <f t="shared" si="29"/>
        <v>0</v>
      </c>
      <c r="EK752" s="1494"/>
      <c r="EL752" s="1494"/>
      <c r="EM752" s="1494"/>
      <c r="EN752" s="1494"/>
      <c r="EO752" s="1494">
        <f t="shared" si="30"/>
        <v>0</v>
      </c>
      <c r="EP752" s="1494"/>
      <c r="EQ752" s="1494"/>
      <c r="ER752" s="1494"/>
      <c r="ES752" s="1494"/>
      <c r="ET752" s="1494">
        <f t="shared" si="31"/>
        <v>0</v>
      </c>
      <c r="EU752" s="1494"/>
      <c r="EV752" s="1494"/>
      <c r="EW752" s="1494"/>
      <c r="EX752" s="1494"/>
      <c r="EZ752" s="1515" t="str">
        <f t="shared" si="32"/>
        <v/>
      </c>
      <c r="FA752" s="1516"/>
      <c r="FB752" s="1516"/>
      <c r="FC752" s="1516"/>
      <c r="FD752" s="1517"/>
      <c r="FE752" s="1515" t="str">
        <f t="shared" si="33"/>
        <v/>
      </c>
      <c r="FF752" s="1516"/>
      <c r="FG752" s="1516"/>
      <c r="FH752" s="1516"/>
      <c r="FI752" s="1517"/>
      <c r="FJ752" s="1515" t="str">
        <f t="shared" si="34"/>
        <v/>
      </c>
      <c r="FK752" s="1516"/>
      <c r="FL752" s="1516"/>
      <c r="FM752" s="1516"/>
      <c r="FN752" s="1517"/>
      <c r="FO752" s="1515" t="str">
        <f t="shared" si="35"/>
        <v/>
      </c>
      <c r="FP752" s="1516"/>
      <c r="FQ752" s="1516"/>
      <c r="FR752" s="1516"/>
      <c r="FS752" s="1517"/>
      <c r="FT752" s="1515" t="str">
        <f t="shared" si="36"/>
        <v/>
      </c>
      <c r="FU752" s="1516"/>
      <c r="FV752" s="1516"/>
      <c r="FW752" s="1516"/>
      <c r="FX752" s="1517"/>
      <c r="FY752" s="1515" t="str">
        <f t="shared" si="37"/>
        <v/>
      </c>
      <c r="FZ752" s="1516"/>
      <c r="GA752" s="1516"/>
      <c r="GB752" s="1516"/>
      <c r="GC752" s="1517"/>
    </row>
    <row r="753" spans="1:185" ht="12.95" customHeight="1">
      <c r="B753" s="1425"/>
      <c r="C753" s="1426"/>
      <c r="D753" s="1426"/>
      <c r="E753" s="1426"/>
      <c r="F753" s="1427"/>
      <c r="G753" s="1504"/>
      <c r="H753" s="1505"/>
      <c r="I753" s="1505"/>
      <c r="J753" s="1506"/>
      <c r="K753" s="1548"/>
      <c r="L753" s="1549"/>
      <c r="M753" s="1549"/>
      <c r="N753" s="1550"/>
      <c r="O753" s="1473"/>
      <c r="P753" s="1474"/>
      <c r="Q753" s="1474"/>
      <c r="R753" s="1474"/>
      <c r="S753" s="1475"/>
      <c r="T753" s="1473"/>
      <c r="U753" s="1474"/>
      <c r="V753" s="1474"/>
      <c r="W753" s="1475"/>
      <c r="X753" s="1531">
        <f t="shared" si="41"/>
        <v>0</v>
      </c>
      <c r="Y753" s="1402"/>
      <c r="Z753" s="1402"/>
      <c r="AA753" s="1402"/>
      <c r="AB753" s="1532"/>
      <c r="AC753" s="1405"/>
      <c r="AD753" s="1406"/>
      <c r="AE753" s="1406"/>
      <c r="AF753" s="1406"/>
      <c r="AG753" s="1407"/>
      <c r="AH753" s="1524" t="str">
        <f t="shared" si="38"/>
        <v/>
      </c>
      <c r="AI753" s="1525"/>
      <c r="AJ753" s="1526"/>
      <c r="AK753" s="1425" t="s">
        <v>591</v>
      </c>
      <c r="AL753" s="1426"/>
      <c r="AM753" s="1426"/>
      <c r="AN753" s="1426"/>
      <c r="AO753" s="1427"/>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15">
        <f t="shared" si="39"/>
        <v>0</v>
      </c>
      <c r="CH753" s="1517"/>
      <c r="CI753" s="1518">
        <f t="shared" si="40"/>
        <v>0</v>
      </c>
      <c r="CJ753" s="1519"/>
      <c r="CK753" s="1515">
        <f t="shared" si="18"/>
        <v>0</v>
      </c>
      <c r="CL753" s="1517"/>
      <c r="CM753" s="1518">
        <f t="shared" si="19"/>
        <v>0</v>
      </c>
      <c r="CN753" s="1519"/>
      <c r="CO753" s="3"/>
      <c r="CP753" s="1508">
        <f t="shared" si="20"/>
        <v>0</v>
      </c>
      <c r="CQ753" s="1509"/>
      <c r="CR753" s="1509"/>
      <c r="CS753" s="1509"/>
      <c r="CT753" s="1510"/>
      <c r="CU753" s="1493">
        <f t="shared" si="21"/>
        <v>0</v>
      </c>
      <c r="CV753" s="1493"/>
      <c r="CW753" s="1493"/>
      <c r="CX753" s="1493"/>
      <c r="CY753" s="1493"/>
      <c r="CZ753" s="1493">
        <f t="shared" si="22"/>
        <v>0</v>
      </c>
      <c r="DA753" s="1493"/>
      <c r="DB753" s="1493"/>
      <c r="DC753" s="1493"/>
      <c r="DD753" s="1493"/>
      <c r="DE753" s="1493">
        <f t="shared" si="23"/>
        <v>0</v>
      </c>
      <c r="DF753" s="1493"/>
      <c r="DG753" s="1493"/>
      <c r="DH753" s="1493"/>
      <c r="DI753" s="1493"/>
      <c r="DJ753" s="1493">
        <f t="shared" si="24"/>
        <v>0</v>
      </c>
      <c r="DK753" s="1493"/>
      <c r="DL753" s="1493"/>
      <c r="DM753" s="1493"/>
      <c r="DN753" s="1493"/>
      <c r="DO753" s="1493">
        <f t="shared" si="25"/>
        <v>0</v>
      </c>
      <c r="DP753" s="1493"/>
      <c r="DQ753" s="1493"/>
      <c r="DR753" s="1493"/>
      <c r="DS753" s="1493"/>
      <c r="DT753" s="6"/>
      <c r="DU753" s="1494">
        <f t="shared" si="26"/>
        <v>0</v>
      </c>
      <c r="DV753" s="1494"/>
      <c r="DW753" s="1494"/>
      <c r="DX753" s="1494"/>
      <c r="DY753" s="1494"/>
      <c r="DZ753" s="1494">
        <f t="shared" si="27"/>
        <v>0</v>
      </c>
      <c r="EA753" s="1494"/>
      <c r="EB753" s="1494"/>
      <c r="EC753" s="1494"/>
      <c r="ED753" s="1494"/>
      <c r="EE753" s="1494">
        <f t="shared" si="28"/>
        <v>0</v>
      </c>
      <c r="EF753" s="1494"/>
      <c r="EG753" s="1494"/>
      <c r="EH753" s="1494"/>
      <c r="EI753" s="1494"/>
      <c r="EJ753" s="1494">
        <f t="shared" si="29"/>
        <v>0</v>
      </c>
      <c r="EK753" s="1494"/>
      <c r="EL753" s="1494"/>
      <c r="EM753" s="1494"/>
      <c r="EN753" s="1494"/>
      <c r="EO753" s="1494">
        <f t="shared" si="30"/>
        <v>0</v>
      </c>
      <c r="EP753" s="1494"/>
      <c r="EQ753" s="1494"/>
      <c r="ER753" s="1494"/>
      <c r="ES753" s="1494"/>
      <c r="ET753" s="1494">
        <f t="shared" si="31"/>
        <v>0</v>
      </c>
      <c r="EU753" s="1494"/>
      <c r="EV753" s="1494"/>
      <c r="EW753" s="1494"/>
      <c r="EX753" s="1494"/>
      <c r="EZ753" s="1515" t="str">
        <f t="shared" si="32"/>
        <v/>
      </c>
      <c r="FA753" s="1516"/>
      <c r="FB753" s="1516"/>
      <c r="FC753" s="1516"/>
      <c r="FD753" s="1517"/>
      <c r="FE753" s="1515" t="str">
        <f t="shared" si="33"/>
        <v/>
      </c>
      <c r="FF753" s="1516"/>
      <c r="FG753" s="1516"/>
      <c r="FH753" s="1516"/>
      <c r="FI753" s="1517"/>
      <c r="FJ753" s="1515" t="str">
        <f t="shared" si="34"/>
        <v/>
      </c>
      <c r="FK753" s="1516"/>
      <c r="FL753" s="1516"/>
      <c r="FM753" s="1516"/>
      <c r="FN753" s="1517"/>
      <c r="FO753" s="1515" t="str">
        <f t="shared" si="35"/>
        <v/>
      </c>
      <c r="FP753" s="1516"/>
      <c r="FQ753" s="1516"/>
      <c r="FR753" s="1516"/>
      <c r="FS753" s="1517"/>
      <c r="FT753" s="1515" t="str">
        <f t="shared" si="36"/>
        <v/>
      </c>
      <c r="FU753" s="1516"/>
      <c r="FV753" s="1516"/>
      <c r="FW753" s="1516"/>
      <c r="FX753" s="1517"/>
      <c r="FY753" s="1515" t="str">
        <f t="shared" si="37"/>
        <v/>
      </c>
      <c r="FZ753" s="1516"/>
      <c r="GA753" s="1516"/>
      <c r="GB753" s="1516"/>
      <c r="GC753" s="1517"/>
    </row>
    <row r="754" spans="1:185" ht="12.95" customHeight="1">
      <c r="B754" s="1425"/>
      <c r="C754" s="1426"/>
      <c r="D754" s="1426"/>
      <c r="E754" s="1426"/>
      <c r="F754" s="1427"/>
      <c r="G754" s="1504"/>
      <c r="H754" s="1505"/>
      <c r="I754" s="1505"/>
      <c r="J754" s="1506"/>
      <c r="K754" s="1548"/>
      <c r="L754" s="1549"/>
      <c r="M754" s="1549"/>
      <c r="N754" s="1550"/>
      <c r="O754" s="1473"/>
      <c r="P754" s="1474"/>
      <c r="Q754" s="1474"/>
      <c r="R754" s="1474"/>
      <c r="S754" s="1475"/>
      <c r="T754" s="1473"/>
      <c r="U754" s="1474"/>
      <c r="V754" s="1474"/>
      <c r="W754" s="1475"/>
      <c r="X754" s="1531">
        <f t="shared" si="41"/>
        <v>0</v>
      </c>
      <c r="Y754" s="1402"/>
      <c r="Z754" s="1402"/>
      <c r="AA754" s="1402"/>
      <c r="AB754" s="1532"/>
      <c r="AC754" s="1405"/>
      <c r="AD754" s="1406"/>
      <c r="AE754" s="1406"/>
      <c r="AF754" s="1406"/>
      <c r="AG754" s="1407"/>
      <c r="AH754" s="1524" t="str">
        <f t="shared" si="38"/>
        <v/>
      </c>
      <c r="AI754" s="1525"/>
      <c r="AJ754" s="1526"/>
      <c r="AK754" s="1425" t="s">
        <v>591</v>
      </c>
      <c r="AL754" s="1426"/>
      <c r="AM754" s="1426"/>
      <c r="AN754" s="1426"/>
      <c r="AO754" s="1427"/>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15">
        <f t="shared" si="39"/>
        <v>0</v>
      </c>
      <c r="CH754" s="1517"/>
      <c r="CI754" s="1518">
        <f t="shared" si="40"/>
        <v>0</v>
      </c>
      <c r="CJ754" s="1519"/>
      <c r="CK754" s="1515">
        <f t="shared" si="18"/>
        <v>0</v>
      </c>
      <c r="CL754" s="1517"/>
      <c r="CM754" s="1518">
        <f t="shared" si="19"/>
        <v>0</v>
      </c>
      <c r="CN754" s="1519"/>
      <c r="CO754" s="3"/>
      <c r="CP754" s="1508">
        <f t="shared" si="20"/>
        <v>0</v>
      </c>
      <c r="CQ754" s="1509"/>
      <c r="CR754" s="1509"/>
      <c r="CS754" s="1509"/>
      <c r="CT754" s="1510"/>
      <c r="CU754" s="1493">
        <f t="shared" si="21"/>
        <v>0</v>
      </c>
      <c r="CV754" s="1493"/>
      <c r="CW754" s="1493"/>
      <c r="CX754" s="1493"/>
      <c r="CY754" s="1493"/>
      <c r="CZ754" s="1493">
        <f t="shared" si="22"/>
        <v>0</v>
      </c>
      <c r="DA754" s="1493"/>
      <c r="DB754" s="1493"/>
      <c r="DC754" s="1493"/>
      <c r="DD754" s="1493"/>
      <c r="DE754" s="1493">
        <f t="shared" si="23"/>
        <v>0</v>
      </c>
      <c r="DF754" s="1493"/>
      <c r="DG754" s="1493"/>
      <c r="DH754" s="1493"/>
      <c r="DI754" s="1493"/>
      <c r="DJ754" s="1493">
        <f t="shared" si="24"/>
        <v>0</v>
      </c>
      <c r="DK754" s="1493"/>
      <c r="DL754" s="1493"/>
      <c r="DM754" s="1493"/>
      <c r="DN754" s="1493"/>
      <c r="DO754" s="1493">
        <f t="shared" si="25"/>
        <v>0</v>
      </c>
      <c r="DP754" s="1493"/>
      <c r="DQ754" s="1493"/>
      <c r="DR754" s="1493"/>
      <c r="DS754" s="1493"/>
      <c r="DT754" s="6"/>
      <c r="DU754" s="1494">
        <f t="shared" si="26"/>
        <v>0</v>
      </c>
      <c r="DV754" s="1494"/>
      <c r="DW754" s="1494"/>
      <c r="DX754" s="1494"/>
      <c r="DY754" s="1494"/>
      <c r="DZ754" s="1494">
        <f t="shared" si="27"/>
        <v>0</v>
      </c>
      <c r="EA754" s="1494"/>
      <c r="EB754" s="1494"/>
      <c r="EC754" s="1494"/>
      <c r="ED754" s="1494"/>
      <c r="EE754" s="1494">
        <f t="shared" si="28"/>
        <v>0</v>
      </c>
      <c r="EF754" s="1494"/>
      <c r="EG754" s="1494"/>
      <c r="EH754" s="1494"/>
      <c r="EI754" s="1494"/>
      <c r="EJ754" s="1494">
        <f t="shared" si="29"/>
        <v>0</v>
      </c>
      <c r="EK754" s="1494"/>
      <c r="EL754" s="1494"/>
      <c r="EM754" s="1494"/>
      <c r="EN754" s="1494"/>
      <c r="EO754" s="1494">
        <f t="shared" si="30"/>
        <v>0</v>
      </c>
      <c r="EP754" s="1494"/>
      <c r="EQ754" s="1494"/>
      <c r="ER754" s="1494"/>
      <c r="ES754" s="1494"/>
      <c r="ET754" s="1494">
        <f t="shared" si="31"/>
        <v>0</v>
      </c>
      <c r="EU754" s="1494"/>
      <c r="EV754" s="1494"/>
      <c r="EW754" s="1494"/>
      <c r="EX754" s="1494"/>
      <c r="EZ754" s="1515" t="str">
        <f t="shared" si="32"/>
        <v/>
      </c>
      <c r="FA754" s="1516"/>
      <c r="FB754" s="1516"/>
      <c r="FC754" s="1516"/>
      <c r="FD754" s="1517"/>
      <c r="FE754" s="1515" t="str">
        <f t="shared" si="33"/>
        <v/>
      </c>
      <c r="FF754" s="1516"/>
      <c r="FG754" s="1516"/>
      <c r="FH754" s="1516"/>
      <c r="FI754" s="1517"/>
      <c r="FJ754" s="1515" t="str">
        <f t="shared" si="34"/>
        <v/>
      </c>
      <c r="FK754" s="1516"/>
      <c r="FL754" s="1516"/>
      <c r="FM754" s="1516"/>
      <c r="FN754" s="1517"/>
      <c r="FO754" s="1515" t="str">
        <f t="shared" si="35"/>
        <v/>
      </c>
      <c r="FP754" s="1516"/>
      <c r="FQ754" s="1516"/>
      <c r="FR754" s="1516"/>
      <c r="FS754" s="1517"/>
      <c r="FT754" s="1515" t="str">
        <f t="shared" si="36"/>
        <v/>
      </c>
      <c r="FU754" s="1516"/>
      <c r="FV754" s="1516"/>
      <c r="FW754" s="1516"/>
      <c r="FX754" s="1517"/>
      <c r="FY754" s="1515" t="str">
        <f t="shared" si="37"/>
        <v/>
      </c>
      <c r="FZ754" s="1516"/>
      <c r="GA754" s="1516"/>
      <c r="GB754" s="1516"/>
      <c r="GC754" s="1517"/>
    </row>
    <row r="755" spans="1:185" ht="12.95" customHeight="1">
      <c r="B755" s="1425"/>
      <c r="C755" s="1426"/>
      <c r="D755" s="1426"/>
      <c r="E755" s="1426"/>
      <c r="F755" s="1427"/>
      <c r="G755" s="1504"/>
      <c r="H755" s="1505"/>
      <c r="I755" s="1505"/>
      <c r="J755" s="1506"/>
      <c r="K755" s="1548"/>
      <c r="L755" s="1549"/>
      <c r="M755" s="1549"/>
      <c r="N755" s="1550"/>
      <c r="O755" s="1473"/>
      <c r="P755" s="1474"/>
      <c r="Q755" s="1474"/>
      <c r="R755" s="1474"/>
      <c r="S755" s="1475"/>
      <c r="T755" s="1473"/>
      <c r="U755" s="1474"/>
      <c r="V755" s="1474"/>
      <c r="W755" s="1475"/>
      <c r="X755" s="1531">
        <f t="shared" si="41"/>
        <v>0</v>
      </c>
      <c r="Y755" s="1402"/>
      <c r="Z755" s="1402"/>
      <c r="AA755" s="1402"/>
      <c r="AB755" s="1532"/>
      <c r="AC755" s="1405"/>
      <c r="AD755" s="1406"/>
      <c r="AE755" s="1406"/>
      <c r="AF755" s="1406"/>
      <c r="AG755" s="1407"/>
      <c r="AH755" s="1524" t="str">
        <f t="shared" si="38"/>
        <v/>
      </c>
      <c r="AI755" s="1525"/>
      <c r="AJ755" s="1526"/>
      <c r="AK755" s="1425" t="s">
        <v>591</v>
      </c>
      <c r="AL755" s="1426"/>
      <c r="AM755" s="1426"/>
      <c r="AN755" s="1426"/>
      <c r="AO755" s="1427"/>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15">
        <f t="shared" si="39"/>
        <v>0</v>
      </c>
      <c r="CH755" s="1517"/>
      <c r="CI755" s="1518">
        <f t="shared" si="40"/>
        <v>0</v>
      </c>
      <c r="CJ755" s="1519"/>
      <c r="CK755" s="1515">
        <f t="shared" si="18"/>
        <v>0</v>
      </c>
      <c r="CL755" s="1517"/>
      <c r="CM755" s="1518">
        <f t="shared" si="19"/>
        <v>0</v>
      </c>
      <c r="CN755" s="1519"/>
      <c r="CO755" s="3"/>
      <c r="CP755" s="1508">
        <f t="shared" si="20"/>
        <v>0</v>
      </c>
      <c r="CQ755" s="1509"/>
      <c r="CR755" s="1509"/>
      <c r="CS755" s="1509"/>
      <c r="CT755" s="1510"/>
      <c r="CU755" s="1493">
        <f t="shared" si="21"/>
        <v>0</v>
      </c>
      <c r="CV755" s="1493"/>
      <c r="CW755" s="1493"/>
      <c r="CX755" s="1493"/>
      <c r="CY755" s="1493"/>
      <c r="CZ755" s="1493">
        <f t="shared" si="22"/>
        <v>0</v>
      </c>
      <c r="DA755" s="1493"/>
      <c r="DB755" s="1493"/>
      <c r="DC755" s="1493"/>
      <c r="DD755" s="1493"/>
      <c r="DE755" s="1493">
        <f t="shared" si="23"/>
        <v>0</v>
      </c>
      <c r="DF755" s="1493"/>
      <c r="DG755" s="1493"/>
      <c r="DH755" s="1493"/>
      <c r="DI755" s="1493"/>
      <c r="DJ755" s="1493">
        <f t="shared" si="24"/>
        <v>0</v>
      </c>
      <c r="DK755" s="1493"/>
      <c r="DL755" s="1493"/>
      <c r="DM755" s="1493"/>
      <c r="DN755" s="1493"/>
      <c r="DO755" s="1493">
        <f t="shared" si="25"/>
        <v>0</v>
      </c>
      <c r="DP755" s="1493"/>
      <c r="DQ755" s="1493"/>
      <c r="DR755" s="1493"/>
      <c r="DS755" s="1493"/>
      <c r="DT755" s="6"/>
      <c r="DU755" s="1494">
        <f t="shared" si="26"/>
        <v>0</v>
      </c>
      <c r="DV755" s="1494"/>
      <c r="DW755" s="1494"/>
      <c r="DX755" s="1494"/>
      <c r="DY755" s="1494"/>
      <c r="DZ755" s="1494">
        <f t="shared" si="27"/>
        <v>0</v>
      </c>
      <c r="EA755" s="1494"/>
      <c r="EB755" s="1494"/>
      <c r="EC755" s="1494"/>
      <c r="ED755" s="1494"/>
      <c r="EE755" s="1494">
        <f t="shared" si="28"/>
        <v>0</v>
      </c>
      <c r="EF755" s="1494"/>
      <c r="EG755" s="1494"/>
      <c r="EH755" s="1494"/>
      <c r="EI755" s="1494"/>
      <c r="EJ755" s="1494">
        <f t="shared" si="29"/>
        <v>0</v>
      </c>
      <c r="EK755" s="1494"/>
      <c r="EL755" s="1494"/>
      <c r="EM755" s="1494"/>
      <c r="EN755" s="1494"/>
      <c r="EO755" s="1494">
        <f t="shared" si="30"/>
        <v>0</v>
      </c>
      <c r="EP755" s="1494"/>
      <c r="EQ755" s="1494"/>
      <c r="ER755" s="1494"/>
      <c r="ES755" s="1494"/>
      <c r="ET755" s="1494">
        <f t="shared" si="31"/>
        <v>0</v>
      </c>
      <c r="EU755" s="1494"/>
      <c r="EV755" s="1494"/>
      <c r="EW755" s="1494"/>
      <c r="EX755" s="1494"/>
      <c r="EZ755" s="1515" t="str">
        <f t="shared" si="32"/>
        <v/>
      </c>
      <c r="FA755" s="1516"/>
      <c r="FB755" s="1516"/>
      <c r="FC755" s="1516"/>
      <c r="FD755" s="1517"/>
      <c r="FE755" s="1515" t="str">
        <f t="shared" si="33"/>
        <v/>
      </c>
      <c r="FF755" s="1516"/>
      <c r="FG755" s="1516"/>
      <c r="FH755" s="1516"/>
      <c r="FI755" s="1517"/>
      <c r="FJ755" s="1515" t="str">
        <f t="shared" si="34"/>
        <v/>
      </c>
      <c r="FK755" s="1516"/>
      <c r="FL755" s="1516"/>
      <c r="FM755" s="1516"/>
      <c r="FN755" s="1517"/>
      <c r="FO755" s="1515" t="str">
        <f t="shared" si="35"/>
        <v/>
      </c>
      <c r="FP755" s="1516"/>
      <c r="FQ755" s="1516"/>
      <c r="FR755" s="1516"/>
      <c r="FS755" s="1517"/>
      <c r="FT755" s="1515" t="str">
        <f t="shared" si="36"/>
        <v/>
      </c>
      <c r="FU755" s="1516"/>
      <c r="FV755" s="1516"/>
      <c r="FW755" s="1516"/>
      <c r="FX755" s="1517"/>
      <c r="FY755" s="1515" t="str">
        <f t="shared" si="37"/>
        <v/>
      </c>
      <c r="FZ755" s="1516"/>
      <c r="GA755" s="1516"/>
      <c r="GB755" s="1516"/>
      <c r="GC755" s="1517"/>
    </row>
    <row r="756" spans="1:185" s="3" customFormat="1" ht="12.95" customHeight="1">
      <c r="A756"/>
      <c r="B756" s="1425"/>
      <c r="C756" s="1426"/>
      <c r="D756" s="1426"/>
      <c r="E756" s="1426"/>
      <c r="F756" s="1427"/>
      <c r="G756" s="1504"/>
      <c r="H756" s="1505"/>
      <c r="I756" s="1505"/>
      <c r="J756" s="1506"/>
      <c r="K756" s="1548"/>
      <c r="L756" s="1549"/>
      <c r="M756" s="1549"/>
      <c r="N756" s="1550"/>
      <c r="O756" s="1473"/>
      <c r="P756" s="1474"/>
      <c r="Q756" s="1474"/>
      <c r="R756" s="1474"/>
      <c r="S756" s="1475"/>
      <c r="T756" s="1473"/>
      <c r="U756" s="1474"/>
      <c r="V756" s="1474"/>
      <c r="W756" s="1475"/>
      <c r="X756" s="1531">
        <f t="shared" si="41"/>
        <v>0</v>
      </c>
      <c r="Y756" s="1402"/>
      <c r="Z756" s="1402"/>
      <c r="AA756" s="1402"/>
      <c r="AB756" s="1532"/>
      <c r="AC756" s="1405"/>
      <c r="AD756" s="1406"/>
      <c r="AE756" s="1406"/>
      <c r="AF756" s="1406"/>
      <c r="AG756" s="1407"/>
      <c r="AH756" s="1524" t="str">
        <f t="shared" si="38"/>
        <v/>
      </c>
      <c r="AI756" s="1525"/>
      <c r="AJ756" s="1526"/>
      <c r="AK756" s="1425" t="s">
        <v>591</v>
      </c>
      <c r="AL756" s="1426"/>
      <c r="AM756" s="1426"/>
      <c r="AN756" s="1426"/>
      <c r="AO756" s="1427"/>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15">
        <f t="shared" si="39"/>
        <v>0</v>
      </c>
      <c r="CH756" s="1517"/>
      <c r="CI756" s="1518">
        <f t="shared" si="40"/>
        <v>0</v>
      </c>
      <c r="CJ756" s="1519"/>
      <c r="CK756" s="1515">
        <f t="shared" si="18"/>
        <v>0</v>
      </c>
      <c r="CL756" s="1517"/>
      <c r="CM756" s="1518">
        <f t="shared" si="19"/>
        <v>0</v>
      </c>
      <c r="CN756" s="1519"/>
      <c r="CP756" s="1508">
        <f t="shared" si="20"/>
        <v>0</v>
      </c>
      <c r="CQ756" s="1509"/>
      <c r="CR756" s="1509"/>
      <c r="CS756" s="1509"/>
      <c r="CT756" s="1510"/>
      <c r="CU756" s="1493">
        <f t="shared" si="21"/>
        <v>0</v>
      </c>
      <c r="CV756" s="1493"/>
      <c r="CW756" s="1493"/>
      <c r="CX756" s="1493"/>
      <c r="CY756" s="1493"/>
      <c r="CZ756" s="1493">
        <f t="shared" si="22"/>
        <v>0</v>
      </c>
      <c r="DA756" s="1493"/>
      <c r="DB756" s="1493"/>
      <c r="DC756" s="1493"/>
      <c r="DD756" s="1493"/>
      <c r="DE756" s="1493">
        <f t="shared" si="23"/>
        <v>0</v>
      </c>
      <c r="DF756" s="1493"/>
      <c r="DG756" s="1493"/>
      <c r="DH756" s="1493"/>
      <c r="DI756" s="1493"/>
      <c r="DJ756" s="1493">
        <f t="shared" si="24"/>
        <v>0</v>
      </c>
      <c r="DK756" s="1493"/>
      <c r="DL756" s="1493"/>
      <c r="DM756" s="1493"/>
      <c r="DN756" s="1493"/>
      <c r="DO756" s="1493">
        <f t="shared" si="25"/>
        <v>0</v>
      </c>
      <c r="DP756" s="1493"/>
      <c r="DQ756" s="1493"/>
      <c r="DR756" s="1493"/>
      <c r="DS756" s="1493"/>
      <c r="DT756" s="6"/>
      <c r="DU756" s="1494">
        <f t="shared" si="26"/>
        <v>0</v>
      </c>
      <c r="DV756" s="1494"/>
      <c r="DW756" s="1494"/>
      <c r="DX756" s="1494"/>
      <c r="DY756" s="1494"/>
      <c r="DZ756" s="1494">
        <f t="shared" si="27"/>
        <v>0</v>
      </c>
      <c r="EA756" s="1494"/>
      <c r="EB756" s="1494"/>
      <c r="EC756" s="1494"/>
      <c r="ED756" s="1494"/>
      <c r="EE756" s="1494">
        <f t="shared" si="28"/>
        <v>0</v>
      </c>
      <c r="EF756" s="1494"/>
      <c r="EG756" s="1494"/>
      <c r="EH756" s="1494"/>
      <c r="EI756" s="1494"/>
      <c r="EJ756" s="1494">
        <f t="shared" si="29"/>
        <v>0</v>
      </c>
      <c r="EK756" s="1494"/>
      <c r="EL756" s="1494"/>
      <c r="EM756" s="1494"/>
      <c r="EN756" s="1494"/>
      <c r="EO756" s="1494">
        <f t="shared" si="30"/>
        <v>0</v>
      </c>
      <c r="EP756" s="1494"/>
      <c r="EQ756" s="1494"/>
      <c r="ER756" s="1494"/>
      <c r="ES756" s="1494"/>
      <c r="ET756" s="1494">
        <f t="shared" si="31"/>
        <v>0</v>
      </c>
      <c r="EU756" s="1494"/>
      <c r="EV756" s="1494"/>
      <c r="EW756" s="1494"/>
      <c r="EX756" s="1494"/>
      <c r="EY756"/>
      <c r="EZ756" s="1515" t="str">
        <f t="shared" si="32"/>
        <v/>
      </c>
      <c r="FA756" s="1516"/>
      <c r="FB756" s="1516"/>
      <c r="FC756" s="1516"/>
      <c r="FD756" s="1517"/>
      <c r="FE756" s="1515" t="str">
        <f t="shared" si="33"/>
        <v/>
      </c>
      <c r="FF756" s="1516"/>
      <c r="FG756" s="1516"/>
      <c r="FH756" s="1516"/>
      <c r="FI756" s="1517"/>
      <c r="FJ756" s="1515" t="str">
        <f t="shared" si="34"/>
        <v/>
      </c>
      <c r="FK756" s="1516"/>
      <c r="FL756" s="1516"/>
      <c r="FM756" s="1516"/>
      <c r="FN756" s="1517"/>
      <c r="FO756" s="1515" t="str">
        <f t="shared" si="35"/>
        <v/>
      </c>
      <c r="FP756" s="1516"/>
      <c r="FQ756" s="1516"/>
      <c r="FR756" s="1516"/>
      <c r="FS756" s="1517"/>
      <c r="FT756" s="1515" t="str">
        <f t="shared" si="36"/>
        <v/>
      </c>
      <c r="FU756" s="1516"/>
      <c r="FV756" s="1516"/>
      <c r="FW756" s="1516"/>
      <c r="FX756" s="1517"/>
      <c r="FY756" s="1515" t="str">
        <f t="shared" si="37"/>
        <v/>
      </c>
      <c r="FZ756" s="1516"/>
      <c r="GA756" s="1516"/>
      <c r="GB756" s="1516"/>
      <c r="GC756" s="1517"/>
    </row>
    <row r="757" spans="1:185" s="3" customFormat="1" ht="12.95" customHeight="1">
      <c r="A757"/>
      <c r="B757" s="1425"/>
      <c r="C757" s="1426"/>
      <c r="D757" s="1426"/>
      <c r="E757" s="1426"/>
      <c r="F757" s="1427"/>
      <c r="G757" s="1504"/>
      <c r="H757" s="1505"/>
      <c r="I757" s="1505"/>
      <c r="J757" s="1506"/>
      <c r="K757" s="1548"/>
      <c r="L757" s="1549"/>
      <c r="M757" s="1549"/>
      <c r="N757" s="1550"/>
      <c r="O757" s="1473"/>
      <c r="P757" s="1474"/>
      <c r="Q757" s="1474"/>
      <c r="R757" s="1474"/>
      <c r="S757" s="1475"/>
      <c r="T757" s="1473"/>
      <c r="U757" s="1474"/>
      <c r="V757" s="1474"/>
      <c r="W757" s="1475"/>
      <c r="X757" s="1531">
        <f t="shared" si="41"/>
        <v>0</v>
      </c>
      <c r="Y757" s="1402"/>
      <c r="Z757" s="1402"/>
      <c r="AA757" s="1402"/>
      <c r="AB757" s="1532"/>
      <c r="AC757" s="1405"/>
      <c r="AD757" s="1406"/>
      <c r="AE757" s="1406"/>
      <c r="AF757" s="1406"/>
      <c r="AG757" s="1407"/>
      <c r="AH757" s="1524" t="str">
        <f t="shared" si="38"/>
        <v/>
      </c>
      <c r="AI757" s="1525"/>
      <c r="AJ757" s="1526"/>
      <c r="AK757" s="1425" t="s">
        <v>591</v>
      </c>
      <c r="AL757" s="1426"/>
      <c r="AM757" s="1426"/>
      <c r="AN757" s="1426"/>
      <c r="AO757" s="1427"/>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15">
        <f t="shared" si="39"/>
        <v>0</v>
      </c>
      <c r="CH757" s="1517"/>
      <c r="CI757" s="1518">
        <f t="shared" si="40"/>
        <v>0</v>
      </c>
      <c r="CJ757" s="1519"/>
      <c r="CK757" s="1515">
        <f t="shared" si="18"/>
        <v>0</v>
      </c>
      <c r="CL757" s="1517"/>
      <c r="CM757" s="1518">
        <f t="shared" si="19"/>
        <v>0</v>
      </c>
      <c r="CN757" s="1519"/>
      <c r="CP757" s="1508">
        <f t="shared" si="20"/>
        <v>0</v>
      </c>
      <c r="CQ757" s="1509"/>
      <c r="CR757" s="1509"/>
      <c r="CS757" s="1509"/>
      <c r="CT757" s="1510"/>
      <c r="CU757" s="1493">
        <f t="shared" si="21"/>
        <v>0</v>
      </c>
      <c r="CV757" s="1493"/>
      <c r="CW757" s="1493"/>
      <c r="CX757" s="1493"/>
      <c r="CY757" s="1493"/>
      <c r="CZ757" s="1493">
        <f t="shared" si="22"/>
        <v>0</v>
      </c>
      <c r="DA757" s="1493"/>
      <c r="DB757" s="1493"/>
      <c r="DC757" s="1493"/>
      <c r="DD757" s="1493"/>
      <c r="DE757" s="1493">
        <f t="shared" si="23"/>
        <v>0</v>
      </c>
      <c r="DF757" s="1493"/>
      <c r="DG757" s="1493"/>
      <c r="DH757" s="1493"/>
      <c r="DI757" s="1493"/>
      <c r="DJ757" s="1493">
        <f t="shared" si="24"/>
        <v>0</v>
      </c>
      <c r="DK757" s="1493"/>
      <c r="DL757" s="1493"/>
      <c r="DM757" s="1493"/>
      <c r="DN757" s="1493"/>
      <c r="DO757" s="1493">
        <f t="shared" si="25"/>
        <v>0</v>
      </c>
      <c r="DP757" s="1493"/>
      <c r="DQ757" s="1493"/>
      <c r="DR757" s="1493"/>
      <c r="DS757" s="1493"/>
      <c r="DT757" s="6"/>
      <c r="DU757" s="1494">
        <f t="shared" si="26"/>
        <v>0</v>
      </c>
      <c r="DV757" s="1494"/>
      <c r="DW757" s="1494"/>
      <c r="DX757" s="1494"/>
      <c r="DY757" s="1494"/>
      <c r="DZ757" s="1494">
        <f t="shared" si="27"/>
        <v>0</v>
      </c>
      <c r="EA757" s="1494"/>
      <c r="EB757" s="1494"/>
      <c r="EC757" s="1494"/>
      <c r="ED757" s="1494"/>
      <c r="EE757" s="1494">
        <f t="shared" si="28"/>
        <v>0</v>
      </c>
      <c r="EF757" s="1494"/>
      <c r="EG757" s="1494"/>
      <c r="EH757" s="1494"/>
      <c r="EI757" s="1494"/>
      <c r="EJ757" s="1494">
        <f t="shared" si="29"/>
        <v>0</v>
      </c>
      <c r="EK757" s="1494"/>
      <c r="EL757" s="1494"/>
      <c r="EM757" s="1494"/>
      <c r="EN757" s="1494"/>
      <c r="EO757" s="1494">
        <f t="shared" si="30"/>
        <v>0</v>
      </c>
      <c r="EP757" s="1494"/>
      <c r="EQ757" s="1494"/>
      <c r="ER757" s="1494"/>
      <c r="ES757" s="1494"/>
      <c r="ET757" s="1494">
        <f t="shared" si="31"/>
        <v>0</v>
      </c>
      <c r="EU757" s="1494"/>
      <c r="EV757" s="1494"/>
      <c r="EW757" s="1494"/>
      <c r="EX757" s="1494"/>
      <c r="EY757"/>
      <c r="EZ757" s="1515" t="str">
        <f t="shared" si="32"/>
        <v/>
      </c>
      <c r="FA757" s="1516"/>
      <c r="FB757" s="1516"/>
      <c r="FC757" s="1516"/>
      <c r="FD757" s="1517"/>
      <c r="FE757" s="1515" t="str">
        <f t="shared" si="33"/>
        <v/>
      </c>
      <c r="FF757" s="1516"/>
      <c r="FG757" s="1516"/>
      <c r="FH757" s="1516"/>
      <c r="FI757" s="1517"/>
      <c r="FJ757" s="1515" t="str">
        <f t="shared" si="34"/>
        <v/>
      </c>
      <c r="FK757" s="1516"/>
      <c r="FL757" s="1516"/>
      <c r="FM757" s="1516"/>
      <c r="FN757" s="1517"/>
      <c r="FO757" s="1515" t="str">
        <f t="shared" si="35"/>
        <v/>
      </c>
      <c r="FP757" s="1516"/>
      <c r="FQ757" s="1516"/>
      <c r="FR757" s="1516"/>
      <c r="FS757" s="1517"/>
      <c r="FT757" s="1515" t="str">
        <f t="shared" si="36"/>
        <v/>
      </c>
      <c r="FU757" s="1516"/>
      <c r="FV757" s="1516"/>
      <c r="FW757" s="1516"/>
      <c r="FX757" s="1517"/>
      <c r="FY757" s="1515" t="str">
        <f t="shared" si="37"/>
        <v/>
      </c>
      <c r="FZ757" s="1516"/>
      <c r="GA757" s="1516"/>
      <c r="GB757" s="1516"/>
      <c r="GC757" s="1517"/>
    </row>
    <row r="758" spans="1:185" s="3" customFormat="1" ht="12.95" customHeight="1">
      <c r="A758"/>
      <c r="B758" s="1425"/>
      <c r="C758" s="1426"/>
      <c r="D758" s="1426"/>
      <c r="E758" s="1426"/>
      <c r="F758" s="1427"/>
      <c r="G758" s="1504"/>
      <c r="H758" s="1505"/>
      <c r="I758" s="1505"/>
      <c r="J758" s="1506"/>
      <c r="K758" s="1548"/>
      <c r="L758" s="1549"/>
      <c r="M758" s="1549"/>
      <c r="N758" s="1550"/>
      <c r="O758" s="1473"/>
      <c r="P758" s="1474"/>
      <c r="Q758" s="1474"/>
      <c r="R758" s="1474"/>
      <c r="S758" s="1475"/>
      <c r="T758" s="1473"/>
      <c r="U758" s="1474"/>
      <c r="V758" s="1474"/>
      <c r="W758" s="1475"/>
      <c r="X758" s="1531">
        <f t="shared" si="41"/>
        <v>0</v>
      </c>
      <c r="Y758" s="1402"/>
      <c r="Z758" s="1402"/>
      <c r="AA758" s="1402"/>
      <c r="AB758" s="1532"/>
      <c r="AC758" s="1405"/>
      <c r="AD758" s="1406"/>
      <c r="AE758" s="1406"/>
      <c r="AF758" s="1406"/>
      <c r="AG758" s="1407"/>
      <c r="AH758" s="1524" t="str">
        <f t="shared" si="38"/>
        <v/>
      </c>
      <c r="AI758" s="1525"/>
      <c r="AJ758" s="1526"/>
      <c r="AK758" s="1425" t="s">
        <v>591</v>
      </c>
      <c r="AL758" s="1426"/>
      <c r="AM758" s="1426"/>
      <c r="AN758" s="1426"/>
      <c r="AO758" s="1427"/>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15">
        <f t="shared" si="39"/>
        <v>0</v>
      </c>
      <c r="CH758" s="1517"/>
      <c r="CI758" s="1518">
        <f t="shared" si="40"/>
        <v>0</v>
      </c>
      <c r="CJ758" s="1519"/>
      <c r="CK758" s="1515">
        <f t="shared" si="18"/>
        <v>0</v>
      </c>
      <c r="CL758" s="1517"/>
      <c r="CM758" s="1518">
        <f t="shared" si="19"/>
        <v>0</v>
      </c>
      <c r="CN758" s="1519"/>
      <c r="CP758" s="1508">
        <f t="shared" si="20"/>
        <v>0</v>
      </c>
      <c r="CQ758" s="1509"/>
      <c r="CR758" s="1509"/>
      <c r="CS758" s="1509"/>
      <c r="CT758" s="1510"/>
      <c r="CU758" s="1493">
        <f t="shared" si="21"/>
        <v>0</v>
      </c>
      <c r="CV758" s="1493"/>
      <c r="CW758" s="1493"/>
      <c r="CX758" s="1493"/>
      <c r="CY758" s="1493"/>
      <c r="CZ758" s="1493">
        <f t="shared" si="22"/>
        <v>0</v>
      </c>
      <c r="DA758" s="1493"/>
      <c r="DB758" s="1493"/>
      <c r="DC758" s="1493"/>
      <c r="DD758" s="1493"/>
      <c r="DE758" s="1493">
        <f t="shared" si="23"/>
        <v>0</v>
      </c>
      <c r="DF758" s="1493"/>
      <c r="DG758" s="1493"/>
      <c r="DH758" s="1493"/>
      <c r="DI758" s="1493"/>
      <c r="DJ758" s="1493">
        <f t="shared" si="24"/>
        <v>0</v>
      </c>
      <c r="DK758" s="1493"/>
      <c r="DL758" s="1493"/>
      <c r="DM758" s="1493"/>
      <c r="DN758" s="1493"/>
      <c r="DO758" s="1493">
        <f t="shared" si="25"/>
        <v>0</v>
      </c>
      <c r="DP758" s="1493"/>
      <c r="DQ758" s="1493"/>
      <c r="DR758" s="1493"/>
      <c r="DS758" s="1493"/>
      <c r="DT758" s="6"/>
      <c r="DU758" s="1494">
        <f t="shared" si="26"/>
        <v>0</v>
      </c>
      <c r="DV758" s="1494"/>
      <c r="DW758" s="1494"/>
      <c r="DX758" s="1494"/>
      <c r="DY758" s="1494"/>
      <c r="DZ758" s="1494">
        <f t="shared" si="27"/>
        <v>0</v>
      </c>
      <c r="EA758" s="1494"/>
      <c r="EB758" s="1494"/>
      <c r="EC758" s="1494"/>
      <c r="ED758" s="1494"/>
      <c r="EE758" s="1494">
        <f t="shared" si="28"/>
        <v>0</v>
      </c>
      <c r="EF758" s="1494"/>
      <c r="EG758" s="1494"/>
      <c r="EH758" s="1494"/>
      <c r="EI758" s="1494"/>
      <c r="EJ758" s="1494">
        <f t="shared" si="29"/>
        <v>0</v>
      </c>
      <c r="EK758" s="1494"/>
      <c r="EL758" s="1494"/>
      <c r="EM758" s="1494"/>
      <c r="EN758" s="1494"/>
      <c r="EO758" s="1494">
        <f t="shared" si="30"/>
        <v>0</v>
      </c>
      <c r="EP758" s="1494"/>
      <c r="EQ758" s="1494"/>
      <c r="ER758" s="1494"/>
      <c r="ES758" s="1494"/>
      <c r="ET758" s="1494">
        <f t="shared" si="31"/>
        <v>0</v>
      </c>
      <c r="EU758" s="1494"/>
      <c r="EV758" s="1494"/>
      <c r="EW758" s="1494"/>
      <c r="EX758" s="1494"/>
      <c r="EY758"/>
      <c r="EZ758" s="1515" t="str">
        <f t="shared" si="32"/>
        <v/>
      </c>
      <c r="FA758" s="1516"/>
      <c r="FB758" s="1516"/>
      <c r="FC758" s="1516"/>
      <c r="FD758" s="1517"/>
      <c r="FE758" s="1515" t="str">
        <f t="shared" si="33"/>
        <v/>
      </c>
      <c r="FF758" s="1516"/>
      <c r="FG758" s="1516"/>
      <c r="FH758" s="1516"/>
      <c r="FI758" s="1517"/>
      <c r="FJ758" s="1515" t="str">
        <f t="shared" si="34"/>
        <v/>
      </c>
      <c r="FK758" s="1516"/>
      <c r="FL758" s="1516"/>
      <c r="FM758" s="1516"/>
      <c r="FN758" s="1517"/>
      <c r="FO758" s="1515" t="str">
        <f t="shared" si="35"/>
        <v/>
      </c>
      <c r="FP758" s="1516"/>
      <c r="FQ758" s="1516"/>
      <c r="FR758" s="1516"/>
      <c r="FS758" s="1517"/>
      <c r="FT758" s="1515" t="str">
        <f t="shared" si="36"/>
        <v/>
      </c>
      <c r="FU758" s="1516"/>
      <c r="FV758" s="1516"/>
      <c r="FW758" s="1516"/>
      <c r="FX758" s="1517"/>
      <c r="FY758" s="1515" t="str">
        <f t="shared" si="37"/>
        <v/>
      </c>
      <c r="FZ758" s="1516"/>
      <c r="GA758" s="1516"/>
      <c r="GB758" s="1516"/>
      <c r="GC758" s="1517"/>
    </row>
    <row r="759" spans="1:185" s="3" customFormat="1" ht="12.95" customHeight="1">
      <c r="A759"/>
      <c r="B759" s="1425"/>
      <c r="C759" s="1426"/>
      <c r="D759" s="1426"/>
      <c r="E759" s="1426"/>
      <c r="F759" s="1427"/>
      <c r="G759" s="1504"/>
      <c r="H759" s="1505"/>
      <c r="I759" s="1505"/>
      <c r="J759" s="1506"/>
      <c r="K759" s="1548"/>
      <c r="L759" s="1549"/>
      <c r="M759" s="1549"/>
      <c r="N759" s="1550"/>
      <c r="O759" s="1473"/>
      <c r="P759" s="1474"/>
      <c r="Q759" s="1474"/>
      <c r="R759" s="1474"/>
      <c r="S759" s="1475"/>
      <c r="T759" s="1473"/>
      <c r="U759" s="1474"/>
      <c r="V759" s="1474"/>
      <c r="W759" s="1475"/>
      <c r="X759" s="1531">
        <f t="shared" si="41"/>
        <v>0</v>
      </c>
      <c r="Y759" s="1402"/>
      <c r="Z759" s="1402"/>
      <c r="AA759" s="1402"/>
      <c r="AB759" s="1532"/>
      <c r="AC759" s="1405"/>
      <c r="AD759" s="1406"/>
      <c r="AE759" s="1406"/>
      <c r="AF759" s="1406"/>
      <c r="AG759" s="1407"/>
      <c r="AH759" s="1524" t="str">
        <f t="shared" si="38"/>
        <v/>
      </c>
      <c r="AI759" s="1525"/>
      <c r="AJ759" s="1526"/>
      <c r="AK759" s="1425" t="s">
        <v>591</v>
      </c>
      <c r="AL759" s="1426"/>
      <c r="AM759" s="1426"/>
      <c r="AN759" s="1426"/>
      <c r="AO759" s="1427"/>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15">
        <f t="shared" si="39"/>
        <v>0</v>
      </c>
      <c r="CH759" s="1517"/>
      <c r="CI759" s="1518">
        <f t="shared" si="40"/>
        <v>0</v>
      </c>
      <c r="CJ759" s="1519"/>
      <c r="CK759" s="1515">
        <f t="shared" si="18"/>
        <v>0</v>
      </c>
      <c r="CL759" s="1517"/>
      <c r="CM759" s="1518">
        <f t="shared" si="19"/>
        <v>0</v>
      </c>
      <c r="CN759" s="1519"/>
      <c r="CP759" s="1508">
        <f t="shared" si="20"/>
        <v>0</v>
      </c>
      <c r="CQ759" s="1509"/>
      <c r="CR759" s="1509"/>
      <c r="CS759" s="1509"/>
      <c r="CT759" s="1510"/>
      <c r="CU759" s="1493">
        <f t="shared" si="21"/>
        <v>0</v>
      </c>
      <c r="CV759" s="1493"/>
      <c r="CW759" s="1493"/>
      <c r="CX759" s="1493"/>
      <c r="CY759" s="1493"/>
      <c r="CZ759" s="1493">
        <f t="shared" si="22"/>
        <v>0</v>
      </c>
      <c r="DA759" s="1493"/>
      <c r="DB759" s="1493"/>
      <c r="DC759" s="1493"/>
      <c r="DD759" s="1493"/>
      <c r="DE759" s="1493">
        <f t="shared" si="23"/>
        <v>0</v>
      </c>
      <c r="DF759" s="1493"/>
      <c r="DG759" s="1493"/>
      <c r="DH759" s="1493"/>
      <c r="DI759" s="1493"/>
      <c r="DJ759" s="1493">
        <f t="shared" si="24"/>
        <v>0</v>
      </c>
      <c r="DK759" s="1493"/>
      <c r="DL759" s="1493"/>
      <c r="DM759" s="1493"/>
      <c r="DN759" s="1493"/>
      <c r="DO759" s="1493">
        <f t="shared" si="25"/>
        <v>0</v>
      </c>
      <c r="DP759" s="1493"/>
      <c r="DQ759" s="1493"/>
      <c r="DR759" s="1493"/>
      <c r="DS759" s="1493"/>
      <c r="DT759" s="6"/>
      <c r="DU759" s="1494">
        <f t="shared" si="26"/>
        <v>0</v>
      </c>
      <c r="DV759" s="1494"/>
      <c r="DW759" s="1494"/>
      <c r="DX759" s="1494"/>
      <c r="DY759" s="1494"/>
      <c r="DZ759" s="1494">
        <f t="shared" si="27"/>
        <v>0</v>
      </c>
      <c r="EA759" s="1494"/>
      <c r="EB759" s="1494"/>
      <c r="EC759" s="1494"/>
      <c r="ED759" s="1494"/>
      <c r="EE759" s="1494">
        <f t="shared" si="28"/>
        <v>0</v>
      </c>
      <c r="EF759" s="1494"/>
      <c r="EG759" s="1494"/>
      <c r="EH759" s="1494"/>
      <c r="EI759" s="1494"/>
      <c r="EJ759" s="1494">
        <f t="shared" si="29"/>
        <v>0</v>
      </c>
      <c r="EK759" s="1494"/>
      <c r="EL759" s="1494"/>
      <c r="EM759" s="1494"/>
      <c r="EN759" s="1494"/>
      <c r="EO759" s="1494">
        <f t="shared" si="30"/>
        <v>0</v>
      </c>
      <c r="EP759" s="1494"/>
      <c r="EQ759" s="1494"/>
      <c r="ER759" s="1494"/>
      <c r="ES759" s="1494"/>
      <c r="ET759" s="1494">
        <f t="shared" si="31"/>
        <v>0</v>
      </c>
      <c r="EU759" s="1494"/>
      <c r="EV759" s="1494"/>
      <c r="EW759" s="1494"/>
      <c r="EX759" s="1494"/>
      <c r="EY759"/>
      <c r="EZ759" s="1515" t="str">
        <f t="shared" si="32"/>
        <v/>
      </c>
      <c r="FA759" s="1516"/>
      <c r="FB759" s="1516"/>
      <c r="FC759" s="1516"/>
      <c r="FD759" s="1517"/>
      <c r="FE759" s="1515" t="str">
        <f t="shared" si="33"/>
        <v/>
      </c>
      <c r="FF759" s="1516"/>
      <c r="FG759" s="1516"/>
      <c r="FH759" s="1516"/>
      <c r="FI759" s="1517"/>
      <c r="FJ759" s="1515" t="str">
        <f t="shared" si="34"/>
        <v/>
      </c>
      <c r="FK759" s="1516"/>
      <c r="FL759" s="1516"/>
      <c r="FM759" s="1516"/>
      <c r="FN759" s="1517"/>
      <c r="FO759" s="1515" t="str">
        <f t="shared" si="35"/>
        <v/>
      </c>
      <c r="FP759" s="1516"/>
      <c r="FQ759" s="1516"/>
      <c r="FR759" s="1516"/>
      <c r="FS759" s="1517"/>
      <c r="FT759" s="1515" t="str">
        <f t="shared" si="36"/>
        <v/>
      </c>
      <c r="FU759" s="1516"/>
      <c r="FV759" s="1516"/>
      <c r="FW759" s="1516"/>
      <c r="FX759" s="1517"/>
      <c r="FY759" s="1515" t="str">
        <f t="shared" si="37"/>
        <v/>
      </c>
      <c r="FZ759" s="1516"/>
      <c r="GA759" s="1516"/>
      <c r="GB759" s="1516"/>
      <c r="GC759" s="1517"/>
    </row>
    <row r="760" spans="1:185" s="3" customFormat="1" ht="12.95" customHeight="1">
      <c r="A760"/>
      <c r="B760" s="1425"/>
      <c r="C760" s="1426"/>
      <c r="D760" s="1426"/>
      <c r="E760" s="1426"/>
      <c r="F760" s="1427"/>
      <c r="G760" s="1504"/>
      <c r="H760" s="1505"/>
      <c r="I760" s="1505"/>
      <c r="J760" s="1506"/>
      <c r="K760" s="1548"/>
      <c r="L760" s="1549"/>
      <c r="M760" s="1549"/>
      <c r="N760" s="1550"/>
      <c r="O760" s="1473"/>
      <c r="P760" s="1474"/>
      <c r="Q760" s="1474"/>
      <c r="R760" s="1474"/>
      <c r="S760" s="1475"/>
      <c r="T760" s="1473"/>
      <c r="U760" s="1474"/>
      <c r="V760" s="1474"/>
      <c r="W760" s="1475"/>
      <c r="X760" s="1531">
        <f>O760+T760</f>
        <v>0</v>
      </c>
      <c r="Y760" s="1402"/>
      <c r="Z760" s="1402"/>
      <c r="AA760" s="1402"/>
      <c r="AB760" s="1532"/>
      <c r="AC760" s="1405"/>
      <c r="AD760" s="1406"/>
      <c r="AE760" s="1406"/>
      <c r="AF760" s="1406"/>
      <c r="AG760" s="1407"/>
      <c r="AH760" s="1524" t="str">
        <f t="shared" si="38"/>
        <v/>
      </c>
      <c r="AI760" s="1525"/>
      <c r="AJ760" s="1526"/>
      <c r="AK760" s="1425" t="s">
        <v>591</v>
      </c>
      <c r="AL760" s="1426"/>
      <c r="AM760" s="1426"/>
      <c r="AN760" s="1426"/>
      <c r="AO760" s="1427"/>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15">
        <f t="shared" si="39"/>
        <v>0</v>
      </c>
      <c r="CH760" s="1517"/>
      <c r="CI760" s="1518">
        <f t="shared" si="40"/>
        <v>0</v>
      </c>
      <c r="CJ760" s="1519"/>
      <c r="CK760" s="1515">
        <f t="shared" si="18"/>
        <v>0</v>
      </c>
      <c r="CL760" s="1517"/>
      <c r="CM760" s="1518">
        <f t="shared" si="19"/>
        <v>0</v>
      </c>
      <c r="CN760" s="1519"/>
      <c r="CP760" s="1508">
        <f t="shared" si="20"/>
        <v>0</v>
      </c>
      <c r="CQ760" s="1509"/>
      <c r="CR760" s="1509"/>
      <c r="CS760" s="1509"/>
      <c r="CT760" s="1510"/>
      <c r="CU760" s="1493">
        <f t="shared" si="21"/>
        <v>0</v>
      </c>
      <c r="CV760" s="1493"/>
      <c r="CW760" s="1493"/>
      <c r="CX760" s="1493"/>
      <c r="CY760" s="1493"/>
      <c r="CZ760" s="1493">
        <f t="shared" si="22"/>
        <v>0</v>
      </c>
      <c r="DA760" s="1493"/>
      <c r="DB760" s="1493"/>
      <c r="DC760" s="1493"/>
      <c r="DD760" s="1493"/>
      <c r="DE760" s="1493">
        <f t="shared" si="23"/>
        <v>0</v>
      </c>
      <c r="DF760" s="1493"/>
      <c r="DG760" s="1493"/>
      <c r="DH760" s="1493"/>
      <c r="DI760" s="1493"/>
      <c r="DJ760" s="1493">
        <f t="shared" si="24"/>
        <v>0</v>
      </c>
      <c r="DK760" s="1493"/>
      <c r="DL760" s="1493"/>
      <c r="DM760" s="1493"/>
      <c r="DN760" s="1493"/>
      <c r="DO760" s="1493">
        <f t="shared" si="25"/>
        <v>0</v>
      </c>
      <c r="DP760" s="1493"/>
      <c r="DQ760" s="1493"/>
      <c r="DR760" s="1493"/>
      <c r="DS760" s="1493"/>
      <c r="DT760" s="6"/>
      <c r="DU760" s="1494">
        <f t="shared" si="26"/>
        <v>0</v>
      </c>
      <c r="DV760" s="1494"/>
      <c r="DW760" s="1494"/>
      <c r="DX760" s="1494"/>
      <c r="DY760" s="1494"/>
      <c r="DZ760" s="1494">
        <f t="shared" si="27"/>
        <v>0</v>
      </c>
      <c r="EA760" s="1494"/>
      <c r="EB760" s="1494"/>
      <c r="EC760" s="1494"/>
      <c r="ED760" s="1494"/>
      <c r="EE760" s="1494">
        <f t="shared" si="28"/>
        <v>0</v>
      </c>
      <c r="EF760" s="1494"/>
      <c r="EG760" s="1494"/>
      <c r="EH760" s="1494"/>
      <c r="EI760" s="1494"/>
      <c r="EJ760" s="1494">
        <f t="shared" si="29"/>
        <v>0</v>
      </c>
      <c r="EK760" s="1494"/>
      <c r="EL760" s="1494"/>
      <c r="EM760" s="1494"/>
      <c r="EN760" s="1494"/>
      <c r="EO760" s="1494">
        <f t="shared" si="30"/>
        <v>0</v>
      </c>
      <c r="EP760" s="1494"/>
      <c r="EQ760" s="1494"/>
      <c r="ER760" s="1494"/>
      <c r="ES760" s="1494"/>
      <c r="ET760" s="1494">
        <f t="shared" si="31"/>
        <v>0</v>
      </c>
      <c r="EU760" s="1494"/>
      <c r="EV760" s="1494"/>
      <c r="EW760" s="1494"/>
      <c r="EX760" s="1494"/>
      <c r="EY760"/>
      <c r="EZ760" s="1515" t="str">
        <f t="shared" si="32"/>
        <v/>
      </c>
      <c r="FA760" s="1516"/>
      <c r="FB760" s="1516"/>
      <c r="FC760" s="1516"/>
      <c r="FD760" s="1517"/>
      <c r="FE760" s="1515" t="str">
        <f t="shared" si="33"/>
        <v/>
      </c>
      <c r="FF760" s="1516"/>
      <c r="FG760" s="1516"/>
      <c r="FH760" s="1516"/>
      <c r="FI760" s="1517"/>
      <c r="FJ760" s="1515" t="str">
        <f t="shared" si="34"/>
        <v/>
      </c>
      <c r="FK760" s="1516"/>
      <c r="FL760" s="1516"/>
      <c r="FM760" s="1516"/>
      <c r="FN760" s="1517"/>
      <c r="FO760" s="1515" t="str">
        <f t="shared" si="35"/>
        <v/>
      </c>
      <c r="FP760" s="1516"/>
      <c r="FQ760" s="1516"/>
      <c r="FR760" s="1516"/>
      <c r="FS760" s="1517"/>
      <c r="FT760" s="1515" t="str">
        <f t="shared" si="36"/>
        <v/>
      </c>
      <c r="FU760" s="1516"/>
      <c r="FV760" s="1516"/>
      <c r="FW760" s="1516"/>
      <c r="FX760" s="1517"/>
      <c r="FY760" s="1515" t="str">
        <f t="shared" si="37"/>
        <v/>
      </c>
      <c r="FZ760" s="1516"/>
      <c r="GA760" s="1516"/>
      <c r="GB760" s="1516"/>
      <c r="GC760" s="1517"/>
    </row>
    <row r="761" spans="1:185" s="3" customFormat="1" ht="12.95" customHeight="1">
      <c r="A761"/>
      <c r="B761" s="1489" t="s">
        <v>125</v>
      </c>
      <c r="C761" s="1490"/>
      <c r="D761" s="1490"/>
      <c r="E761" s="1490"/>
      <c r="F761" s="1491"/>
      <c r="G761" s="1578">
        <f>SUM(G726:G760)</f>
        <v>58</v>
      </c>
      <c r="H761" s="1579"/>
      <c r="I761" s="1579"/>
      <c r="J761" s="1580"/>
      <c r="K761" s="898" t="s">
        <v>124</v>
      </c>
      <c r="L761" s="5"/>
      <c r="M761" s="5"/>
      <c r="N761" s="46"/>
      <c r="O761" s="1531">
        <f>SUMPRODUCT(G726:G760,O726:O760)</f>
        <v>105326.39999999999</v>
      </c>
      <c r="P761" s="1402"/>
      <c r="Q761" s="1402"/>
      <c r="R761" s="1402"/>
      <c r="S761" s="1532"/>
      <c r="T761"/>
      <c r="U761"/>
      <c r="V761"/>
      <c r="W761"/>
      <c r="X761" s="900" t="s">
        <v>900</v>
      </c>
      <c r="Y761" s="899"/>
      <c r="Z761" s="899"/>
      <c r="AA761" s="899"/>
      <c r="AB761" s="901"/>
      <c r="AC761" s="1636">
        <f>BH761</f>
        <v>0.59999999999999987</v>
      </c>
      <c r="AD761" s="1637"/>
      <c r="AE761" s="1637"/>
      <c r="AF761" s="1637"/>
      <c r="AG761" s="1638"/>
      <c r="AH761" s="1636">
        <f>IFERROR(BU761,"")</f>
        <v>0.60002126065563799</v>
      </c>
      <c r="AI761" s="1637"/>
      <c r="AJ761" s="1638"/>
      <c r="AK761"/>
      <c r="AL761"/>
      <c r="AM761"/>
      <c r="AN761"/>
      <c r="AO761"/>
      <c r="AP761" s="205"/>
      <c r="AQ761" s="205"/>
      <c r="AR761" s="205"/>
      <c r="AS761" s="205"/>
      <c r="AT761"/>
      <c r="AU761"/>
      <c r="AV761"/>
      <c r="AW761"/>
      <c r="AX761"/>
      <c r="AY761"/>
      <c r="AZ761" s="34"/>
      <c r="BA761" s="34"/>
      <c r="BB761" s="34"/>
      <c r="BC761" s="34"/>
      <c r="BE761" s="290" t="s">
        <v>899</v>
      </c>
      <c r="BF761" s="299">
        <f>SUM(BF726:BF760)</f>
        <v>58</v>
      </c>
      <c r="BG761" s="300">
        <f>SUM(BG726:BG760)</f>
        <v>1.0000000000000002</v>
      </c>
      <c r="BH761" s="300">
        <f>SUM(BH726:BH760)</f>
        <v>0.59999999999999987</v>
      </c>
      <c r="BI761"/>
      <c r="BJ761"/>
      <c r="BK761"/>
      <c r="BL761"/>
      <c r="BO761"/>
      <c r="BP761"/>
      <c r="BQ761"/>
      <c r="BR761"/>
      <c r="BS761" s="855">
        <f>SUM(BS726:BS760)</f>
        <v>58</v>
      </c>
      <c r="BT761" s="300">
        <f>SUM(BT726:BT760)</f>
        <v>1.0000000000000002</v>
      </c>
      <c r="BU761" s="300">
        <f>SUM(BU726:BU760)</f>
        <v>0.60002126065563799</v>
      </c>
      <c r="CI761" s="1515">
        <f>SUM(CI726:CJ760)</f>
        <v>9</v>
      </c>
      <c r="CJ761" s="1517"/>
      <c r="CM761" s="1515">
        <f>SUM(CM726:CN760)</f>
        <v>10</v>
      </c>
      <c r="CN761" s="1517"/>
      <c r="CP761" s="1515">
        <f>SUM(CP726:CT760)</f>
        <v>7</v>
      </c>
      <c r="CQ761" s="1516"/>
      <c r="CR761" s="1516"/>
      <c r="CS761" s="1516"/>
      <c r="CT761" s="1517"/>
      <c r="CU761" s="1507">
        <f>SUM(CU726:CY760)</f>
        <v>37</v>
      </c>
      <c r="CV761" s="1507"/>
      <c r="CW761" s="1507"/>
      <c r="CX761" s="1507"/>
      <c r="CY761" s="1507"/>
      <c r="CZ761" s="1507">
        <f>SUM(CZ726:DD760)</f>
        <v>7</v>
      </c>
      <c r="DA761" s="1507"/>
      <c r="DB761" s="1507"/>
      <c r="DC761" s="1507"/>
      <c r="DD761" s="1507"/>
      <c r="DE761" s="1507">
        <f>SUM(DE726:DI760)</f>
        <v>7</v>
      </c>
      <c r="DF761" s="1507"/>
      <c r="DG761" s="1507"/>
      <c r="DH761" s="1507"/>
      <c r="DI761" s="1507"/>
      <c r="DJ761" s="1507">
        <f>SUM(DJ726:DN760)</f>
        <v>0</v>
      </c>
      <c r="DK761" s="1507"/>
      <c r="DL761" s="1507"/>
      <c r="DM761" s="1507"/>
      <c r="DN761" s="1507"/>
      <c r="DO761" s="1507">
        <f>SUM(DO726:DS760)</f>
        <v>0</v>
      </c>
      <c r="DP761" s="1507"/>
      <c r="DQ761" s="1507"/>
      <c r="DR761" s="1507"/>
      <c r="DS761" s="1507"/>
      <c r="DT761" s="354"/>
      <c r="DU761" s="1507">
        <f>SUM(DU726:DY760)</f>
        <v>3</v>
      </c>
      <c r="DV761" s="1507"/>
      <c r="DW761" s="1507"/>
      <c r="DX761" s="1507"/>
      <c r="DY761" s="1507"/>
      <c r="DZ761" s="1507">
        <f>SUM(DZ726:ED760)</f>
        <v>5</v>
      </c>
      <c r="EA761" s="1507"/>
      <c r="EB761" s="1507"/>
      <c r="EC761" s="1507"/>
      <c r="ED761" s="1507"/>
      <c r="EE761" s="1507">
        <f>SUM(EE726:EI760)</f>
        <v>1</v>
      </c>
      <c r="EF761" s="1507"/>
      <c r="EG761" s="1507"/>
      <c r="EH761" s="1507"/>
      <c r="EI761" s="1507"/>
      <c r="EJ761" s="1507">
        <f>SUM(EJ726:EN760)</f>
        <v>1</v>
      </c>
      <c r="EK761" s="1507"/>
      <c r="EL761" s="1507"/>
      <c r="EM761" s="1507"/>
      <c r="EN761" s="1507"/>
      <c r="EO761" s="1507">
        <f>SUM(EO726:ES760)</f>
        <v>0</v>
      </c>
      <c r="EP761" s="1507"/>
      <c r="EQ761" s="1507"/>
      <c r="ER761" s="1507"/>
      <c r="ES761" s="1507"/>
      <c r="ET761" s="1507">
        <f>SUM(ET726:EX760)</f>
        <v>0</v>
      </c>
      <c r="EU761" s="1507"/>
      <c r="EV761" s="1507"/>
      <c r="EW761" s="1507"/>
      <c r="EX761" s="1507"/>
      <c r="EY761"/>
      <c r="EZ761" s="1507">
        <f>SUM(EZ726:FD760)</f>
        <v>3975</v>
      </c>
      <c r="FA761" s="1507"/>
      <c r="FB761" s="1507"/>
      <c r="FC761" s="1507"/>
      <c r="FD761" s="1507"/>
      <c r="FE761" s="1507">
        <f>SUM(FE726:FI760)</f>
        <v>4260</v>
      </c>
      <c r="FF761" s="1507"/>
      <c r="FG761" s="1507"/>
      <c r="FH761" s="1507"/>
      <c r="FI761" s="1507"/>
      <c r="FJ761" s="1507">
        <f>SUM(FJ726:FN760)</f>
        <v>5110</v>
      </c>
      <c r="FK761" s="1507"/>
      <c r="FL761" s="1507"/>
      <c r="FM761" s="1507"/>
      <c r="FN761" s="1507"/>
      <c r="FO761" s="1507">
        <f>SUM(FO726:FS760)</f>
        <v>5907</v>
      </c>
      <c r="FP761" s="1507"/>
      <c r="FQ761" s="1507"/>
      <c r="FR761" s="1507"/>
      <c r="FS761" s="1507"/>
      <c r="FT761" s="1507">
        <f>SUM(FT726:FX760)</f>
        <v>0</v>
      </c>
      <c r="FU761" s="1507"/>
      <c r="FV761" s="1507"/>
      <c r="FW761" s="1507"/>
      <c r="FX761" s="1507"/>
      <c r="FY761" s="1507">
        <f>SUM(FY726:GC760)</f>
        <v>0</v>
      </c>
      <c r="FZ761" s="1507"/>
      <c r="GA761" s="1507"/>
      <c r="GB761" s="1507"/>
      <c r="GC761" s="1507"/>
    </row>
    <row r="762" spans="1:185" s="3" customFormat="1" ht="12.95" customHeight="1">
      <c r="A762"/>
      <c r="B762" s="1604" t="s">
        <v>1866</v>
      </c>
      <c r="C762" s="1604"/>
      <c r="D762" s="1604"/>
      <c r="E762" s="1604"/>
      <c r="F762" s="1604"/>
      <c r="G762" s="1604"/>
      <c r="H762" s="1604"/>
      <c r="I762" s="1604"/>
      <c r="J762" s="1604"/>
      <c r="K762" s="1604"/>
      <c r="L762" s="1604"/>
      <c r="M762" s="1604"/>
      <c r="N762" s="1604"/>
      <c r="O762" s="1604"/>
      <c r="P762" s="1604"/>
      <c r="Q762" s="1604"/>
      <c r="R762" s="1604"/>
      <c r="S762" s="1604"/>
      <c r="T762" s="1604"/>
      <c r="U762" s="1604"/>
      <c r="V762" s="1604"/>
      <c r="W762" s="1604"/>
      <c r="X762" s="1604"/>
      <c r="Y762" s="1604"/>
      <c r="Z762" s="1604"/>
      <c r="AA762" s="1604"/>
      <c r="AB762" s="1604"/>
      <c r="AC762" s="1604"/>
      <c r="AD762" s="1604"/>
      <c r="AE762" s="1604"/>
      <c r="AF762" s="1604"/>
      <c r="AG762" s="1604"/>
      <c r="AH762" s="1604"/>
      <c r="AI762"/>
      <c r="AJ762"/>
      <c r="AK762"/>
      <c r="AT762"/>
      <c r="AU762"/>
      <c r="AV762"/>
      <c r="AW762"/>
      <c r="AX762"/>
      <c r="AY762"/>
      <c r="CD762"/>
      <c r="DN762" s="56" t="s">
        <v>1834</v>
      </c>
      <c r="DO762" s="1515">
        <f>CP761+CU761+CZ761+DE761+DJ761+DO761</f>
        <v>58</v>
      </c>
      <c r="DP762" s="1516"/>
      <c r="DQ762" s="1516"/>
      <c r="DR762" s="1516"/>
      <c r="DS762" s="151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04"/>
      <c r="C763" s="1604"/>
      <c r="D763" s="1604"/>
      <c r="E763" s="1604"/>
      <c r="F763" s="1604"/>
      <c r="G763" s="1604"/>
      <c r="H763" s="1604"/>
      <c r="I763" s="1604"/>
      <c r="J763" s="1604"/>
      <c r="K763" s="1604"/>
      <c r="L763" s="1604"/>
      <c r="M763" s="1604"/>
      <c r="N763" s="1604"/>
      <c r="O763" s="1604"/>
      <c r="P763" s="1604"/>
      <c r="Q763" s="1604"/>
      <c r="R763" s="1604"/>
      <c r="S763" s="1604"/>
      <c r="T763" s="1604"/>
      <c r="U763" s="1604"/>
      <c r="V763" s="1604"/>
      <c r="W763" s="1604"/>
      <c r="X763" s="1604"/>
      <c r="Y763" s="1604"/>
      <c r="Z763" s="1604"/>
      <c r="AA763" s="1604"/>
      <c r="AB763" s="1604"/>
      <c r="AC763" s="1604"/>
      <c r="AD763" s="1604"/>
      <c r="AE763" s="1604"/>
      <c r="AF763" s="1604"/>
      <c r="AG763" s="1604"/>
      <c r="AH763" s="160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7</v>
      </c>
      <c r="CU763" s="3"/>
      <c r="CV763" s="3"/>
      <c r="CW763" s="3"/>
      <c r="CX763" s="3"/>
      <c r="CY763" s="857">
        <f>CU761*1</f>
        <v>37</v>
      </c>
      <c r="CZ763" s="3"/>
      <c r="DA763" s="3"/>
      <c r="DB763" s="3"/>
      <c r="DC763" s="3"/>
      <c r="DD763" s="857">
        <f>CZ761*2</f>
        <v>14</v>
      </c>
      <c r="DE763" s="3"/>
      <c r="DF763" s="3"/>
      <c r="DG763" s="3"/>
      <c r="DH763" s="3"/>
      <c r="DI763" s="857">
        <f>DE761*3</f>
        <v>21</v>
      </c>
      <c r="DJ763" s="3"/>
      <c r="DK763" s="3"/>
      <c r="DL763" s="3"/>
      <c r="DM763" s="3"/>
      <c r="DN763" s="857">
        <f>DJ761*4</f>
        <v>0</v>
      </c>
      <c r="DO763" s="3"/>
      <c r="DP763" s="3"/>
      <c r="DQ763" s="3"/>
      <c r="DR763" s="3"/>
      <c r="DS763" s="857">
        <f>DO761*5</f>
        <v>0</v>
      </c>
      <c r="DU763" s="857">
        <f>CT763+CY763+DD763+DI763+DN763+DS763</f>
        <v>79</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507">
        <f>DU763</f>
        <v>79</v>
      </c>
      <c r="P764" s="1507"/>
      <c r="Q764" s="1507"/>
      <c r="R764" s="1507"/>
      <c r="S764" s="965"/>
      <c r="T764" s="965"/>
      <c r="U764" s="118" t="s">
        <v>1865</v>
      </c>
      <c r="V764" s="1027"/>
      <c r="W764" s="1027"/>
      <c r="X764" s="1027"/>
      <c r="Y764" s="1028"/>
      <c r="Z764" s="1028"/>
      <c r="AA764" s="1028"/>
      <c r="AB764" s="1028"/>
      <c r="AC764" s="1027"/>
      <c r="AD764" s="1027"/>
      <c r="AE764" s="1027"/>
      <c r="AF764" s="1027"/>
      <c r="AG764" s="1635">
        <v>0</v>
      </c>
      <c r="AH764" s="1635"/>
      <c r="AI764" s="1635"/>
      <c r="AJ764" s="163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32" t="str">
        <f>IF(G761&lt;&gt;AG449,"! Total Low-Income Units in the Unit Mix Table above does not match the number of Total Low-Income Units on row #"&amp;TEXT(ROW(D449),"#"),"")</f>
        <v/>
      </c>
      <c r="D765" s="1332"/>
      <c r="E765" s="1332"/>
      <c r="F765" s="1332"/>
      <c r="G765" s="1332"/>
      <c r="H765" s="1332"/>
      <c r="I765" s="1332"/>
      <c r="J765" s="1332"/>
      <c r="K765" s="1332"/>
      <c r="L765" s="1332"/>
      <c r="M765" s="1332"/>
      <c r="N765" s="1332"/>
      <c r="O765" s="1332"/>
      <c r="P765" s="1332"/>
      <c r="Q765" s="1332"/>
      <c r="R765" s="1332"/>
      <c r="S765" s="1332"/>
      <c r="T765" s="1332"/>
      <c r="U765" s="1332"/>
      <c r="V765" s="1332"/>
      <c r="W765" s="1332"/>
      <c r="X765" s="1332"/>
      <c r="Y765" s="1332"/>
      <c r="Z765" s="1332"/>
      <c r="AA765" s="1332"/>
      <c r="AB765" s="1332"/>
      <c r="AC765" s="1332"/>
      <c r="AD765" s="1332"/>
      <c r="AE765" s="1332"/>
      <c r="AF765" s="1332"/>
      <c r="AG765" s="1332"/>
      <c r="AH765" s="1332"/>
      <c r="AI765" s="1332"/>
      <c r="AJ765" s="1332"/>
      <c r="AK765" s="1332"/>
      <c r="AL765" s="1332"/>
      <c r="AM765" s="1332"/>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32"/>
      <c r="D766" s="1332"/>
      <c r="E766" s="1332"/>
      <c r="F766" s="1332"/>
      <c r="G766" s="1332"/>
      <c r="H766" s="1332"/>
      <c r="I766" s="1332"/>
      <c r="J766" s="1332"/>
      <c r="K766" s="1332"/>
      <c r="L766" s="1332"/>
      <c r="M766" s="1332"/>
      <c r="N766" s="1332"/>
      <c r="O766" s="1332"/>
      <c r="P766" s="1332"/>
      <c r="Q766" s="1332"/>
      <c r="R766" s="1332"/>
      <c r="S766" s="1332"/>
      <c r="T766" s="1332"/>
      <c r="U766" s="1332"/>
      <c r="V766" s="1332"/>
      <c r="W766" s="1332"/>
      <c r="X766" s="1332"/>
      <c r="Y766" s="1332"/>
      <c r="Z766" s="1332"/>
      <c r="AA766" s="1332"/>
      <c r="AB766" s="1332"/>
      <c r="AC766" s="1332"/>
      <c r="AD766" s="1332"/>
      <c r="AE766" s="1332"/>
      <c r="AF766" s="1332"/>
      <c r="AG766" s="1332"/>
      <c r="AH766" s="1332"/>
      <c r="AI766" s="1332"/>
      <c r="AJ766" s="1332"/>
      <c r="AK766" s="1332"/>
      <c r="AL766" s="1332"/>
      <c r="AM766" s="1332"/>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581" t="s">
        <v>591</v>
      </c>
      <c r="AE767" s="1581"/>
      <c r="AF767" s="1581"/>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385" t="s">
        <v>2044</v>
      </c>
      <c r="D771" s="1385"/>
      <c r="E771" s="1385"/>
      <c r="F771" s="1385"/>
      <c r="G771" s="1385"/>
      <c r="H771" s="1385"/>
      <c r="I771" s="1385"/>
      <c r="J771" s="1385"/>
      <c r="K771" s="1385"/>
      <c r="L771" s="1385"/>
      <c r="M771" s="1385"/>
      <c r="N771" s="1385"/>
      <c r="O771" s="1385"/>
      <c r="P771" s="1385"/>
      <c r="Q771" s="1385"/>
      <c r="R771" s="1385"/>
      <c r="S771" s="1385"/>
      <c r="T771" s="1385"/>
      <c r="U771" s="1385"/>
      <c r="V771" s="1385"/>
      <c r="W771" s="1385"/>
      <c r="X771" s="1385"/>
      <c r="Y771" s="1385"/>
      <c r="Z771" s="1385"/>
      <c r="AA771" s="1385"/>
      <c r="AB771" s="1385"/>
      <c r="AC771" s="1385"/>
      <c r="AD771" s="1385"/>
      <c r="AE771" s="1385"/>
      <c r="AF771" s="1385"/>
      <c r="AG771" s="1385"/>
      <c r="AH771" s="1385"/>
      <c r="AI771" s="1385"/>
      <c r="AJ771" s="1385"/>
      <c r="AK771" s="1385"/>
      <c r="AL771" s="1385"/>
      <c r="AM771" s="1385"/>
      <c r="AN771" s="1385"/>
      <c r="AO771" s="1385"/>
      <c r="AP771" s="1385"/>
      <c r="AQ771" s="1385"/>
      <c r="AR771" s="138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385"/>
      <c r="D772" s="1385"/>
      <c r="E772" s="1385"/>
      <c r="F772" s="1385"/>
      <c r="G772" s="1385"/>
      <c r="H772" s="1385"/>
      <c r="I772" s="1385"/>
      <c r="J772" s="1385"/>
      <c r="K772" s="1385"/>
      <c r="L772" s="1385"/>
      <c r="M772" s="1385"/>
      <c r="N772" s="1385"/>
      <c r="O772" s="1385"/>
      <c r="P772" s="1385"/>
      <c r="Q772" s="1385"/>
      <c r="R772" s="1385"/>
      <c r="S772" s="1385"/>
      <c r="T772" s="1385"/>
      <c r="U772" s="1385"/>
      <c r="V772" s="1385"/>
      <c r="W772" s="1385"/>
      <c r="X772" s="1385"/>
      <c r="Y772" s="1385"/>
      <c r="Z772" s="1385"/>
      <c r="AA772" s="1385"/>
      <c r="AB772" s="1385"/>
      <c r="AC772" s="1385"/>
      <c r="AD772" s="1385"/>
      <c r="AE772" s="1385"/>
      <c r="AF772" s="1385"/>
      <c r="AG772" s="1385"/>
      <c r="AH772" s="1385"/>
      <c r="AI772" s="1385"/>
      <c r="AJ772" s="1385"/>
      <c r="AK772" s="1385"/>
      <c r="AL772" s="1385"/>
      <c r="AM772" s="1385"/>
      <c r="AN772" s="1385"/>
      <c r="AO772" s="1385"/>
      <c r="AP772" s="1385"/>
      <c r="AQ772" s="1385"/>
      <c r="AR772" s="138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385"/>
      <c r="D773" s="1385"/>
      <c r="E773" s="1385"/>
      <c r="F773" s="1385"/>
      <c r="G773" s="1385"/>
      <c r="H773" s="1385"/>
      <c r="I773" s="1385"/>
      <c r="J773" s="1385"/>
      <c r="K773" s="1385"/>
      <c r="L773" s="1385"/>
      <c r="M773" s="1385"/>
      <c r="N773" s="1385"/>
      <c r="O773" s="1385"/>
      <c r="P773" s="1385"/>
      <c r="Q773" s="1385"/>
      <c r="R773" s="1385"/>
      <c r="S773" s="1385"/>
      <c r="T773" s="1385"/>
      <c r="U773" s="1385"/>
      <c r="V773" s="1385"/>
      <c r="W773" s="1385"/>
      <c r="X773" s="1385"/>
      <c r="Y773" s="1385"/>
      <c r="Z773" s="1385"/>
      <c r="AA773" s="1385"/>
      <c r="AB773" s="1385"/>
      <c r="AC773" s="1385"/>
      <c r="AD773" s="1385"/>
      <c r="AE773" s="1385"/>
      <c r="AF773" s="1385"/>
      <c r="AG773" s="1385"/>
      <c r="AH773" s="1385"/>
      <c r="AI773" s="1385"/>
      <c r="AJ773" s="1385"/>
      <c r="AK773" s="1385"/>
      <c r="AL773" s="1385"/>
      <c r="AM773" s="1385"/>
      <c r="AN773" s="1385"/>
      <c r="AO773" s="1385"/>
      <c r="AP773" s="1385"/>
      <c r="AQ773" s="1385"/>
      <c r="AR773" s="138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385" t="s">
        <v>2045</v>
      </c>
      <c r="D774" s="1385"/>
      <c r="E774" s="1385"/>
      <c r="F774" s="1385"/>
      <c r="G774" s="1385"/>
      <c r="H774" s="1385"/>
      <c r="I774" s="1385"/>
      <c r="J774" s="1385"/>
      <c r="K774" s="1385"/>
      <c r="L774" s="1385"/>
      <c r="M774" s="1385"/>
      <c r="N774" s="1385"/>
      <c r="O774" s="1385"/>
      <c r="P774" s="1385"/>
      <c r="Q774" s="1385"/>
      <c r="R774" s="1385"/>
      <c r="S774" s="1385"/>
      <c r="T774" s="1385"/>
      <c r="U774" s="1385"/>
      <c r="V774" s="1385"/>
      <c r="W774" s="1385"/>
      <c r="X774" s="1385"/>
      <c r="Y774" s="1385"/>
      <c r="Z774" s="1385"/>
      <c r="AA774" s="1385"/>
      <c r="AB774" s="1385"/>
      <c r="AC774" s="1385"/>
      <c r="AD774" s="1385"/>
      <c r="AE774" s="1385"/>
      <c r="AF774" s="1385"/>
      <c r="AG774" s="1385"/>
      <c r="AH774" s="1385"/>
      <c r="AI774" s="1385"/>
      <c r="AJ774" s="1385"/>
      <c r="AK774" s="1385"/>
      <c r="AL774" s="1385"/>
      <c r="AM774" s="1385"/>
      <c r="AN774" s="1385"/>
      <c r="AO774" s="1385"/>
      <c r="AP774" s="1385"/>
      <c r="AQ774" s="1385"/>
      <c r="AR774" s="138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385"/>
      <c r="D775" s="1385"/>
      <c r="E775" s="1385"/>
      <c r="F775" s="1385"/>
      <c r="G775" s="1385"/>
      <c r="H775" s="1385"/>
      <c r="I775" s="1385"/>
      <c r="J775" s="1385"/>
      <c r="K775" s="1385"/>
      <c r="L775" s="1385"/>
      <c r="M775" s="1385"/>
      <c r="N775" s="1385"/>
      <c r="O775" s="1385"/>
      <c r="P775" s="1385"/>
      <c r="Q775" s="1385"/>
      <c r="R775" s="1385"/>
      <c r="S775" s="1385"/>
      <c r="T775" s="1385"/>
      <c r="U775" s="1385"/>
      <c r="V775" s="1385"/>
      <c r="W775" s="1385"/>
      <c r="X775" s="1385"/>
      <c r="Y775" s="1385"/>
      <c r="Z775" s="1385"/>
      <c r="AA775" s="1385"/>
      <c r="AB775" s="1385"/>
      <c r="AC775" s="1385"/>
      <c r="AD775" s="1385"/>
      <c r="AE775" s="1385"/>
      <c r="AF775" s="1385"/>
      <c r="AG775" s="1385"/>
      <c r="AH775" s="1385"/>
      <c r="AI775" s="1385"/>
      <c r="AJ775" s="1385"/>
      <c r="AK775" s="1385"/>
      <c r="AL775" s="1385"/>
      <c r="AM775" s="1385"/>
      <c r="AN775" s="1385"/>
      <c r="AO775" s="1385"/>
      <c r="AP775" s="1385"/>
      <c r="AQ775" s="1385"/>
      <c r="AR775" s="138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385"/>
      <c r="D776" s="1385"/>
      <c r="E776" s="1385"/>
      <c r="F776" s="1385"/>
      <c r="G776" s="1385"/>
      <c r="H776" s="1385"/>
      <c r="I776" s="1385"/>
      <c r="J776" s="1385"/>
      <c r="K776" s="1385"/>
      <c r="L776" s="1385"/>
      <c r="M776" s="1385"/>
      <c r="N776" s="1385"/>
      <c r="O776" s="1385"/>
      <c r="P776" s="1385"/>
      <c r="Q776" s="1385"/>
      <c r="R776" s="1385"/>
      <c r="S776" s="1385"/>
      <c r="T776" s="1385"/>
      <c r="U776" s="1385"/>
      <c r="V776" s="1385"/>
      <c r="W776" s="1385"/>
      <c r="X776" s="1385"/>
      <c r="Y776" s="1385"/>
      <c r="Z776" s="1385"/>
      <c r="AA776" s="1385"/>
      <c r="AB776" s="1385"/>
      <c r="AC776" s="1385"/>
      <c r="AD776" s="1385"/>
      <c r="AE776" s="1385"/>
      <c r="AF776" s="1385"/>
      <c r="AG776" s="1385"/>
      <c r="AH776" s="1385"/>
      <c r="AI776" s="1385"/>
      <c r="AJ776" s="1385"/>
      <c r="AK776" s="1385"/>
      <c r="AL776" s="1385"/>
      <c r="AM776" s="1385"/>
      <c r="AN776" s="1385"/>
      <c r="AO776" s="1385"/>
      <c r="AP776" s="1385"/>
      <c r="AQ776" s="1385"/>
      <c r="AR776" s="138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91" t="s">
        <v>389</v>
      </c>
      <c r="K777" s="1496"/>
      <c r="L777" s="1496"/>
      <c r="M777" s="1496"/>
      <c r="N777" s="1497"/>
      <c r="O777" s="1290" t="s">
        <v>285</v>
      </c>
      <c r="P777" s="1290"/>
      <c r="Q777" s="1290"/>
      <c r="R777" s="1290"/>
      <c r="S777" s="1290"/>
      <c r="T777" s="1626" t="s">
        <v>1668</v>
      </c>
      <c r="U777" s="1627"/>
      <c r="V777" s="1627"/>
      <c r="W777" s="1628"/>
      <c r="X777" s="1591" t="s">
        <v>447</v>
      </c>
      <c r="Y777" s="1496"/>
      <c r="Z777" s="1496"/>
      <c r="AA777" s="1496"/>
      <c r="AB777" s="1497"/>
      <c r="AC777" s="1591" t="s">
        <v>286</v>
      </c>
      <c r="AD777" s="1496"/>
      <c r="AE777" s="1496"/>
      <c r="AF777" s="1496"/>
      <c r="AG777" s="149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98"/>
      <c r="K778" s="1499"/>
      <c r="L778" s="1499"/>
      <c r="M778" s="1499"/>
      <c r="N778" s="1500"/>
      <c r="O778" s="1290"/>
      <c r="P778" s="1290"/>
      <c r="Q778" s="1290"/>
      <c r="R778" s="1290"/>
      <c r="S778" s="1290"/>
      <c r="T778" s="1629"/>
      <c r="U778" s="1630"/>
      <c r="V778" s="1630"/>
      <c r="W778" s="1631"/>
      <c r="X778" s="1498"/>
      <c r="Y778" s="1499"/>
      <c r="Z778" s="1499"/>
      <c r="AA778" s="1499"/>
      <c r="AB778" s="1500"/>
      <c r="AC778" s="1498"/>
      <c r="AD778" s="1499"/>
      <c r="AE778" s="1499"/>
      <c r="AF778" s="1499"/>
      <c r="AG778" s="150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98"/>
      <c r="K779" s="1499"/>
      <c r="L779" s="1499"/>
      <c r="M779" s="1499"/>
      <c r="N779" s="1500"/>
      <c r="O779" s="1290"/>
      <c r="P779" s="1290"/>
      <c r="Q779" s="1290"/>
      <c r="R779" s="1290"/>
      <c r="S779" s="1290"/>
      <c r="T779" s="1629"/>
      <c r="U779" s="1630"/>
      <c r="V779" s="1630"/>
      <c r="W779" s="1631"/>
      <c r="X779" s="1498"/>
      <c r="Y779" s="1499"/>
      <c r="Z779" s="1499"/>
      <c r="AA779" s="1499"/>
      <c r="AB779" s="1500"/>
      <c r="AC779" s="1498"/>
      <c r="AD779" s="1499"/>
      <c r="AE779" s="1499"/>
      <c r="AF779" s="1499"/>
      <c r="AG779" s="150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501"/>
      <c r="K780" s="1502"/>
      <c r="L780" s="1502"/>
      <c r="M780" s="1502"/>
      <c r="N780" s="1503"/>
      <c r="O780" s="1290"/>
      <c r="P780" s="1290"/>
      <c r="Q780" s="1290"/>
      <c r="R780" s="1290"/>
      <c r="S780" s="1290"/>
      <c r="T780" s="1632"/>
      <c r="U780" s="1633"/>
      <c r="V780" s="1633"/>
      <c r="W780" s="1634"/>
      <c r="X780" s="1501"/>
      <c r="Y780" s="1502"/>
      <c r="Z780" s="1502"/>
      <c r="AA780" s="1502"/>
      <c r="AB780" s="1503"/>
      <c r="AC780" s="1501"/>
      <c r="AD780" s="1502"/>
      <c r="AE780" s="1502"/>
      <c r="AF780" s="1502"/>
      <c r="AG780" s="150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425" t="s">
        <v>325</v>
      </c>
      <c r="K781" s="1426"/>
      <c r="L781" s="1426"/>
      <c r="M781" s="1426"/>
      <c r="N781" s="1427"/>
      <c r="O781" s="1289">
        <v>1</v>
      </c>
      <c r="P781" s="1289"/>
      <c r="Q781" s="1289"/>
      <c r="R781" s="1289"/>
      <c r="S781" s="1289"/>
      <c r="T781" s="1548">
        <v>468</v>
      </c>
      <c r="U781" s="1549"/>
      <c r="V781" s="1549"/>
      <c r="W781" s="1550"/>
      <c r="X781" s="1473">
        <v>1700</v>
      </c>
      <c r="Y781" s="1474"/>
      <c r="Z781" s="1474"/>
      <c r="AA781" s="1474"/>
      <c r="AB781" s="1475"/>
      <c r="AC781" s="1531">
        <f>X781*O781</f>
        <v>1700</v>
      </c>
      <c r="AD781" s="1402"/>
      <c r="AE781" s="1402"/>
      <c r="AF781" s="1402"/>
      <c r="AG781" s="1532"/>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08">
        <f>IF(J781="SRO/Studio",O781,0)</f>
        <v>0</v>
      </c>
      <c r="CQ781" s="1509"/>
      <c r="CR781" s="1509"/>
      <c r="CS781" s="1509"/>
      <c r="CT781" s="1510"/>
      <c r="CU781" s="1493">
        <f>IF(J781="1 Bedroom",O781,0)</f>
        <v>1</v>
      </c>
      <c r="CV781" s="1493"/>
      <c r="CW781" s="1493"/>
      <c r="CX781" s="1493"/>
      <c r="CY781" s="1493"/>
      <c r="CZ781" s="1493">
        <f>IF(J781="2 Bedrooms",O781,0)</f>
        <v>0</v>
      </c>
      <c r="DA781" s="1493"/>
      <c r="DB781" s="1493"/>
      <c r="DC781" s="1493"/>
      <c r="DD781" s="1493"/>
      <c r="DE781" s="1493">
        <f>IF(J781="3 Bedrooms",O781,0)</f>
        <v>0</v>
      </c>
      <c r="DF781" s="1493"/>
      <c r="DG781" s="1493"/>
      <c r="DH781" s="1493"/>
      <c r="DI781" s="1493"/>
      <c r="DJ781" s="1493">
        <f>IF(J781="4 Bedrooms",O781,0)</f>
        <v>0</v>
      </c>
      <c r="DK781" s="1493"/>
      <c r="DL781" s="1493"/>
      <c r="DM781" s="1493"/>
      <c r="DN781" s="1493"/>
      <c r="DO781" s="1493">
        <f>IF(J781="5 Bedrooms",O781,0)</f>
        <v>0</v>
      </c>
      <c r="DP781" s="1493"/>
      <c r="DQ781" s="1493"/>
      <c r="DR781" s="1493"/>
      <c r="DS781" s="1493"/>
      <c r="DT781" s="6"/>
      <c r="DU781" s="3"/>
      <c r="DV781" s="3"/>
    </row>
    <row r="782" spans="1:159" ht="12.95" customHeight="1">
      <c r="J782" s="1425"/>
      <c r="K782" s="1426"/>
      <c r="L782" s="1426"/>
      <c r="M782" s="1426"/>
      <c r="N782" s="1427"/>
      <c r="O782" s="1289"/>
      <c r="P782" s="1289"/>
      <c r="Q782" s="1289"/>
      <c r="R782" s="1289"/>
      <c r="S782" s="1289"/>
      <c r="T782" s="1548"/>
      <c r="U782" s="1549"/>
      <c r="V782" s="1549"/>
      <c r="W782" s="1550"/>
      <c r="X782" s="1473"/>
      <c r="Y782" s="1474"/>
      <c r="Z782" s="1474"/>
      <c r="AA782" s="1474"/>
      <c r="AB782" s="1475"/>
      <c r="AC782" s="1531">
        <f>X782*O782</f>
        <v>0</v>
      </c>
      <c r="AD782" s="1402"/>
      <c r="AE782" s="1402"/>
      <c r="AF782" s="1402"/>
      <c r="AG782" s="1532"/>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08">
        <f>IF(J782="SRO/Studio",O782,0)</f>
        <v>0</v>
      </c>
      <c r="CQ782" s="1509"/>
      <c r="CR782" s="1509"/>
      <c r="CS782" s="1509"/>
      <c r="CT782" s="1510"/>
      <c r="CU782" s="1493">
        <f>IF(J782="1 Bedroom",O782,0)</f>
        <v>0</v>
      </c>
      <c r="CV782" s="1493"/>
      <c r="CW782" s="1493"/>
      <c r="CX782" s="1493"/>
      <c r="CY782" s="1493"/>
      <c r="CZ782" s="1493">
        <f>IF(J782="2 Bedrooms",O782,0)</f>
        <v>0</v>
      </c>
      <c r="DA782" s="1493"/>
      <c r="DB782" s="1493"/>
      <c r="DC782" s="1493"/>
      <c r="DD782" s="1493"/>
      <c r="DE782" s="1493">
        <f>IF(J782="3 Bedrooms",O782,0)</f>
        <v>0</v>
      </c>
      <c r="DF782" s="1493"/>
      <c r="DG782" s="1493"/>
      <c r="DH782" s="1493"/>
      <c r="DI782" s="1493"/>
      <c r="DJ782" s="1493">
        <f>IF(J782="4 Bedrooms",O782,0)</f>
        <v>0</v>
      </c>
      <c r="DK782" s="1493"/>
      <c r="DL782" s="1493"/>
      <c r="DM782" s="1493"/>
      <c r="DN782" s="1493"/>
      <c r="DO782" s="1493">
        <f>IF(J782="5 Bedrooms",O782,0)</f>
        <v>0</v>
      </c>
      <c r="DP782" s="1493"/>
      <c r="DQ782" s="1493"/>
      <c r="DR782" s="1493"/>
      <c r="DS782" s="1493"/>
      <c r="DT782" s="6"/>
      <c r="DU782" s="3"/>
      <c r="DV782" s="3"/>
    </row>
    <row r="783" spans="1:159" ht="12.95" customHeight="1">
      <c r="J783" s="1425"/>
      <c r="K783" s="1426"/>
      <c r="L783" s="1426"/>
      <c r="M783" s="1426"/>
      <c r="N783" s="1427"/>
      <c r="O783" s="1289"/>
      <c r="P783" s="1289"/>
      <c r="Q783" s="1289"/>
      <c r="R783" s="1289"/>
      <c r="S783" s="1289"/>
      <c r="T783" s="1548"/>
      <c r="U783" s="1549"/>
      <c r="V783" s="1549"/>
      <c r="W783" s="1550"/>
      <c r="X783" s="1473"/>
      <c r="Y783" s="1474"/>
      <c r="Z783" s="1474"/>
      <c r="AA783" s="1474"/>
      <c r="AB783" s="1475"/>
      <c r="AC783" s="1531">
        <f>X783*O783</f>
        <v>0</v>
      </c>
      <c r="AD783" s="1402"/>
      <c r="AE783" s="1402"/>
      <c r="AF783" s="1402"/>
      <c r="AG783" s="1532"/>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08">
        <f>IF(J783="SRO/Studio",O783,0)</f>
        <v>0</v>
      </c>
      <c r="CQ783" s="1509"/>
      <c r="CR783" s="1509"/>
      <c r="CS783" s="1509"/>
      <c r="CT783" s="1510"/>
      <c r="CU783" s="1493">
        <f>IF(J783="1 Bedroom",O783,0)</f>
        <v>0</v>
      </c>
      <c r="CV783" s="1493"/>
      <c r="CW783" s="1493"/>
      <c r="CX783" s="1493"/>
      <c r="CY783" s="1493"/>
      <c r="CZ783" s="1493">
        <f>IF(J783="2 Bedrooms",O783,0)</f>
        <v>0</v>
      </c>
      <c r="DA783" s="1493"/>
      <c r="DB783" s="1493"/>
      <c r="DC783" s="1493"/>
      <c r="DD783" s="1493"/>
      <c r="DE783" s="1493">
        <f>IF(J783="3 Bedrooms",O783,0)</f>
        <v>0</v>
      </c>
      <c r="DF783" s="1493"/>
      <c r="DG783" s="1493"/>
      <c r="DH783" s="1493"/>
      <c r="DI783" s="1493"/>
      <c r="DJ783" s="1493">
        <f>IF(J783="4 Bedrooms",O783,0)</f>
        <v>0</v>
      </c>
      <c r="DK783" s="1493"/>
      <c r="DL783" s="1493"/>
      <c r="DM783" s="1493"/>
      <c r="DN783" s="1493"/>
      <c r="DO783" s="1493">
        <f>IF(J783="5 Bedrooms",O783,0)</f>
        <v>0</v>
      </c>
      <c r="DP783" s="1493"/>
      <c r="DQ783" s="1493"/>
      <c r="DR783" s="1493"/>
      <c r="DS783" s="1493"/>
      <c r="DT783" s="1007"/>
    </row>
    <row r="784" spans="1:159" ht="12.95" customHeight="1">
      <c r="J784" s="1425"/>
      <c r="K784" s="1426"/>
      <c r="L784" s="1426"/>
      <c r="M784" s="1426"/>
      <c r="N784" s="1427"/>
      <c r="O784" s="1289"/>
      <c r="P784" s="1289"/>
      <c r="Q784" s="1289"/>
      <c r="R784" s="1289"/>
      <c r="S784" s="1289"/>
      <c r="T784" s="1548"/>
      <c r="U784" s="1549"/>
      <c r="V784" s="1549"/>
      <c r="W784" s="1550"/>
      <c r="X784" s="1473"/>
      <c r="Y784" s="1474"/>
      <c r="Z784" s="1474"/>
      <c r="AA784" s="1474"/>
      <c r="AB784" s="1475"/>
      <c r="AC784" s="1531">
        <f>X784*O784</f>
        <v>0</v>
      </c>
      <c r="AD784" s="1402"/>
      <c r="AE784" s="1402"/>
      <c r="AF784" s="1402"/>
      <c r="AG784" s="1532"/>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08">
        <f>IF(J784="SRO/Studio",O784,0)</f>
        <v>0</v>
      </c>
      <c r="CQ784" s="1509"/>
      <c r="CR784" s="1509"/>
      <c r="CS784" s="1509"/>
      <c r="CT784" s="1510"/>
      <c r="CU784" s="1493">
        <f>IF(J784="1 Bedroom",O784,0)</f>
        <v>0</v>
      </c>
      <c r="CV784" s="1493"/>
      <c r="CW784" s="1493"/>
      <c r="CX784" s="1493"/>
      <c r="CY784" s="1493"/>
      <c r="CZ784" s="1493">
        <f>IF(J784="2 Bedrooms",O784,0)</f>
        <v>0</v>
      </c>
      <c r="DA784" s="1493"/>
      <c r="DB784" s="1493"/>
      <c r="DC784" s="1493"/>
      <c r="DD784" s="1493"/>
      <c r="DE784" s="1493">
        <f>IF(J784="3 Bedrooms",O784,0)</f>
        <v>0</v>
      </c>
      <c r="DF784" s="1493"/>
      <c r="DG784" s="1493"/>
      <c r="DH784" s="1493"/>
      <c r="DI784" s="1493"/>
      <c r="DJ784" s="1493">
        <f>IF(J784="4 Bedrooms",O784,0)</f>
        <v>0</v>
      </c>
      <c r="DK784" s="1493"/>
      <c r="DL784" s="1493"/>
      <c r="DM784" s="1493"/>
      <c r="DN784" s="1493"/>
      <c r="DO784" s="1493">
        <f>IF(J784="5 Bedrooms",O784,0)</f>
        <v>0</v>
      </c>
      <c r="DP784" s="1493"/>
      <c r="DQ784" s="1493"/>
      <c r="DR784" s="1493"/>
      <c r="DS784" s="1493"/>
    </row>
    <row r="785" spans="1:154" ht="12.95" customHeight="1">
      <c r="J785" s="1489" t="s">
        <v>125</v>
      </c>
      <c r="K785" s="1490"/>
      <c r="L785" s="1490"/>
      <c r="M785" s="1490"/>
      <c r="N785" s="1491"/>
      <c r="O785" s="1518">
        <f>SUM(O781:S784)</f>
        <v>1</v>
      </c>
      <c r="P785" s="1625"/>
      <c r="Q785" s="1625"/>
      <c r="R785" s="1625"/>
      <c r="S785" s="1519"/>
      <c r="X785" s="1489" t="s">
        <v>124</v>
      </c>
      <c r="Y785" s="1490"/>
      <c r="Z785" s="1490"/>
      <c r="AA785" s="1490"/>
      <c r="AB785" s="1491"/>
      <c r="AC785" s="1531">
        <f>SUM(AC781:AG784)</f>
        <v>1700</v>
      </c>
      <c r="AD785" s="1402"/>
      <c r="AE785" s="1402"/>
      <c r="AF785" s="1402"/>
      <c r="AG785" s="1532"/>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18">
        <f>SUM(CP781:CT784)</f>
        <v>0</v>
      </c>
      <c r="CQ785" s="1625"/>
      <c r="CR785" s="1625"/>
      <c r="CS785" s="1625"/>
      <c r="CT785" s="1519"/>
      <c r="CU785" s="1511">
        <f>SUM(CU781:CY784)</f>
        <v>1</v>
      </c>
      <c r="CV785" s="1512"/>
      <c r="CW785" s="1512"/>
      <c r="CX785" s="1512"/>
      <c r="CY785" s="1513"/>
      <c r="CZ785" s="1511">
        <f>SUM(CZ781:DD784)</f>
        <v>0</v>
      </c>
      <c r="DA785" s="1512"/>
      <c r="DB785" s="1512"/>
      <c r="DC785" s="1512"/>
      <c r="DD785" s="1513"/>
      <c r="DE785" s="1511">
        <f>SUM(DE781:DI784)</f>
        <v>0</v>
      </c>
      <c r="DF785" s="1512"/>
      <c r="DG785" s="1512"/>
      <c r="DH785" s="1512"/>
      <c r="DI785" s="1513"/>
      <c r="DJ785" s="1511">
        <f>SUM(DJ781:DN784)</f>
        <v>0</v>
      </c>
      <c r="DK785" s="1512"/>
      <c r="DL785" s="1512"/>
      <c r="DM785" s="1512"/>
      <c r="DN785" s="1513"/>
      <c r="DO785" s="1511">
        <f>SUM(DO781:DS784)</f>
        <v>0</v>
      </c>
      <c r="DP785" s="1512"/>
      <c r="DQ785" s="1512"/>
      <c r="DR785" s="1512"/>
      <c r="DS785" s="1513"/>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1835</v>
      </c>
    </row>
    <row r="787" spans="1:154" ht="12.95" customHeight="1">
      <c r="B787" s="56"/>
      <c r="C787" s="56"/>
      <c r="D787" s="56"/>
      <c r="E787" s="56"/>
      <c r="F787" s="56"/>
      <c r="G787" s="6"/>
      <c r="H787" s="6"/>
      <c r="I787" s="6"/>
      <c r="J787" s="1409" t="s">
        <v>669</v>
      </c>
      <c r="K787" s="1409"/>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91" t="s">
        <v>389</v>
      </c>
      <c r="K791" s="1496"/>
      <c r="L791" s="1496"/>
      <c r="M791" s="1496"/>
      <c r="N791" s="1497"/>
      <c r="O791" s="1290" t="s">
        <v>285</v>
      </c>
      <c r="P791" s="1290"/>
      <c r="Q791" s="1290"/>
      <c r="R791" s="1290"/>
      <c r="S791" s="1290"/>
      <c r="T791" s="1626" t="s">
        <v>1668</v>
      </c>
      <c r="U791" s="1627"/>
      <c r="V791" s="1627"/>
      <c r="W791" s="1628"/>
      <c r="X791" s="1591" t="s">
        <v>447</v>
      </c>
      <c r="Y791" s="1496"/>
      <c r="Z791" s="1496"/>
      <c r="AA791" s="1496"/>
      <c r="AB791" s="1497"/>
      <c r="AC791" s="1591" t="s">
        <v>286</v>
      </c>
      <c r="AD791" s="1496"/>
      <c r="AE791" s="1496"/>
      <c r="AF791" s="1496"/>
      <c r="AG791" s="149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98"/>
      <c r="K792" s="1499"/>
      <c r="L792" s="1499"/>
      <c r="M792" s="1499"/>
      <c r="N792" s="1500"/>
      <c r="O792" s="1290"/>
      <c r="P792" s="1290"/>
      <c r="Q792" s="1290"/>
      <c r="R792" s="1290"/>
      <c r="S792" s="1290"/>
      <c r="T792" s="1629"/>
      <c r="U792" s="1630"/>
      <c r="V792" s="1630"/>
      <c r="W792" s="1631"/>
      <c r="X792" s="1498"/>
      <c r="Y792" s="1499"/>
      <c r="Z792" s="1499"/>
      <c r="AA792" s="1499"/>
      <c r="AB792" s="1500"/>
      <c r="AC792" s="1498"/>
      <c r="AD792" s="1499"/>
      <c r="AE792" s="1499"/>
      <c r="AF792" s="1499"/>
      <c r="AG792" s="150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98"/>
      <c r="K793" s="1499"/>
      <c r="L793" s="1499"/>
      <c r="M793" s="1499"/>
      <c r="N793" s="1500"/>
      <c r="O793" s="1290"/>
      <c r="P793" s="1290"/>
      <c r="Q793" s="1290"/>
      <c r="R793" s="1290"/>
      <c r="S793" s="1290"/>
      <c r="T793" s="1629"/>
      <c r="U793" s="1630"/>
      <c r="V793" s="1630"/>
      <c r="W793" s="1631"/>
      <c r="X793" s="1498"/>
      <c r="Y793" s="1499"/>
      <c r="Z793" s="1499"/>
      <c r="AA793" s="1499"/>
      <c r="AB793" s="1500"/>
      <c r="AC793" s="1498"/>
      <c r="AD793" s="1499"/>
      <c r="AE793" s="1499"/>
      <c r="AF793" s="1499"/>
      <c r="AG793" s="150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501"/>
      <c r="K794" s="1502"/>
      <c r="L794" s="1502"/>
      <c r="M794" s="1502"/>
      <c r="N794" s="1503"/>
      <c r="O794" s="1290"/>
      <c r="P794" s="1290"/>
      <c r="Q794" s="1290"/>
      <c r="R794" s="1290"/>
      <c r="S794" s="1290"/>
      <c r="T794" s="1632"/>
      <c r="U794" s="1633"/>
      <c r="V794" s="1633"/>
      <c r="W794" s="1634"/>
      <c r="X794" s="1501"/>
      <c r="Y794" s="1502"/>
      <c r="Z794" s="1502"/>
      <c r="AA794" s="1502"/>
      <c r="AB794" s="1503"/>
      <c r="AC794" s="1501"/>
      <c r="AD794" s="1502"/>
      <c r="AE794" s="1502"/>
      <c r="AF794" s="1502"/>
      <c r="AG794" s="150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425"/>
      <c r="K795" s="1426"/>
      <c r="L795" s="1426"/>
      <c r="M795" s="1426"/>
      <c r="N795" s="1427"/>
      <c r="O795" s="1289"/>
      <c r="P795" s="1289"/>
      <c r="Q795" s="1289"/>
      <c r="R795" s="1289"/>
      <c r="S795" s="1289"/>
      <c r="T795" s="1548"/>
      <c r="U795" s="1549"/>
      <c r="V795" s="1549"/>
      <c r="W795" s="1550"/>
      <c r="X795" s="1473"/>
      <c r="Y795" s="1474"/>
      <c r="Z795" s="1474"/>
      <c r="AA795" s="1474"/>
      <c r="AB795" s="1475"/>
      <c r="AC795" s="1531">
        <f t="shared" ref="AC795:AC804" si="42">X795*O795</f>
        <v>0</v>
      </c>
      <c r="AD795" s="1402"/>
      <c r="AE795" s="1402"/>
      <c r="AF795" s="1402"/>
      <c r="AG795" s="153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08">
        <f t="shared" ref="CP795:CP804" si="43">IF(J795="SRO/Studio",O795,0)</f>
        <v>0</v>
      </c>
      <c r="CQ795" s="1509"/>
      <c r="CR795" s="1509"/>
      <c r="CS795" s="1509"/>
      <c r="CT795" s="1510"/>
      <c r="CU795" s="1508">
        <f t="shared" ref="CU795:CU804" si="44">IF(J795="1 Bedroom",O795,0)</f>
        <v>0</v>
      </c>
      <c r="CV795" s="1509"/>
      <c r="CW795" s="1509"/>
      <c r="CX795" s="1509"/>
      <c r="CY795" s="1510"/>
      <c r="CZ795" s="1508">
        <f t="shared" ref="CZ795:CZ804" si="45">IF(J795="2 Bedrooms",O795,0)</f>
        <v>0</v>
      </c>
      <c r="DA795" s="1509"/>
      <c r="DB795" s="1509"/>
      <c r="DC795" s="1509"/>
      <c r="DD795" s="1510"/>
      <c r="DE795" s="1508">
        <f t="shared" ref="DE795:DE804" si="46">IF(J795="3 Bedrooms",O795,0)</f>
        <v>0</v>
      </c>
      <c r="DF795" s="1509"/>
      <c r="DG795" s="1509"/>
      <c r="DH795" s="1509"/>
      <c r="DI795" s="1510"/>
      <c r="DJ795" s="1508">
        <f t="shared" ref="DJ795:DJ804" si="47">IF(J795="4 Bedrooms",O795,0)</f>
        <v>0</v>
      </c>
      <c r="DK795" s="1509"/>
      <c r="DL795" s="1509"/>
      <c r="DM795" s="1509"/>
      <c r="DN795" s="1510"/>
      <c r="DO795" s="1508">
        <f t="shared" ref="DO795:DO804" si="48">IF(J795="5 Bedrooms",O795,0)</f>
        <v>0</v>
      </c>
      <c r="DP795" s="1509"/>
      <c r="DQ795" s="1509"/>
      <c r="DR795" s="1509"/>
      <c r="DS795" s="1510"/>
      <c r="DT795" s="6"/>
      <c r="DU795" s="1508">
        <f t="shared" ref="DU795:DU804" si="49">IF(AND(CP795&gt;=1,AH795&gt;=0.1,AH795&lt;=1),O795,0)</f>
        <v>0</v>
      </c>
      <c r="DV795" s="1509"/>
      <c r="DW795" s="1509"/>
      <c r="DX795" s="1509"/>
      <c r="DY795" s="1510"/>
      <c r="DZ795" s="1508">
        <f t="shared" ref="DZ795:DZ804" si="50">IF(AND(CU795&gt;=1,AH795&gt;=0.1,AH795&lt;=1),O795,0)</f>
        <v>0</v>
      </c>
      <c r="EA795" s="1509"/>
      <c r="EB795" s="1509"/>
      <c r="EC795" s="1509"/>
      <c r="ED795" s="1510"/>
      <c r="EE795" s="1508">
        <f t="shared" ref="EE795:EE804" si="51">IF(AND(CZ795&gt;=1,AH795&gt;=0.1,AH795&lt;=1),O795,0)</f>
        <v>0</v>
      </c>
      <c r="EF795" s="1509"/>
      <c r="EG795" s="1509"/>
      <c r="EH795" s="1509"/>
      <c r="EI795" s="1510"/>
      <c r="EJ795" s="1508">
        <f t="shared" ref="EJ795:EJ804" si="52">IF(AND(DE795&gt;=1,AH795&gt;=0.1,AH795&lt;=1),O795,0)</f>
        <v>0</v>
      </c>
      <c r="EK795" s="1509"/>
      <c r="EL795" s="1509"/>
      <c r="EM795" s="1509"/>
      <c r="EN795" s="1510"/>
      <c r="EO795" s="1508">
        <f t="shared" ref="EO795:EO804" si="53">IF(AND(DJ795&gt;=1,AH795&gt;=0.1,AH795&lt;=1),O795,0)</f>
        <v>0</v>
      </c>
      <c r="EP795" s="1509"/>
      <c r="EQ795" s="1509"/>
      <c r="ER795" s="1509"/>
      <c r="ES795" s="1510"/>
      <c r="ET795" s="1508">
        <f t="shared" ref="ET795:ET804" si="54">IF(AND(DO795&gt;=1,AH795&gt;=0.1,AH795&lt;=1),O795,0)</f>
        <v>0</v>
      </c>
      <c r="EU795" s="1509"/>
      <c r="EV795" s="1509"/>
      <c r="EW795" s="1509"/>
      <c r="EX795" s="1510"/>
    </row>
    <row r="796" spans="1:154" s="14" customFormat="1" ht="12.95" customHeight="1">
      <c r="A796"/>
      <c r="B796"/>
      <c r="C796"/>
      <c r="D796"/>
      <c r="E796"/>
      <c r="F796"/>
      <c r="G796"/>
      <c r="H796"/>
      <c r="I796"/>
      <c r="J796" s="1425"/>
      <c r="K796" s="1426"/>
      <c r="L796" s="1426"/>
      <c r="M796" s="1426"/>
      <c r="N796" s="1427"/>
      <c r="O796" s="1289"/>
      <c r="P796" s="1289"/>
      <c r="Q796" s="1289"/>
      <c r="R796" s="1289"/>
      <c r="S796" s="1289"/>
      <c r="T796" s="1548"/>
      <c r="U796" s="1549"/>
      <c r="V796" s="1549"/>
      <c r="W796" s="1550"/>
      <c r="X796" s="1473"/>
      <c r="Y796" s="1474"/>
      <c r="Z796" s="1474"/>
      <c r="AA796" s="1474"/>
      <c r="AB796" s="1475"/>
      <c r="AC796" s="1531">
        <f t="shared" si="42"/>
        <v>0</v>
      </c>
      <c r="AD796" s="1402"/>
      <c r="AE796" s="1402"/>
      <c r="AF796" s="1402"/>
      <c r="AG796" s="153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08">
        <f t="shared" si="43"/>
        <v>0</v>
      </c>
      <c r="CQ796" s="1509"/>
      <c r="CR796" s="1509"/>
      <c r="CS796" s="1509"/>
      <c r="CT796" s="1510"/>
      <c r="CU796" s="1508">
        <f t="shared" si="44"/>
        <v>0</v>
      </c>
      <c r="CV796" s="1509"/>
      <c r="CW796" s="1509"/>
      <c r="CX796" s="1509"/>
      <c r="CY796" s="1510"/>
      <c r="CZ796" s="1508">
        <f t="shared" si="45"/>
        <v>0</v>
      </c>
      <c r="DA796" s="1509"/>
      <c r="DB796" s="1509"/>
      <c r="DC796" s="1509"/>
      <c r="DD796" s="1510"/>
      <c r="DE796" s="1508">
        <f t="shared" si="46"/>
        <v>0</v>
      </c>
      <c r="DF796" s="1509"/>
      <c r="DG796" s="1509"/>
      <c r="DH796" s="1509"/>
      <c r="DI796" s="1510"/>
      <c r="DJ796" s="1508">
        <f t="shared" si="47"/>
        <v>0</v>
      </c>
      <c r="DK796" s="1509"/>
      <c r="DL796" s="1509"/>
      <c r="DM796" s="1509"/>
      <c r="DN796" s="1510"/>
      <c r="DO796" s="1508">
        <f t="shared" si="48"/>
        <v>0</v>
      </c>
      <c r="DP796" s="1509"/>
      <c r="DQ796" s="1509"/>
      <c r="DR796" s="1509"/>
      <c r="DS796" s="1510"/>
      <c r="DT796" s="6"/>
      <c r="DU796" s="1508">
        <f t="shared" si="49"/>
        <v>0</v>
      </c>
      <c r="DV796" s="1509"/>
      <c r="DW796" s="1509"/>
      <c r="DX796" s="1509"/>
      <c r="DY796" s="1510"/>
      <c r="DZ796" s="1508">
        <f t="shared" si="50"/>
        <v>0</v>
      </c>
      <c r="EA796" s="1509"/>
      <c r="EB796" s="1509"/>
      <c r="EC796" s="1509"/>
      <c r="ED796" s="1510"/>
      <c r="EE796" s="1508">
        <f t="shared" si="51"/>
        <v>0</v>
      </c>
      <c r="EF796" s="1509"/>
      <c r="EG796" s="1509"/>
      <c r="EH796" s="1509"/>
      <c r="EI796" s="1510"/>
      <c r="EJ796" s="1508">
        <f t="shared" si="52"/>
        <v>0</v>
      </c>
      <c r="EK796" s="1509"/>
      <c r="EL796" s="1509"/>
      <c r="EM796" s="1509"/>
      <c r="EN796" s="1510"/>
      <c r="EO796" s="1508">
        <f t="shared" si="53"/>
        <v>0</v>
      </c>
      <c r="EP796" s="1509"/>
      <c r="EQ796" s="1509"/>
      <c r="ER796" s="1509"/>
      <c r="ES796" s="1510"/>
      <c r="ET796" s="1508">
        <f t="shared" si="54"/>
        <v>0</v>
      </c>
      <c r="EU796" s="1509"/>
      <c r="EV796" s="1509"/>
      <c r="EW796" s="1509"/>
      <c r="EX796" s="1510"/>
    </row>
    <row r="797" spans="1:154" s="14" customFormat="1" ht="12.95" customHeight="1">
      <c r="A797"/>
      <c r="B797"/>
      <c r="C797"/>
      <c r="D797"/>
      <c r="E797"/>
      <c r="F797"/>
      <c r="G797"/>
      <c r="H797"/>
      <c r="I797"/>
      <c r="J797" s="1425"/>
      <c r="K797" s="1426"/>
      <c r="L797" s="1426"/>
      <c r="M797" s="1426"/>
      <c r="N797" s="1427"/>
      <c r="O797" s="1289"/>
      <c r="P797" s="1289"/>
      <c r="Q797" s="1289"/>
      <c r="R797" s="1289"/>
      <c r="S797" s="1289"/>
      <c r="T797" s="1548"/>
      <c r="U797" s="1549"/>
      <c r="V797" s="1549"/>
      <c r="W797" s="1550"/>
      <c r="X797" s="1473"/>
      <c r="Y797" s="1474"/>
      <c r="Z797" s="1474"/>
      <c r="AA797" s="1474"/>
      <c r="AB797" s="1475"/>
      <c r="AC797" s="1531">
        <f t="shared" si="42"/>
        <v>0</v>
      </c>
      <c r="AD797" s="1402"/>
      <c r="AE797" s="1402"/>
      <c r="AF797" s="1402"/>
      <c r="AG797" s="153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08">
        <f t="shared" si="43"/>
        <v>0</v>
      </c>
      <c r="CQ797" s="1509"/>
      <c r="CR797" s="1509"/>
      <c r="CS797" s="1509"/>
      <c r="CT797" s="1510"/>
      <c r="CU797" s="1508">
        <f t="shared" si="44"/>
        <v>0</v>
      </c>
      <c r="CV797" s="1509"/>
      <c r="CW797" s="1509"/>
      <c r="CX797" s="1509"/>
      <c r="CY797" s="1510"/>
      <c r="CZ797" s="1508">
        <f t="shared" si="45"/>
        <v>0</v>
      </c>
      <c r="DA797" s="1509"/>
      <c r="DB797" s="1509"/>
      <c r="DC797" s="1509"/>
      <c r="DD797" s="1510"/>
      <c r="DE797" s="1508">
        <f t="shared" si="46"/>
        <v>0</v>
      </c>
      <c r="DF797" s="1509"/>
      <c r="DG797" s="1509"/>
      <c r="DH797" s="1509"/>
      <c r="DI797" s="1510"/>
      <c r="DJ797" s="1508">
        <f t="shared" si="47"/>
        <v>0</v>
      </c>
      <c r="DK797" s="1509"/>
      <c r="DL797" s="1509"/>
      <c r="DM797" s="1509"/>
      <c r="DN797" s="1510"/>
      <c r="DO797" s="1508">
        <f t="shared" si="48"/>
        <v>0</v>
      </c>
      <c r="DP797" s="1509"/>
      <c r="DQ797" s="1509"/>
      <c r="DR797" s="1509"/>
      <c r="DS797" s="1510"/>
      <c r="DT797" s="6"/>
      <c r="DU797" s="1508">
        <f t="shared" si="49"/>
        <v>0</v>
      </c>
      <c r="DV797" s="1509"/>
      <c r="DW797" s="1509"/>
      <c r="DX797" s="1509"/>
      <c r="DY797" s="1510"/>
      <c r="DZ797" s="1508">
        <f t="shared" si="50"/>
        <v>0</v>
      </c>
      <c r="EA797" s="1509"/>
      <c r="EB797" s="1509"/>
      <c r="EC797" s="1509"/>
      <c r="ED797" s="1510"/>
      <c r="EE797" s="1508">
        <f t="shared" si="51"/>
        <v>0</v>
      </c>
      <c r="EF797" s="1509"/>
      <c r="EG797" s="1509"/>
      <c r="EH797" s="1509"/>
      <c r="EI797" s="1510"/>
      <c r="EJ797" s="1508">
        <f t="shared" si="52"/>
        <v>0</v>
      </c>
      <c r="EK797" s="1509"/>
      <c r="EL797" s="1509"/>
      <c r="EM797" s="1509"/>
      <c r="EN797" s="1510"/>
      <c r="EO797" s="1508">
        <f t="shared" si="53"/>
        <v>0</v>
      </c>
      <c r="EP797" s="1509"/>
      <c r="EQ797" s="1509"/>
      <c r="ER797" s="1509"/>
      <c r="ES797" s="1510"/>
      <c r="ET797" s="1508">
        <f t="shared" si="54"/>
        <v>0</v>
      </c>
      <c r="EU797" s="1509"/>
      <c r="EV797" s="1509"/>
      <c r="EW797" s="1509"/>
      <c r="EX797" s="1510"/>
    </row>
    <row r="798" spans="1:154" s="14" customFormat="1" ht="12.95" customHeight="1">
      <c r="A798"/>
      <c r="B798"/>
      <c r="C798"/>
      <c r="D798"/>
      <c r="E798"/>
      <c r="F798"/>
      <c r="G798"/>
      <c r="H798"/>
      <c r="I798"/>
      <c r="J798" s="1425"/>
      <c r="K798" s="1426"/>
      <c r="L798" s="1426"/>
      <c r="M798" s="1426"/>
      <c r="N798" s="1427"/>
      <c r="O798" s="1289"/>
      <c r="P798" s="1289"/>
      <c r="Q798" s="1289"/>
      <c r="R798" s="1289"/>
      <c r="S798" s="1289"/>
      <c r="T798" s="1548"/>
      <c r="U798" s="1549"/>
      <c r="V798" s="1549"/>
      <c r="W798" s="1550"/>
      <c r="X798" s="1473"/>
      <c r="Y798" s="1474"/>
      <c r="Z798" s="1474"/>
      <c r="AA798" s="1474"/>
      <c r="AB798" s="1475"/>
      <c r="AC798" s="1531">
        <f t="shared" si="42"/>
        <v>0</v>
      </c>
      <c r="AD798" s="1402"/>
      <c r="AE798" s="1402"/>
      <c r="AF798" s="1402"/>
      <c r="AG798" s="153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08">
        <f t="shared" si="43"/>
        <v>0</v>
      </c>
      <c r="CQ798" s="1509"/>
      <c r="CR798" s="1509"/>
      <c r="CS798" s="1509"/>
      <c r="CT798" s="1510"/>
      <c r="CU798" s="1508">
        <f t="shared" si="44"/>
        <v>0</v>
      </c>
      <c r="CV798" s="1509"/>
      <c r="CW798" s="1509"/>
      <c r="CX798" s="1509"/>
      <c r="CY798" s="1510"/>
      <c r="CZ798" s="1508">
        <f t="shared" si="45"/>
        <v>0</v>
      </c>
      <c r="DA798" s="1509"/>
      <c r="DB798" s="1509"/>
      <c r="DC798" s="1509"/>
      <c r="DD798" s="1510"/>
      <c r="DE798" s="1508">
        <f t="shared" si="46"/>
        <v>0</v>
      </c>
      <c r="DF798" s="1509"/>
      <c r="DG798" s="1509"/>
      <c r="DH798" s="1509"/>
      <c r="DI798" s="1510"/>
      <c r="DJ798" s="1508">
        <f t="shared" si="47"/>
        <v>0</v>
      </c>
      <c r="DK798" s="1509"/>
      <c r="DL798" s="1509"/>
      <c r="DM798" s="1509"/>
      <c r="DN798" s="1510"/>
      <c r="DO798" s="1508">
        <f t="shared" si="48"/>
        <v>0</v>
      </c>
      <c r="DP798" s="1509"/>
      <c r="DQ798" s="1509"/>
      <c r="DR798" s="1509"/>
      <c r="DS798" s="1510"/>
      <c r="DT798" s="6"/>
      <c r="DU798" s="1508">
        <f t="shared" si="49"/>
        <v>0</v>
      </c>
      <c r="DV798" s="1509"/>
      <c r="DW798" s="1509"/>
      <c r="DX798" s="1509"/>
      <c r="DY798" s="1510"/>
      <c r="DZ798" s="1508">
        <f t="shared" si="50"/>
        <v>0</v>
      </c>
      <c r="EA798" s="1509"/>
      <c r="EB798" s="1509"/>
      <c r="EC798" s="1509"/>
      <c r="ED798" s="1510"/>
      <c r="EE798" s="1508">
        <f t="shared" si="51"/>
        <v>0</v>
      </c>
      <c r="EF798" s="1509"/>
      <c r="EG798" s="1509"/>
      <c r="EH798" s="1509"/>
      <c r="EI798" s="1510"/>
      <c r="EJ798" s="1508">
        <f t="shared" si="52"/>
        <v>0</v>
      </c>
      <c r="EK798" s="1509"/>
      <c r="EL798" s="1509"/>
      <c r="EM798" s="1509"/>
      <c r="EN798" s="1510"/>
      <c r="EO798" s="1508">
        <f t="shared" si="53"/>
        <v>0</v>
      </c>
      <c r="EP798" s="1509"/>
      <c r="EQ798" s="1509"/>
      <c r="ER798" s="1509"/>
      <c r="ES798" s="1510"/>
      <c r="ET798" s="1508">
        <f t="shared" si="54"/>
        <v>0</v>
      </c>
      <c r="EU798" s="1509"/>
      <c r="EV798" s="1509"/>
      <c r="EW798" s="1509"/>
      <c r="EX798" s="1510"/>
    </row>
    <row r="799" spans="1:154" s="14" customFormat="1" ht="12.95" customHeight="1">
      <c r="A799"/>
      <c r="B799"/>
      <c r="C799"/>
      <c r="D799"/>
      <c r="E799"/>
      <c r="F799"/>
      <c r="G799"/>
      <c r="H799"/>
      <c r="I799"/>
      <c r="J799" s="1425"/>
      <c r="K799" s="1426"/>
      <c r="L799" s="1426"/>
      <c r="M799" s="1426"/>
      <c r="N799" s="1427"/>
      <c r="O799" s="1289"/>
      <c r="P799" s="1289"/>
      <c r="Q799" s="1289"/>
      <c r="R799" s="1289"/>
      <c r="S799" s="1289"/>
      <c r="T799" s="1548"/>
      <c r="U799" s="1549"/>
      <c r="V799" s="1549"/>
      <c r="W799" s="1550"/>
      <c r="X799" s="1473"/>
      <c r="Y799" s="1474"/>
      <c r="Z799" s="1474"/>
      <c r="AA799" s="1474"/>
      <c r="AB799" s="1475"/>
      <c r="AC799" s="1531">
        <f t="shared" si="42"/>
        <v>0</v>
      </c>
      <c r="AD799" s="1402"/>
      <c r="AE799" s="1402"/>
      <c r="AF799" s="1402"/>
      <c r="AG799" s="153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08">
        <f t="shared" si="43"/>
        <v>0</v>
      </c>
      <c r="CQ799" s="1509"/>
      <c r="CR799" s="1509"/>
      <c r="CS799" s="1509"/>
      <c r="CT799" s="1510"/>
      <c r="CU799" s="1508">
        <f t="shared" si="44"/>
        <v>0</v>
      </c>
      <c r="CV799" s="1509"/>
      <c r="CW799" s="1509"/>
      <c r="CX799" s="1509"/>
      <c r="CY799" s="1510"/>
      <c r="CZ799" s="1508">
        <f t="shared" si="45"/>
        <v>0</v>
      </c>
      <c r="DA799" s="1509"/>
      <c r="DB799" s="1509"/>
      <c r="DC799" s="1509"/>
      <c r="DD799" s="1510"/>
      <c r="DE799" s="1508">
        <f t="shared" si="46"/>
        <v>0</v>
      </c>
      <c r="DF799" s="1509"/>
      <c r="DG799" s="1509"/>
      <c r="DH799" s="1509"/>
      <c r="DI799" s="1510"/>
      <c r="DJ799" s="1508">
        <f t="shared" si="47"/>
        <v>0</v>
      </c>
      <c r="DK799" s="1509"/>
      <c r="DL799" s="1509"/>
      <c r="DM799" s="1509"/>
      <c r="DN799" s="1510"/>
      <c r="DO799" s="1508">
        <f t="shared" si="48"/>
        <v>0</v>
      </c>
      <c r="DP799" s="1509"/>
      <c r="DQ799" s="1509"/>
      <c r="DR799" s="1509"/>
      <c r="DS799" s="1510"/>
      <c r="DT799" s="6"/>
      <c r="DU799" s="1508">
        <f t="shared" si="49"/>
        <v>0</v>
      </c>
      <c r="DV799" s="1509"/>
      <c r="DW799" s="1509"/>
      <c r="DX799" s="1509"/>
      <c r="DY799" s="1510"/>
      <c r="DZ799" s="1508">
        <f t="shared" si="50"/>
        <v>0</v>
      </c>
      <c r="EA799" s="1509"/>
      <c r="EB799" s="1509"/>
      <c r="EC799" s="1509"/>
      <c r="ED799" s="1510"/>
      <c r="EE799" s="1508">
        <f t="shared" si="51"/>
        <v>0</v>
      </c>
      <c r="EF799" s="1509"/>
      <c r="EG799" s="1509"/>
      <c r="EH799" s="1509"/>
      <c r="EI799" s="1510"/>
      <c r="EJ799" s="1508">
        <f t="shared" si="52"/>
        <v>0</v>
      </c>
      <c r="EK799" s="1509"/>
      <c r="EL799" s="1509"/>
      <c r="EM799" s="1509"/>
      <c r="EN799" s="1510"/>
      <c r="EO799" s="1508">
        <f t="shared" si="53"/>
        <v>0</v>
      </c>
      <c r="EP799" s="1509"/>
      <c r="EQ799" s="1509"/>
      <c r="ER799" s="1509"/>
      <c r="ES799" s="1510"/>
      <c r="ET799" s="1508">
        <f t="shared" si="54"/>
        <v>0</v>
      </c>
      <c r="EU799" s="1509"/>
      <c r="EV799" s="1509"/>
      <c r="EW799" s="1509"/>
      <c r="EX799" s="1510"/>
    </row>
    <row r="800" spans="1:154" s="14" customFormat="1" ht="12.95" customHeight="1">
      <c r="A800"/>
      <c r="B800"/>
      <c r="C800"/>
      <c r="D800"/>
      <c r="E800"/>
      <c r="F800"/>
      <c r="G800"/>
      <c r="H800"/>
      <c r="I800"/>
      <c r="J800" s="1425"/>
      <c r="K800" s="1426"/>
      <c r="L800" s="1426"/>
      <c r="M800" s="1426"/>
      <c r="N800" s="1427"/>
      <c r="O800" s="1289"/>
      <c r="P800" s="1289"/>
      <c r="Q800" s="1289"/>
      <c r="R800" s="1289"/>
      <c r="S800" s="1289"/>
      <c r="T800" s="1548"/>
      <c r="U800" s="1549"/>
      <c r="V800" s="1549"/>
      <c r="W800" s="1550"/>
      <c r="X800" s="1473"/>
      <c r="Y800" s="1474"/>
      <c r="Z800" s="1474"/>
      <c r="AA800" s="1474"/>
      <c r="AB800" s="1475"/>
      <c r="AC800" s="1531">
        <f t="shared" si="42"/>
        <v>0</v>
      </c>
      <c r="AD800" s="1402"/>
      <c r="AE800" s="1402"/>
      <c r="AF800" s="1402"/>
      <c r="AG800" s="153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08">
        <f t="shared" si="43"/>
        <v>0</v>
      </c>
      <c r="CQ800" s="1509"/>
      <c r="CR800" s="1509"/>
      <c r="CS800" s="1509"/>
      <c r="CT800" s="1510"/>
      <c r="CU800" s="1508">
        <f t="shared" si="44"/>
        <v>0</v>
      </c>
      <c r="CV800" s="1509"/>
      <c r="CW800" s="1509"/>
      <c r="CX800" s="1509"/>
      <c r="CY800" s="1510"/>
      <c r="CZ800" s="1508">
        <f t="shared" si="45"/>
        <v>0</v>
      </c>
      <c r="DA800" s="1509"/>
      <c r="DB800" s="1509"/>
      <c r="DC800" s="1509"/>
      <c r="DD800" s="1510"/>
      <c r="DE800" s="1508">
        <f t="shared" si="46"/>
        <v>0</v>
      </c>
      <c r="DF800" s="1509"/>
      <c r="DG800" s="1509"/>
      <c r="DH800" s="1509"/>
      <c r="DI800" s="1510"/>
      <c r="DJ800" s="1508">
        <f t="shared" si="47"/>
        <v>0</v>
      </c>
      <c r="DK800" s="1509"/>
      <c r="DL800" s="1509"/>
      <c r="DM800" s="1509"/>
      <c r="DN800" s="1510"/>
      <c r="DO800" s="1508">
        <f t="shared" si="48"/>
        <v>0</v>
      </c>
      <c r="DP800" s="1509"/>
      <c r="DQ800" s="1509"/>
      <c r="DR800" s="1509"/>
      <c r="DS800" s="1510"/>
      <c r="DT800" s="6"/>
      <c r="DU800" s="1508">
        <f t="shared" si="49"/>
        <v>0</v>
      </c>
      <c r="DV800" s="1509"/>
      <c r="DW800" s="1509"/>
      <c r="DX800" s="1509"/>
      <c r="DY800" s="1510"/>
      <c r="DZ800" s="1508">
        <f t="shared" si="50"/>
        <v>0</v>
      </c>
      <c r="EA800" s="1509"/>
      <c r="EB800" s="1509"/>
      <c r="EC800" s="1509"/>
      <c r="ED800" s="1510"/>
      <c r="EE800" s="1508">
        <f t="shared" si="51"/>
        <v>0</v>
      </c>
      <c r="EF800" s="1509"/>
      <c r="EG800" s="1509"/>
      <c r="EH800" s="1509"/>
      <c r="EI800" s="1510"/>
      <c r="EJ800" s="1508">
        <f t="shared" si="52"/>
        <v>0</v>
      </c>
      <c r="EK800" s="1509"/>
      <c r="EL800" s="1509"/>
      <c r="EM800" s="1509"/>
      <c r="EN800" s="1510"/>
      <c r="EO800" s="1508">
        <f t="shared" si="53"/>
        <v>0</v>
      </c>
      <c r="EP800" s="1509"/>
      <c r="EQ800" s="1509"/>
      <c r="ER800" s="1509"/>
      <c r="ES800" s="1510"/>
      <c r="ET800" s="1508">
        <f t="shared" si="54"/>
        <v>0</v>
      </c>
      <c r="EU800" s="1509"/>
      <c r="EV800" s="1509"/>
      <c r="EW800" s="1509"/>
      <c r="EX800" s="1510"/>
    </row>
    <row r="801" spans="1:154" s="14" customFormat="1" ht="12.95" customHeight="1">
      <c r="A801"/>
      <c r="B801"/>
      <c r="C801"/>
      <c r="D801"/>
      <c r="E801"/>
      <c r="F801"/>
      <c r="G801"/>
      <c r="H801"/>
      <c r="I801"/>
      <c r="J801" s="1425"/>
      <c r="K801" s="1426"/>
      <c r="L801" s="1426"/>
      <c r="M801" s="1426"/>
      <c r="N801" s="1427"/>
      <c r="O801" s="1289"/>
      <c r="P801" s="1289"/>
      <c r="Q801" s="1289"/>
      <c r="R801" s="1289"/>
      <c r="S801" s="1289"/>
      <c r="T801" s="1548"/>
      <c r="U801" s="1549"/>
      <c r="V801" s="1549"/>
      <c r="W801" s="1550"/>
      <c r="X801" s="1473"/>
      <c r="Y801" s="1474"/>
      <c r="Z801" s="1474"/>
      <c r="AA801" s="1474"/>
      <c r="AB801" s="1475"/>
      <c r="AC801" s="1531">
        <f t="shared" si="42"/>
        <v>0</v>
      </c>
      <c r="AD801" s="1402"/>
      <c r="AE801" s="1402"/>
      <c r="AF801" s="1402"/>
      <c r="AG801" s="153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08">
        <f t="shared" si="43"/>
        <v>0</v>
      </c>
      <c r="CQ801" s="1509"/>
      <c r="CR801" s="1509"/>
      <c r="CS801" s="1509"/>
      <c r="CT801" s="1510"/>
      <c r="CU801" s="1508">
        <f t="shared" si="44"/>
        <v>0</v>
      </c>
      <c r="CV801" s="1509"/>
      <c r="CW801" s="1509"/>
      <c r="CX801" s="1509"/>
      <c r="CY801" s="1510"/>
      <c r="CZ801" s="1508">
        <f t="shared" si="45"/>
        <v>0</v>
      </c>
      <c r="DA801" s="1509"/>
      <c r="DB801" s="1509"/>
      <c r="DC801" s="1509"/>
      <c r="DD801" s="1510"/>
      <c r="DE801" s="1508">
        <f t="shared" si="46"/>
        <v>0</v>
      </c>
      <c r="DF801" s="1509"/>
      <c r="DG801" s="1509"/>
      <c r="DH801" s="1509"/>
      <c r="DI801" s="1510"/>
      <c r="DJ801" s="1508">
        <f t="shared" si="47"/>
        <v>0</v>
      </c>
      <c r="DK801" s="1509"/>
      <c r="DL801" s="1509"/>
      <c r="DM801" s="1509"/>
      <c r="DN801" s="1510"/>
      <c r="DO801" s="1508">
        <f t="shared" si="48"/>
        <v>0</v>
      </c>
      <c r="DP801" s="1509"/>
      <c r="DQ801" s="1509"/>
      <c r="DR801" s="1509"/>
      <c r="DS801" s="1510"/>
      <c r="DT801" s="6"/>
      <c r="DU801" s="1508">
        <f t="shared" si="49"/>
        <v>0</v>
      </c>
      <c r="DV801" s="1509"/>
      <c r="DW801" s="1509"/>
      <c r="DX801" s="1509"/>
      <c r="DY801" s="1510"/>
      <c r="DZ801" s="1508">
        <f t="shared" si="50"/>
        <v>0</v>
      </c>
      <c r="EA801" s="1509"/>
      <c r="EB801" s="1509"/>
      <c r="EC801" s="1509"/>
      <c r="ED801" s="1510"/>
      <c r="EE801" s="1508">
        <f t="shared" si="51"/>
        <v>0</v>
      </c>
      <c r="EF801" s="1509"/>
      <c r="EG801" s="1509"/>
      <c r="EH801" s="1509"/>
      <c r="EI801" s="1510"/>
      <c r="EJ801" s="1508">
        <f t="shared" si="52"/>
        <v>0</v>
      </c>
      <c r="EK801" s="1509"/>
      <c r="EL801" s="1509"/>
      <c r="EM801" s="1509"/>
      <c r="EN801" s="1510"/>
      <c r="EO801" s="1508">
        <f t="shared" si="53"/>
        <v>0</v>
      </c>
      <c r="EP801" s="1509"/>
      <c r="EQ801" s="1509"/>
      <c r="ER801" s="1509"/>
      <c r="ES801" s="1510"/>
      <c r="ET801" s="1508">
        <f t="shared" si="54"/>
        <v>0</v>
      </c>
      <c r="EU801" s="1509"/>
      <c r="EV801" s="1509"/>
      <c r="EW801" s="1509"/>
      <c r="EX801" s="1510"/>
    </row>
    <row r="802" spans="1:154" s="14" customFormat="1" ht="12.95" customHeight="1">
      <c r="A802"/>
      <c r="B802"/>
      <c r="C802"/>
      <c r="D802"/>
      <c r="E802"/>
      <c r="F802"/>
      <c r="G802"/>
      <c r="H802"/>
      <c r="I802"/>
      <c r="J802" s="1425"/>
      <c r="K802" s="1426"/>
      <c r="L802" s="1426"/>
      <c r="M802" s="1426"/>
      <c r="N802" s="1427"/>
      <c r="O802" s="1289"/>
      <c r="P802" s="1289"/>
      <c r="Q802" s="1289"/>
      <c r="R802" s="1289"/>
      <c r="S802" s="1289"/>
      <c r="T802" s="1548"/>
      <c r="U802" s="1549"/>
      <c r="V802" s="1549"/>
      <c r="W802" s="1550"/>
      <c r="X802" s="1473"/>
      <c r="Y802" s="1474"/>
      <c r="Z802" s="1474"/>
      <c r="AA802" s="1474"/>
      <c r="AB802" s="1475"/>
      <c r="AC802" s="1531">
        <f t="shared" si="42"/>
        <v>0</v>
      </c>
      <c r="AD802" s="1402"/>
      <c r="AE802" s="1402"/>
      <c r="AF802" s="1402"/>
      <c r="AG802" s="153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08">
        <f t="shared" si="43"/>
        <v>0</v>
      </c>
      <c r="CQ802" s="1509"/>
      <c r="CR802" s="1509"/>
      <c r="CS802" s="1509"/>
      <c r="CT802" s="1510"/>
      <c r="CU802" s="1508">
        <f t="shared" si="44"/>
        <v>0</v>
      </c>
      <c r="CV802" s="1509"/>
      <c r="CW802" s="1509"/>
      <c r="CX802" s="1509"/>
      <c r="CY802" s="1510"/>
      <c r="CZ802" s="1508">
        <f t="shared" si="45"/>
        <v>0</v>
      </c>
      <c r="DA802" s="1509"/>
      <c r="DB802" s="1509"/>
      <c r="DC802" s="1509"/>
      <c r="DD802" s="1510"/>
      <c r="DE802" s="1508">
        <f t="shared" si="46"/>
        <v>0</v>
      </c>
      <c r="DF802" s="1509"/>
      <c r="DG802" s="1509"/>
      <c r="DH802" s="1509"/>
      <c r="DI802" s="1510"/>
      <c r="DJ802" s="1508">
        <f t="shared" si="47"/>
        <v>0</v>
      </c>
      <c r="DK802" s="1509"/>
      <c r="DL802" s="1509"/>
      <c r="DM802" s="1509"/>
      <c r="DN802" s="1510"/>
      <c r="DO802" s="1508">
        <f t="shared" si="48"/>
        <v>0</v>
      </c>
      <c r="DP802" s="1509"/>
      <c r="DQ802" s="1509"/>
      <c r="DR802" s="1509"/>
      <c r="DS802" s="1510"/>
      <c r="DT802" s="6"/>
      <c r="DU802" s="1508">
        <f t="shared" si="49"/>
        <v>0</v>
      </c>
      <c r="DV802" s="1509"/>
      <c r="DW802" s="1509"/>
      <c r="DX802" s="1509"/>
      <c r="DY802" s="1510"/>
      <c r="DZ802" s="1508">
        <f t="shared" si="50"/>
        <v>0</v>
      </c>
      <c r="EA802" s="1509"/>
      <c r="EB802" s="1509"/>
      <c r="EC802" s="1509"/>
      <c r="ED802" s="1510"/>
      <c r="EE802" s="1508">
        <f t="shared" si="51"/>
        <v>0</v>
      </c>
      <c r="EF802" s="1509"/>
      <c r="EG802" s="1509"/>
      <c r="EH802" s="1509"/>
      <c r="EI802" s="1510"/>
      <c r="EJ802" s="1508">
        <f t="shared" si="52"/>
        <v>0</v>
      </c>
      <c r="EK802" s="1509"/>
      <c r="EL802" s="1509"/>
      <c r="EM802" s="1509"/>
      <c r="EN802" s="1510"/>
      <c r="EO802" s="1508">
        <f t="shared" si="53"/>
        <v>0</v>
      </c>
      <c r="EP802" s="1509"/>
      <c r="EQ802" s="1509"/>
      <c r="ER802" s="1509"/>
      <c r="ES802" s="1510"/>
      <c r="ET802" s="1508">
        <f t="shared" si="54"/>
        <v>0</v>
      </c>
      <c r="EU802" s="1509"/>
      <c r="EV802" s="1509"/>
      <c r="EW802" s="1509"/>
      <c r="EX802" s="1510"/>
    </row>
    <row r="803" spans="1:154" s="14" customFormat="1" ht="12.95" customHeight="1">
      <c r="A803"/>
      <c r="B803"/>
      <c r="C803"/>
      <c r="D803"/>
      <c r="E803"/>
      <c r="F803"/>
      <c r="G803"/>
      <c r="H803"/>
      <c r="I803"/>
      <c r="J803" s="1425"/>
      <c r="K803" s="1426"/>
      <c r="L803" s="1426"/>
      <c r="M803" s="1426"/>
      <c r="N803" s="1427"/>
      <c r="O803" s="1289"/>
      <c r="P803" s="1289"/>
      <c r="Q803" s="1289"/>
      <c r="R803" s="1289"/>
      <c r="S803" s="1289"/>
      <c r="T803" s="1548"/>
      <c r="U803" s="1549"/>
      <c r="V803" s="1549"/>
      <c r="W803" s="1550"/>
      <c r="X803" s="1473"/>
      <c r="Y803" s="1474"/>
      <c r="Z803" s="1474"/>
      <c r="AA803" s="1474"/>
      <c r="AB803" s="1475"/>
      <c r="AC803" s="1531">
        <f t="shared" si="42"/>
        <v>0</v>
      </c>
      <c r="AD803" s="1402"/>
      <c r="AE803" s="1402"/>
      <c r="AF803" s="1402"/>
      <c r="AG803" s="153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08">
        <f t="shared" si="43"/>
        <v>0</v>
      </c>
      <c r="CQ803" s="1509"/>
      <c r="CR803" s="1509"/>
      <c r="CS803" s="1509"/>
      <c r="CT803" s="1510"/>
      <c r="CU803" s="1508">
        <f t="shared" si="44"/>
        <v>0</v>
      </c>
      <c r="CV803" s="1509"/>
      <c r="CW803" s="1509"/>
      <c r="CX803" s="1509"/>
      <c r="CY803" s="1510"/>
      <c r="CZ803" s="1508">
        <f t="shared" si="45"/>
        <v>0</v>
      </c>
      <c r="DA803" s="1509"/>
      <c r="DB803" s="1509"/>
      <c r="DC803" s="1509"/>
      <c r="DD803" s="1510"/>
      <c r="DE803" s="1508">
        <f t="shared" si="46"/>
        <v>0</v>
      </c>
      <c r="DF803" s="1509"/>
      <c r="DG803" s="1509"/>
      <c r="DH803" s="1509"/>
      <c r="DI803" s="1510"/>
      <c r="DJ803" s="1508">
        <f t="shared" si="47"/>
        <v>0</v>
      </c>
      <c r="DK803" s="1509"/>
      <c r="DL803" s="1509"/>
      <c r="DM803" s="1509"/>
      <c r="DN803" s="1510"/>
      <c r="DO803" s="1508">
        <f t="shared" si="48"/>
        <v>0</v>
      </c>
      <c r="DP803" s="1509"/>
      <c r="DQ803" s="1509"/>
      <c r="DR803" s="1509"/>
      <c r="DS803" s="1510"/>
      <c r="DT803" s="6"/>
      <c r="DU803" s="1508">
        <f t="shared" si="49"/>
        <v>0</v>
      </c>
      <c r="DV803" s="1509"/>
      <c r="DW803" s="1509"/>
      <c r="DX803" s="1509"/>
      <c r="DY803" s="1510"/>
      <c r="DZ803" s="1508">
        <f t="shared" si="50"/>
        <v>0</v>
      </c>
      <c r="EA803" s="1509"/>
      <c r="EB803" s="1509"/>
      <c r="EC803" s="1509"/>
      <c r="ED803" s="1510"/>
      <c r="EE803" s="1508">
        <f t="shared" si="51"/>
        <v>0</v>
      </c>
      <c r="EF803" s="1509"/>
      <c r="EG803" s="1509"/>
      <c r="EH803" s="1509"/>
      <c r="EI803" s="1510"/>
      <c r="EJ803" s="1508">
        <f t="shared" si="52"/>
        <v>0</v>
      </c>
      <c r="EK803" s="1509"/>
      <c r="EL803" s="1509"/>
      <c r="EM803" s="1509"/>
      <c r="EN803" s="1510"/>
      <c r="EO803" s="1508">
        <f t="shared" si="53"/>
        <v>0</v>
      </c>
      <c r="EP803" s="1509"/>
      <c r="EQ803" s="1509"/>
      <c r="ER803" s="1509"/>
      <c r="ES803" s="1510"/>
      <c r="ET803" s="1508">
        <f t="shared" si="54"/>
        <v>0</v>
      </c>
      <c r="EU803" s="1509"/>
      <c r="EV803" s="1509"/>
      <c r="EW803" s="1509"/>
      <c r="EX803" s="1510"/>
    </row>
    <row r="804" spans="1:154" s="4" customFormat="1" ht="12.95" customHeight="1">
      <c r="A804"/>
      <c r="B804"/>
      <c r="C804"/>
      <c r="D804"/>
      <c r="E804"/>
      <c r="F804"/>
      <c r="G804"/>
      <c r="H804"/>
      <c r="I804"/>
      <c r="J804" s="1425"/>
      <c r="K804" s="1426"/>
      <c r="L804" s="1426"/>
      <c r="M804" s="1426"/>
      <c r="N804" s="1427"/>
      <c r="O804" s="1289"/>
      <c r="P804" s="1289"/>
      <c r="Q804" s="1289"/>
      <c r="R804" s="1289"/>
      <c r="S804" s="1289"/>
      <c r="T804" s="1548"/>
      <c r="U804" s="1549"/>
      <c r="V804" s="1549"/>
      <c r="W804" s="1550"/>
      <c r="X804" s="1473"/>
      <c r="Y804" s="1474"/>
      <c r="Z804" s="1474"/>
      <c r="AA804" s="1474"/>
      <c r="AB804" s="1475"/>
      <c r="AC804" s="1531">
        <f t="shared" si="42"/>
        <v>0</v>
      </c>
      <c r="AD804" s="1402"/>
      <c r="AE804" s="1402"/>
      <c r="AF804" s="1402"/>
      <c r="AG804" s="1532"/>
      <c r="AH804"/>
      <c r="AI804"/>
      <c r="AJ804"/>
      <c r="AK804"/>
      <c r="AL804"/>
      <c r="AM804"/>
      <c r="AN804"/>
      <c r="AO804"/>
      <c r="AP804"/>
      <c r="AQ804"/>
      <c r="AR804"/>
      <c r="AS804"/>
      <c r="AT804"/>
      <c r="AU804"/>
      <c r="AV804"/>
      <c r="AW804"/>
      <c r="AX804"/>
      <c r="AY804"/>
      <c r="AZ804" s="3"/>
      <c r="CP804" s="1508">
        <f t="shared" si="43"/>
        <v>0</v>
      </c>
      <c r="CQ804" s="1509"/>
      <c r="CR804" s="1509"/>
      <c r="CS804" s="1509"/>
      <c r="CT804" s="1510"/>
      <c r="CU804" s="1508">
        <f t="shared" si="44"/>
        <v>0</v>
      </c>
      <c r="CV804" s="1509"/>
      <c r="CW804" s="1509"/>
      <c r="CX804" s="1509"/>
      <c r="CY804" s="1510"/>
      <c r="CZ804" s="1508">
        <f t="shared" si="45"/>
        <v>0</v>
      </c>
      <c r="DA804" s="1509"/>
      <c r="DB804" s="1509"/>
      <c r="DC804" s="1509"/>
      <c r="DD804" s="1510"/>
      <c r="DE804" s="1508">
        <f t="shared" si="46"/>
        <v>0</v>
      </c>
      <c r="DF804" s="1509"/>
      <c r="DG804" s="1509"/>
      <c r="DH804" s="1509"/>
      <c r="DI804" s="1510"/>
      <c r="DJ804" s="1508">
        <f t="shared" si="47"/>
        <v>0</v>
      </c>
      <c r="DK804" s="1509"/>
      <c r="DL804" s="1509"/>
      <c r="DM804" s="1509"/>
      <c r="DN804" s="1510"/>
      <c r="DO804" s="1508">
        <f t="shared" si="48"/>
        <v>0</v>
      </c>
      <c r="DP804" s="1509"/>
      <c r="DQ804" s="1509"/>
      <c r="DR804" s="1509"/>
      <c r="DS804" s="1510"/>
      <c r="DT804" s="6"/>
      <c r="DU804" s="1508">
        <f t="shared" si="49"/>
        <v>0</v>
      </c>
      <c r="DV804" s="1509"/>
      <c r="DW804" s="1509"/>
      <c r="DX804" s="1509"/>
      <c r="DY804" s="1510"/>
      <c r="DZ804" s="1508">
        <f t="shared" si="50"/>
        <v>0</v>
      </c>
      <c r="EA804" s="1509"/>
      <c r="EB804" s="1509"/>
      <c r="EC804" s="1509"/>
      <c r="ED804" s="1510"/>
      <c r="EE804" s="1508">
        <f t="shared" si="51"/>
        <v>0</v>
      </c>
      <c r="EF804" s="1509"/>
      <c r="EG804" s="1509"/>
      <c r="EH804" s="1509"/>
      <c r="EI804" s="1510"/>
      <c r="EJ804" s="1508">
        <f t="shared" si="52"/>
        <v>0</v>
      </c>
      <c r="EK804" s="1509"/>
      <c r="EL804" s="1509"/>
      <c r="EM804" s="1509"/>
      <c r="EN804" s="1510"/>
      <c r="EO804" s="1508">
        <f t="shared" si="53"/>
        <v>0</v>
      </c>
      <c r="EP804" s="1509"/>
      <c r="EQ804" s="1509"/>
      <c r="ER804" s="1509"/>
      <c r="ES804" s="1510"/>
      <c r="ET804" s="1508">
        <f t="shared" si="54"/>
        <v>0</v>
      </c>
      <c r="EU804" s="1509"/>
      <c r="EV804" s="1509"/>
      <c r="EW804" s="1509"/>
      <c r="EX804" s="1510"/>
    </row>
    <row r="805" spans="1:154" s="4" customFormat="1" ht="12.95" customHeight="1">
      <c r="A805"/>
      <c r="B805"/>
      <c r="C805"/>
      <c r="D805"/>
      <c r="E805"/>
      <c r="F805"/>
      <c r="G805"/>
      <c r="H805"/>
      <c r="I805"/>
      <c r="J805" s="1489" t="s">
        <v>125</v>
      </c>
      <c r="K805" s="1490"/>
      <c r="L805" s="1490"/>
      <c r="M805" s="1490"/>
      <c r="N805" s="1491"/>
      <c r="O805" s="1609">
        <f>SUM(O795:S804)</f>
        <v>0</v>
      </c>
      <c r="P805" s="1609"/>
      <c r="Q805" s="1609"/>
      <c r="R805" s="1609"/>
      <c r="S805" s="1609"/>
      <c r="T805"/>
      <c r="U805"/>
      <c r="V805"/>
      <c r="W805"/>
      <c r="X805" s="898" t="s">
        <v>124</v>
      </c>
      <c r="Y805" s="11"/>
      <c r="Z805" s="11"/>
      <c r="AA805" s="11"/>
      <c r="AB805" s="905"/>
      <c r="AC805" s="1531">
        <f>SUM(AC795:AG804)</f>
        <v>0</v>
      </c>
      <c r="AD805" s="1402"/>
      <c r="AE805" s="1402"/>
      <c r="AF805" s="1402"/>
      <c r="AG805" s="1532"/>
      <c r="AH805"/>
      <c r="AI805"/>
      <c r="AJ805"/>
      <c r="AK805"/>
      <c r="AL805"/>
      <c r="AM805"/>
      <c r="AN805"/>
      <c r="AO805"/>
      <c r="AP805"/>
      <c r="AQ805"/>
      <c r="AR805"/>
      <c r="AS805"/>
      <c r="AT805"/>
      <c r="AU805"/>
      <c r="AV805"/>
      <c r="AW805"/>
      <c r="AX805"/>
      <c r="AY805"/>
      <c r="AZ805" s="3"/>
      <c r="BA805"/>
      <c r="CP805" s="1518">
        <f>SUM(CP795:CT804)</f>
        <v>0</v>
      </c>
      <c r="CQ805" s="1625"/>
      <c r="CR805" s="1625"/>
      <c r="CS805" s="1625"/>
      <c r="CT805" s="1519"/>
      <c r="CU805" s="1511">
        <f>SUM(CU795:CY804)</f>
        <v>0</v>
      </c>
      <c r="CV805" s="1512"/>
      <c r="CW805" s="1512"/>
      <c r="CX805" s="1512"/>
      <c r="CY805" s="1513"/>
      <c r="CZ805" s="1511">
        <f>SUM(CZ795:DD804)</f>
        <v>0</v>
      </c>
      <c r="DA805" s="1512"/>
      <c r="DB805" s="1512"/>
      <c r="DC805" s="1512"/>
      <c r="DD805" s="1513"/>
      <c r="DE805" s="1511">
        <f>SUM(DE795:DI804)</f>
        <v>0</v>
      </c>
      <c r="DF805" s="1512"/>
      <c r="DG805" s="1512"/>
      <c r="DH805" s="1512"/>
      <c r="DI805" s="1513"/>
      <c r="DJ805" s="1511">
        <f>SUM(DJ795:DN804)</f>
        <v>0</v>
      </c>
      <c r="DK805" s="1512"/>
      <c r="DL805" s="1512"/>
      <c r="DM805" s="1512"/>
      <c r="DN805" s="1513"/>
      <c r="DO805" s="1511">
        <f>SUM(DO795:DS804)</f>
        <v>0</v>
      </c>
      <c r="DP805" s="1512"/>
      <c r="DQ805" s="1512"/>
      <c r="DR805" s="1512"/>
      <c r="DS805" s="1513"/>
      <c r="DT805" s="1007"/>
      <c r="DU805" s="1518">
        <f>SUM(DU795:DY804)</f>
        <v>0</v>
      </c>
      <c r="DV805" s="1625"/>
      <c r="DW805" s="1625"/>
      <c r="DX805" s="1625"/>
      <c r="DY805" s="1519"/>
      <c r="DZ805" s="1518">
        <f>SUM(DZ795:ED804)</f>
        <v>0</v>
      </c>
      <c r="EA805" s="1625"/>
      <c r="EB805" s="1625"/>
      <c r="EC805" s="1625"/>
      <c r="ED805" s="1519"/>
      <c r="EE805" s="1518">
        <f>SUM(EE795:EI804)</f>
        <v>0</v>
      </c>
      <c r="EF805" s="1625"/>
      <c r="EG805" s="1625"/>
      <c r="EH805" s="1625"/>
      <c r="EI805" s="1519"/>
      <c r="EJ805" s="1518">
        <f>SUM(EJ795:EN804)</f>
        <v>0</v>
      </c>
      <c r="EK805" s="1625"/>
      <c r="EL805" s="1625"/>
      <c r="EM805" s="1625"/>
      <c r="EN805" s="1519"/>
      <c r="EO805" s="1518">
        <f>SUM(EO795:ES804)</f>
        <v>0</v>
      </c>
      <c r="EP805" s="1625"/>
      <c r="EQ805" s="1625"/>
      <c r="ER805" s="1625"/>
      <c r="ES805" s="1519"/>
      <c r="ET805" s="1518">
        <f>SUM(ET795:EX804)</f>
        <v>0</v>
      </c>
      <c r="EU805" s="1625"/>
      <c r="EV805" s="1625"/>
      <c r="EW805" s="1625"/>
      <c r="EX805" s="1519"/>
    </row>
    <row r="806" spans="1:154" s="4" customFormat="1" ht="12.95" customHeight="1">
      <c r="A806"/>
      <c r="B806"/>
      <c r="C806" s="1610" t="str">
        <f>IF(O805&lt;&gt;AG447,"! Total market rate units in the Unit Mix Table above does not match the number of  market rate units on row #"&amp;TEXT(ROW(D447),"#"),"")</f>
        <v/>
      </c>
      <c r="D806" s="1610"/>
      <c r="E806" s="1610"/>
      <c r="F806" s="1610"/>
      <c r="G806" s="1610"/>
      <c r="H806" s="1610"/>
      <c r="I806" s="1610"/>
      <c r="J806" s="1610"/>
      <c r="K806" s="1610"/>
      <c r="L806" s="1610"/>
      <c r="M806" s="1610"/>
      <c r="N806" s="1610"/>
      <c r="O806" s="1610"/>
      <c r="P806" s="1610"/>
      <c r="Q806" s="1610"/>
      <c r="R806" s="1610"/>
      <c r="S806" s="1610"/>
      <c r="T806" s="1610"/>
      <c r="U806" s="1610"/>
      <c r="V806" s="1610"/>
      <c r="W806" s="1610"/>
      <c r="X806" s="1610"/>
      <c r="Y806" s="1610"/>
      <c r="Z806" s="1610"/>
      <c r="AA806" s="1610"/>
      <c r="AB806" s="1610"/>
      <c r="AC806" s="1610"/>
      <c r="AD806" s="1610"/>
      <c r="AE806" s="1610"/>
      <c r="AF806" s="1610"/>
      <c r="AG806" s="1610"/>
      <c r="AH806" s="1610"/>
      <c r="AI806" s="1610"/>
      <c r="AJ806" s="1610"/>
      <c r="AK806" s="1610"/>
      <c r="AL806" s="1610"/>
      <c r="AM806" s="1610"/>
      <c r="AN806" s="1610"/>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10"/>
      <c r="D807" s="1610"/>
      <c r="E807" s="1610"/>
      <c r="F807" s="1610"/>
      <c r="G807" s="1610"/>
      <c r="H807" s="1610"/>
      <c r="I807" s="1610"/>
      <c r="J807" s="1610"/>
      <c r="K807" s="1610"/>
      <c r="L807" s="1610"/>
      <c r="M807" s="1610"/>
      <c r="N807" s="1610"/>
      <c r="O807" s="1610"/>
      <c r="P807" s="1610"/>
      <c r="Q807" s="1610"/>
      <c r="R807" s="1610"/>
      <c r="S807" s="1610"/>
      <c r="T807" s="1610"/>
      <c r="U807" s="1610"/>
      <c r="V807" s="1610"/>
      <c r="W807" s="1610"/>
      <c r="X807" s="1610"/>
      <c r="Y807" s="1610"/>
      <c r="Z807" s="1610"/>
      <c r="AA807" s="1610"/>
      <c r="AB807" s="1610"/>
      <c r="AC807" s="1610"/>
      <c r="AD807" s="1610"/>
      <c r="AE807" s="1610"/>
      <c r="AF807" s="1610"/>
      <c r="AG807" s="1610"/>
      <c r="AH807" s="1610"/>
      <c r="AI807" s="1610"/>
      <c r="AJ807" s="1610"/>
      <c r="AK807" s="1610"/>
      <c r="AL807" s="1610"/>
      <c r="AM807" s="1610"/>
      <c r="AN807" s="1610"/>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793">
        <f>SUM(DU805:EX805)</f>
        <v>0</v>
      </c>
      <c r="EU807" s="1794"/>
      <c r="EV807" s="1794"/>
      <c r="EW807" s="1794"/>
      <c r="EX807" s="1795"/>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312">
        <f>O761+AC785+AC805</f>
        <v>107026.4</v>
      </c>
      <c r="Z808" s="1312"/>
      <c r="AA808" s="1312"/>
      <c r="AB808" s="1312"/>
      <c r="AC808" s="1312"/>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312">
        <f>(O761+AC785+AC805)*12</f>
        <v>1284316.7999999998</v>
      </c>
      <c r="Z809" s="1312"/>
      <c r="AA809" s="1312"/>
      <c r="AB809" s="1312"/>
      <c r="AC809" s="1312"/>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11">
        <f>CP761+CP785+CP805</f>
        <v>7</v>
      </c>
      <c r="CQ810" s="1512"/>
      <c r="CR810" s="1512"/>
      <c r="CS810" s="1512"/>
      <c r="CT810" s="1513"/>
      <c r="CU810" s="1511">
        <f>CU761+CU785+CU805</f>
        <v>38</v>
      </c>
      <c r="CV810" s="1512"/>
      <c r="CW810" s="1512"/>
      <c r="CX810" s="1512"/>
      <c r="CY810" s="1513"/>
      <c r="CZ810" s="1511">
        <f>CZ761+CZ785+CZ805</f>
        <v>7</v>
      </c>
      <c r="DA810" s="1512"/>
      <c r="DB810" s="1512"/>
      <c r="DC810" s="1512"/>
      <c r="DD810" s="1513"/>
      <c r="DE810" s="1511">
        <f>DE761+DE785+DE805</f>
        <v>7</v>
      </c>
      <c r="DF810" s="1512"/>
      <c r="DG810" s="1512"/>
      <c r="DH810" s="1512"/>
      <c r="DI810" s="1513"/>
      <c r="DJ810" s="1511">
        <f>DJ761+DJ785+DJ805</f>
        <v>0</v>
      </c>
      <c r="DK810" s="1512"/>
      <c r="DL810" s="1512"/>
      <c r="DM810" s="1512"/>
      <c r="DN810" s="1513"/>
      <c r="DO810" s="1515">
        <f>DO805+DO785+DO761</f>
        <v>0</v>
      </c>
      <c r="DP810" s="1516"/>
      <c r="DQ810" s="1516"/>
      <c r="DR810" s="1516"/>
      <c r="DS810" s="1517"/>
      <c r="DT810" s="3"/>
      <c r="DU810" s="857">
        <f>DU763+DU808</f>
        <v>79</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60">
        <v>0</v>
      </c>
      <c r="AA814" s="1561"/>
      <c r="AB814" s="1561"/>
      <c r="AC814" s="1561"/>
      <c r="AD814" s="1561"/>
      <c r="AE814" s="1562"/>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51">
        <v>0</v>
      </c>
      <c r="AA815" s="1561"/>
      <c r="AB815" s="1561"/>
      <c r="AC815" s="1561"/>
      <c r="AD815" s="1561"/>
      <c r="AE815" s="1562"/>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02" t="s">
        <v>591</v>
      </c>
      <c r="AA816" s="1567"/>
      <c r="AB816" s="1567"/>
      <c r="AC816" s="1567"/>
      <c r="AD816" s="1567"/>
      <c r="AE816" s="1568"/>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61">
        <f>'Subsidy Contract Calculation'!J40</f>
        <v>0</v>
      </c>
      <c r="AA817" s="1462"/>
      <c r="AB817" s="1462"/>
      <c r="AC817" s="1462"/>
      <c r="AD817" s="1462"/>
      <c r="AE817" s="1463"/>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35">
        <v>46000</v>
      </c>
      <c r="AA821" s="1436"/>
      <c r="AB821" s="1436"/>
      <c r="AC821" s="1436"/>
      <c r="AD821" s="1436"/>
      <c r="AE821" s="1437"/>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35">
        <f>65000-Z821</f>
        <v>19000</v>
      </c>
      <c r="AA822" s="1436"/>
      <c r="AB822" s="1436"/>
      <c r="AC822" s="1436"/>
      <c r="AD822" s="1436"/>
      <c r="AE822" s="1437"/>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35">
        <v>0</v>
      </c>
      <c r="AA823" s="1436"/>
      <c r="AB823" s="1436"/>
      <c r="AC823" s="1436"/>
      <c r="AD823" s="1436"/>
      <c r="AE823" s="1437"/>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316" t="s">
        <v>2750</v>
      </c>
      <c r="Q824" s="1317"/>
      <c r="R824" s="1317"/>
      <c r="S824" s="1317"/>
      <c r="T824" s="1317"/>
      <c r="U824" s="1317"/>
      <c r="V824" s="1317"/>
      <c r="W824" s="1317"/>
      <c r="X824" s="1317"/>
      <c r="Y824" s="1318"/>
      <c r="Z824" s="1435">
        <v>0</v>
      </c>
      <c r="AA824" s="1436"/>
      <c r="AB824" s="1436"/>
      <c r="AC824" s="1436"/>
      <c r="AD824" s="1436"/>
      <c r="AE824" s="1437"/>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61">
        <f>SUM(Z821:AE824)</f>
        <v>65000</v>
      </c>
      <c r="AA825" s="1462"/>
      <c r="AB825" s="1462"/>
      <c r="AC825" s="1462"/>
      <c r="AD825" s="1462"/>
      <c r="AE825" s="1463"/>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61">
        <f>Z825+Y809+Z817</f>
        <v>1349316.7999999998</v>
      </c>
      <c r="AA826" s="1462"/>
      <c r="AB826" s="1462"/>
      <c r="AC826" s="1462"/>
      <c r="AD826" s="1462"/>
      <c r="AE826" s="1463"/>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370" t="s">
        <v>126</v>
      </c>
      <c r="N831" s="1370"/>
      <c r="O831" s="1370"/>
      <c r="P831" s="1605"/>
      <c r="Q831" s="1606" t="s">
        <v>290</v>
      </c>
      <c r="R831" s="1606"/>
      <c r="S831" s="1606"/>
      <c r="T831" s="1606"/>
      <c r="U831" s="1606" t="s">
        <v>291</v>
      </c>
      <c r="V831" s="1606"/>
      <c r="W831" s="1606"/>
      <c r="X831" s="1606"/>
      <c r="Y831" s="1606" t="s">
        <v>292</v>
      </c>
      <c r="Z831" s="1606"/>
      <c r="AA831" s="1606"/>
      <c r="AB831" s="1606"/>
      <c r="AC831" s="1606" t="s">
        <v>361</v>
      </c>
      <c r="AD831" s="1606"/>
      <c r="AE831" s="1606"/>
      <c r="AF831" s="1606"/>
      <c r="AG831" s="1652" t="s">
        <v>335</v>
      </c>
      <c r="AH831" s="1652"/>
      <c r="AI831" s="1652"/>
      <c r="AJ831" s="1652"/>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374"/>
      <c r="N832" s="1374"/>
      <c r="O832" s="1374"/>
      <c r="P832" s="1589"/>
      <c r="Q832" s="1606"/>
      <c r="R832" s="1606"/>
      <c r="S832" s="1606"/>
      <c r="T832" s="1606"/>
      <c r="U832" s="1606"/>
      <c r="V832" s="1606"/>
      <c r="W832" s="1606"/>
      <c r="X832" s="1606"/>
      <c r="Y832" s="1606"/>
      <c r="Z832" s="1606"/>
      <c r="AA832" s="1606"/>
      <c r="AB832" s="1606"/>
      <c r="AC832" s="1606"/>
      <c r="AD832" s="1606"/>
      <c r="AE832" s="1606"/>
      <c r="AF832" s="1606"/>
      <c r="AG832" s="1652"/>
      <c r="AH832" s="1652"/>
      <c r="AI832" s="1652"/>
      <c r="AJ832" s="1652"/>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27" t="s">
        <v>40</v>
      </c>
      <c r="D833" s="1416"/>
      <c r="E833" s="1416"/>
      <c r="F833" s="1416"/>
      <c r="G833" s="1416"/>
      <c r="H833" s="1416"/>
      <c r="I833" s="48"/>
      <c r="J833" s="48"/>
      <c r="K833" s="48"/>
      <c r="L833" s="49"/>
      <c r="M833" s="1520"/>
      <c r="N833" s="1520"/>
      <c r="O833" s="1520"/>
      <c r="P833" s="1520"/>
      <c r="Q833" s="1520"/>
      <c r="R833" s="1520"/>
      <c r="S833" s="1520"/>
      <c r="T833" s="1520"/>
      <c r="U833" s="1520"/>
      <c r="V833" s="1520"/>
      <c r="W833" s="1520"/>
      <c r="X833" s="1520"/>
      <c r="Y833" s="1520"/>
      <c r="Z833" s="1520"/>
      <c r="AA833" s="1520"/>
      <c r="AB833" s="1520"/>
      <c r="AC833" s="1476"/>
      <c r="AD833" s="1477"/>
      <c r="AE833" s="1477"/>
      <c r="AF833" s="1478"/>
      <c r="AG833" s="1476"/>
      <c r="AH833" s="1477"/>
      <c r="AI833" s="1477"/>
      <c r="AJ833" s="1478"/>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07" t="s">
        <v>41</v>
      </c>
      <c r="D834" s="1608"/>
      <c r="E834" s="1608"/>
      <c r="F834" s="1608"/>
      <c r="G834" s="1608"/>
      <c r="H834" s="1608"/>
      <c r="I834" s="5"/>
      <c r="J834" s="5"/>
      <c r="K834" s="5"/>
      <c r="L834" s="46"/>
      <c r="M834" s="1520"/>
      <c r="N834" s="1520"/>
      <c r="O834" s="1520"/>
      <c r="P834" s="1520"/>
      <c r="Q834" s="1520"/>
      <c r="R834" s="1520"/>
      <c r="S834" s="1520"/>
      <c r="T834" s="1520"/>
      <c r="U834" s="1520"/>
      <c r="V834" s="1520"/>
      <c r="W834" s="1520"/>
      <c r="X834" s="1520"/>
      <c r="Y834" s="1520"/>
      <c r="Z834" s="1520"/>
      <c r="AA834" s="1520"/>
      <c r="AB834" s="1520"/>
      <c r="AC834" s="1476"/>
      <c r="AD834" s="1477"/>
      <c r="AE834" s="1477"/>
      <c r="AF834" s="1478"/>
      <c r="AG834" s="1476"/>
      <c r="AH834" s="1477"/>
      <c r="AI834" s="1477"/>
      <c r="AJ834" s="1478"/>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07" t="s">
        <v>42</v>
      </c>
      <c r="D835" s="1608"/>
      <c r="E835" s="1608"/>
      <c r="F835" s="1608"/>
      <c r="G835" s="1608"/>
      <c r="H835" s="1608"/>
      <c r="I835" s="60"/>
      <c r="J835" s="60"/>
      <c r="K835" s="60"/>
      <c r="L835" s="61"/>
      <c r="M835" s="1520"/>
      <c r="N835" s="1520"/>
      <c r="O835" s="1520"/>
      <c r="P835" s="1520"/>
      <c r="Q835" s="1520"/>
      <c r="R835" s="1520"/>
      <c r="S835" s="1520"/>
      <c r="T835" s="1520"/>
      <c r="U835" s="1520"/>
      <c r="V835" s="1520"/>
      <c r="W835" s="1520"/>
      <c r="X835" s="1520"/>
      <c r="Y835" s="1520"/>
      <c r="Z835" s="1520"/>
      <c r="AA835" s="1520"/>
      <c r="AB835" s="1520"/>
      <c r="AC835" s="1476"/>
      <c r="AD835" s="1477"/>
      <c r="AE835" s="1477"/>
      <c r="AF835" s="1478"/>
      <c r="AG835" s="1476"/>
      <c r="AH835" s="1477"/>
      <c r="AI835" s="1477"/>
      <c r="AJ835" s="1478"/>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07" t="s">
        <v>762</v>
      </c>
      <c r="D836" s="1608"/>
      <c r="E836" s="1608"/>
      <c r="F836" s="1608"/>
      <c r="G836" s="1608"/>
      <c r="H836" s="1608"/>
      <c r="I836" s="60"/>
      <c r="J836" s="60"/>
      <c r="K836" s="60"/>
      <c r="L836" s="61"/>
      <c r="M836" s="1520"/>
      <c r="N836" s="1520"/>
      <c r="O836" s="1520"/>
      <c r="P836" s="1520"/>
      <c r="Q836" s="1520"/>
      <c r="R836" s="1520"/>
      <c r="S836" s="1520"/>
      <c r="T836" s="1520"/>
      <c r="U836" s="1520"/>
      <c r="V836" s="1520"/>
      <c r="W836" s="1520"/>
      <c r="X836" s="1520"/>
      <c r="Y836" s="1520"/>
      <c r="Z836" s="1520"/>
      <c r="AA836" s="1520"/>
      <c r="AB836" s="1520"/>
      <c r="AC836" s="1476"/>
      <c r="AD836" s="1477"/>
      <c r="AE836" s="1477"/>
      <c r="AF836" s="1478"/>
      <c r="AG836" s="1476"/>
      <c r="AH836" s="1477"/>
      <c r="AI836" s="1477"/>
      <c r="AJ836" s="1478"/>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07" t="s">
        <v>459</v>
      </c>
      <c r="D837" s="1608"/>
      <c r="E837" s="1608"/>
      <c r="F837" s="1608"/>
      <c r="G837" s="1608"/>
      <c r="H837" s="1608"/>
      <c r="I837" s="60"/>
      <c r="J837" s="60"/>
      <c r="K837" s="60"/>
      <c r="L837" s="61"/>
      <c r="M837" s="1520"/>
      <c r="N837" s="1520"/>
      <c r="O837" s="1520"/>
      <c r="P837" s="1520"/>
      <c r="Q837" s="1520"/>
      <c r="R837" s="1520"/>
      <c r="S837" s="1520"/>
      <c r="T837" s="1520"/>
      <c r="U837" s="1520"/>
      <c r="V837" s="1520"/>
      <c r="W837" s="1520"/>
      <c r="X837" s="1520"/>
      <c r="Y837" s="1520"/>
      <c r="Z837" s="1520"/>
      <c r="AA837" s="1520"/>
      <c r="AB837" s="1520"/>
      <c r="AC837" s="1476"/>
      <c r="AD837" s="1477"/>
      <c r="AE837" s="1477"/>
      <c r="AF837" s="1478"/>
      <c r="AG837" s="1476"/>
      <c r="AH837" s="1477"/>
      <c r="AI837" s="1477"/>
      <c r="AJ837" s="1478"/>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796" t="s">
        <v>783</v>
      </c>
      <c r="D838" s="1608"/>
      <c r="E838" s="1608"/>
      <c r="F838" s="1608"/>
      <c r="G838" s="1608"/>
      <c r="H838" s="1608"/>
      <c r="I838" s="60"/>
      <c r="J838" s="60"/>
      <c r="K838" s="60"/>
      <c r="L838" s="61"/>
      <c r="M838" s="1520"/>
      <c r="N838" s="1520"/>
      <c r="O838" s="1520"/>
      <c r="P838" s="1520"/>
      <c r="Q838" s="1520"/>
      <c r="R838" s="1520"/>
      <c r="S838" s="1520"/>
      <c r="T838" s="1520"/>
      <c r="U838" s="1520"/>
      <c r="V838" s="1520"/>
      <c r="W838" s="1520"/>
      <c r="X838" s="1520"/>
      <c r="Y838" s="1520"/>
      <c r="Z838" s="1520"/>
      <c r="AA838" s="1520"/>
      <c r="AB838" s="1520"/>
      <c r="AC838" s="1476"/>
      <c r="AD838" s="1477"/>
      <c r="AE838" s="1477"/>
      <c r="AF838" s="1478"/>
      <c r="AG838" s="1476"/>
      <c r="AH838" s="1477"/>
      <c r="AI838" s="1477"/>
      <c r="AJ838" s="1478"/>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316"/>
      <c r="G839" s="1317"/>
      <c r="H839" s="1317"/>
      <c r="I839" s="1317"/>
      <c r="J839" s="1317"/>
      <c r="K839" s="1317"/>
      <c r="L839" s="1317"/>
      <c r="M839" s="1520"/>
      <c r="N839" s="1520"/>
      <c r="O839" s="1520"/>
      <c r="P839" s="1520"/>
      <c r="Q839" s="1520"/>
      <c r="R839" s="1520"/>
      <c r="S839" s="1520"/>
      <c r="T839" s="1520"/>
      <c r="U839" s="1520"/>
      <c r="V839" s="1520"/>
      <c r="W839" s="1520"/>
      <c r="X839" s="1520"/>
      <c r="Y839" s="1520"/>
      <c r="Z839" s="1520"/>
      <c r="AA839" s="1520"/>
      <c r="AB839" s="1520"/>
      <c r="AC839" s="1476"/>
      <c r="AD839" s="1477"/>
      <c r="AE839" s="1477"/>
      <c r="AF839" s="1478"/>
      <c r="AG839" s="1476"/>
      <c r="AH839" s="1477"/>
      <c r="AI839" s="1477"/>
      <c r="AJ839" s="1478"/>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89" t="s">
        <v>124</v>
      </c>
      <c r="D840" s="1490"/>
      <c r="E840" s="1490"/>
      <c r="F840" s="1490"/>
      <c r="G840" s="1490"/>
      <c r="H840" s="1490"/>
      <c r="I840" s="1490"/>
      <c r="J840" s="1490"/>
      <c r="K840" s="1490"/>
      <c r="L840" s="1491"/>
      <c r="M840" s="1538">
        <f>SUM(M833:P839)</f>
        <v>0</v>
      </c>
      <c r="N840" s="1538"/>
      <c r="O840" s="1538"/>
      <c r="P840" s="1538"/>
      <c r="Q840" s="1538">
        <f>SUM(Q833:T839)</f>
        <v>0</v>
      </c>
      <c r="R840" s="1538"/>
      <c r="S840" s="1538"/>
      <c r="T840" s="1538"/>
      <c r="U840" s="1538">
        <f>SUM(U833:X839)</f>
        <v>0</v>
      </c>
      <c r="V840" s="1538"/>
      <c r="W840" s="1538"/>
      <c r="X840" s="1538"/>
      <c r="Y840" s="1538">
        <f>SUM(Y833:AB839)</f>
        <v>0</v>
      </c>
      <c r="Z840" s="1538"/>
      <c r="AA840" s="1538"/>
      <c r="AB840" s="1538"/>
      <c r="AC840" s="1538">
        <f>SUM(AC833:AF839)</f>
        <v>0</v>
      </c>
      <c r="AD840" s="1538"/>
      <c r="AE840" s="1538"/>
      <c r="AF840" s="1538"/>
      <c r="AG840" s="1538">
        <f>SUM(AG833:AJ839)</f>
        <v>0</v>
      </c>
      <c r="AH840" s="1538"/>
      <c r="AI840" s="1538"/>
      <c r="AJ840" s="1538"/>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48" t="s">
        <v>2767</v>
      </c>
      <c r="D845" s="1649"/>
      <c r="E845" s="1649"/>
      <c r="F845" s="1649"/>
      <c r="G845" s="1649"/>
      <c r="H845" s="1649"/>
      <c r="I845" s="1649"/>
      <c r="J845" s="1649"/>
      <c r="K845" s="1649"/>
      <c r="L845" s="1649"/>
      <c r="M845" s="1649"/>
      <c r="N845" s="1649"/>
      <c r="O845" s="1649"/>
      <c r="P845" s="1649"/>
      <c r="Q845" s="1649"/>
      <c r="R845" s="1649"/>
      <c r="S845" s="1649"/>
      <c r="T845" s="1649"/>
      <c r="U845" s="1649"/>
      <c r="V845" s="1649"/>
      <c r="W845" s="1649"/>
      <c r="X845" s="1649"/>
      <c r="Y845" s="1649"/>
      <c r="Z845" s="1649"/>
      <c r="AA845" s="1649"/>
      <c r="AB845" s="1649"/>
      <c r="AC845" s="1649"/>
      <c r="AD845" s="1649"/>
      <c r="AE845" s="1649"/>
      <c r="AF845" s="1649"/>
      <c r="AG845" s="1649"/>
      <c r="AH845" s="1649"/>
      <c r="AI845" s="1649"/>
      <c r="AJ845" s="1650"/>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03"/>
      <c r="BJ849" s="1603"/>
      <c r="BK849" s="1603"/>
      <c r="BL849" s="1603"/>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485">
        <v>3617</v>
      </c>
      <c r="X850" s="1485"/>
      <c r="Y850" s="1485"/>
      <c r="Z850" s="1485"/>
      <c r="AA850" s="1485"/>
      <c r="AB850" s="1485"/>
      <c r="AC850" s="1485"/>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485">
        <v>14171</v>
      </c>
      <c r="X851" s="1485"/>
      <c r="Y851" s="1485"/>
      <c r="Z851" s="1485"/>
      <c r="AA851" s="1485"/>
      <c r="AB851" s="1485"/>
      <c r="AC851" s="1485"/>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485">
        <v>11776</v>
      </c>
      <c r="X852" s="1485"/>
      <c r="Y852" s="1485"/>
      <c r="Z852" s="1485"/>
      <c r="AA852" s="1485"/>
      <c r="AB852" s="1485"/>
      <c r="AC852" s="1485"/>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485">
        <v>15381</v>
      </c>
      <c r="X853" s="1485"/>
      <c r="Y853" s="1485"/>
      <c r="Z853" s="1485"/>
      <c r="AA853" s="1485"/>
      <c r="AB853" s="1485"/>
      <c r="AC853" s="1485"/>
      <c r="AZ853" s="30"/>
      <c r="BA853" s="30"/>
      <c r="BB853" s="14"/>
      <c r="BC853" s="14"/>
      <c r="BD853" s="14"/>
      <c r="BE853" s="14"/>
      <c r="BF853" s="14"/>
      <c r="BG853" s="14"/>
      <c r="BH853" s="14"/>
      <c r="BI853" s="14"/>
      <c r="BJ853" s="14"/>
      <c r="BK853" s="14"/>
      <c r="BL853" s="14"/>
    </row>
    <row r="854" spans="1:64" ht="12.95" customHeight="1">
      <c r="J854" s="45" t="s">
        <v>170</v>
      </c>
      <c r="K854" s="5"/>
      <c r="L854" s="5"/>
      <c r="M854" s="1316" t="s">
        <v>2713</v>
      </c>
      <c r="N854" s="1317"/>
      <c r="O854" s="1317"/>
      <c r="P854" s="1317"/>
      <c r="Q854" s="1317"/>
      <c r="R854" s="1317"/>
      <c r="S854" s="1317"/>
      <c r="T854" s="1317"/>
      <c r="U854" s="1317"/>
      <c r="V854" s="1318"/>
      <c r="W854" s="1485">
        <v>18173</v>
      </c>
      <c r="X854" s="1485"/>
      <c r="Y854" s="1485"/>
      <c r="Z854" s="1485"/>
      <c r="AA854" s="1485"/>
      <c r="AB854" s="1485"/>
      <c r="AC854" s="1485"/>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61">
        <f>SUM(W850:W854)</f>
        <v>63118</v>
      </c>
      <c r="X855" s="1462"/>
      <c r="Y855" s="1462"/>
      <c r="Z855" s="1462"/>
      <c r="AA855" s="1462"/>
      <c r="AB855" s="1462"/>
      <c r="AC855" s="1463"/>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533"/>
      <c r="BH856" s="1533"/>
      <c r="BI856" s="1533"/>
      <c r="BJ856" s="1533"/>
      <c r="BK856" s="1533"/>
      <c r="BL856" s="1533"/>
    </row>
    <row r="857" spans="1:64" ht="12.95" customHeight="1">
      <c r="C857" s="2" t="s">
        <v>344</v>
      </c>
      <c r="J857" s="1489" t="s">
        <v>345</v>
      </c>
      <c r="K857" s="1490"/>
      <c r="L857" s="1490"/>
      <c r="M857" s="1490"/>
      <c r="N857" s="1490"/>
      <c r="O857" s="1490"/>
      <c r="P857" s="1490"/>
      <c r="Q857" s="1490"/>
      <c r="R857" s="1490"/>
      <c r="S857" s="1490"/>
      <c r="T857" s="1490"/>
      <c r="U857" s="1490"/>
      <c r="V857" s="1491"/>
      <c r="W857" s="1435">
        <v>50516</v>
      </c>
      <c r="X857" s="1436"/>
      <c r="Y857" s="1436"/>
      <c r="Z857" s="1436"/>
      <c r="AA857" s="1436"/>
      <c r="AB857" s="1436"/>
      <c r="AC857" s="1437"/>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547"/>
      <c r="X859" s="1547"/>
      <c r="Y859" s="1547"/>
      <c r="Z859" s="1547"/>
      <c r="AA859" s="1547"/>
      <c r="AB859" s="1547"/>
      <c r="AC859" s="1547"/>
      <c r="AZ859" s="1647"/>
      <c r="BA859" s="1647"/>
      <c r="BB859" s="14"/>
      <c r="BC859" s="14"/>
    </row>
    <row r="860" spans="1:64" ht="12.95" customHeight="1">
      <c r="J860" s="45" t="s">
        <v>351</v>
      </c>
      <c r="K860" s="5"/>
      <c r="L860" s="5"/>
      <c r="M860" s="5"/>
      <c r="N860" s="5"/>
      <c r="O860" s="5"/>
      <c r="P860" s="5"/>
      <c r="Q860" s="5"/>
      <c r="R860" s="5"/>
      <c r="S860" s="5"/>
      <c r="T860" s="5"/>
      <c r="U860" s="5"/>
      <c r="V860" s="46"/>
      <c r="W860" s="1547">
        <v>12751</v>
      </c>
      <c r="X860" s="1547"/>
      <c r="Y860" s="1547"/>
      <c r="Z860" s="1547"/>
      <c r="AA860" s="1547"/>
      <c r="AB860" s="1547"/>
      <c r="AC860" s="1547"/>
      <c r="AZ860" s="30"/>
      <c r="BA860" s="30"/>
      <c r="BB860" s="14"/>
      <c r="BC860" s="14"/>
    </row>
    <row r="861" spans="1:64" ht="12.95" customHeight="1">
      <c r="J861" s="45" t="s">
        <v>459</v>
      </c>
      <c r="K861" s="5"/>
      <c r="L861" s="5"/>
      <c r="M861" s="5"/>
      <c r="N861" s="5"/>
      <c r="O861" s="5"/>
      <c r="P861" s="5"/>
      <c r="Q861" s="5"/>
      <c r="R861" s="5"/>
      <c r="S861" s="5"/>
      <c r="T861" s="5"/>
      <c r="U861" s="5"/>
      <c r="V861" s="46"/>
      <c r="W861" s="1547">
        <v>22644</v>
      </c>
      <c r="X861" s="1547"/>
      <c r="Y861" s="1547"/>
      <c r="Z861" s="1547"/>
      <c r="AA861" s="1547"/>
      <c r="AB861" s="1547"/>
      <c r="AC861" s="1547"/>
      <c r="AZ861" s="30"/>
      <c r="BA861" s="30"/>
      <c r="BB861" s="14"/>
      <c r="BC861" s="14"/>
    </row>
    <row r="862" spans="1:64" ht="12.95" customHeight="1">
      <c r="J862" s="62" t="s">
        <v>620</v>
      </c>
      <c r="K862" s="5"/>
      <c r="L862" s="5"/>
      <c r="M862" s="5"/>
      <c r="N862" s="5"/>
      <c r="O862" s="5"/>
      <c r="P862" s="5"/>
      <c r="Q862" s="5"/>
      <c r="R862" s="5"/>
      <c r="S862" s="5"/>
      <c r="T862" s="5"/>
      <c r="U862" s="5"/>
      <c r="V862" s="46"/>
      <c r="W862" s="1547">
        <v>24351</v>
      </c>
      <c r="X862" s="1547"/>
      <c r="Y862" s="1547"/>
      <c r="Z862" s="1547"/>
      <c r="AA862" s="1547"/>
      <c r="AB862" s="1547"/>
      <c r="AC862" s="1547"/>
      <c r="AZ862" s="34"/>
      <c r="BA862" s="34"/>
      <c r="BB862" s="34"/>
      <c r="BC862" s="34"/>
    </row>
    <row r="863" spans="1:64" ht="12.95" customHeight="1">
      <c r="J863" s="63"/>
      <c r="K863" s="48"/>
      <c r="L863" s="48"/>
      <c r="M863" s="48"/>
      <c r="N863" s="48"/>
      <c r="O863" s="48"/>
      <c r="P863" s="48"/>
      <c r="Q863" s="48"/>
      <c r="R863" s="48"/>
      <c r="S863" s="48"/>
      <c r="T863" s="48"/>
      <c r="U863" s="48"/>
      <c r="V863" s="54" t="s">
        <v>272</v>
      </c>
      <c r="W863" s="1641">
        <f>SUM(W859:W862)</f>
        <v>59746</v>
      </c>
      <c r="X863" s="1641"/>
      <c r="Y863" s="1641"/>
      <c r="Z863" s="1641"/>
      <c r="AA863" s="1641"/>
      <c r="AB863" s="1641"/>
      <c r="AC863" s="1641"/>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309">
        <v>42284</v>
      </c>
      <c r="X865" s="1310"/>
      <c r="Y865" s="1310"/>
      <c r="Z865" s="1310"/>
      <c r="AA865" s="1310"/>
      <c r="AB865" s="1310"/>
      <c r="AC865" s="1311"/>
      <c r="AD865" s="528"/>
      <c r="AZ865" s="34"/>
      <c r="BA865" s="34"/>
      <c r="BB865" s="34"/>
      <c r="BC865" s="34"/>
    </row>
    <row r="866" spans="3:55" ht="12.95" customHeight="1">
      <c r="C866" s="2" t="s">
        <v>347</v>
      </c>
      <c r="J866" s="121" t="s">
        <v>1644</v>
      </c>
      <c r="K866" s="5"/>
      <c r="L866" s="5"/>
      <c r="M866" s="5"/>
      <c r="N866" s="5"/>
      <c r="O866" s="5"/>
      <c r="P866" s="5"/>
      <c r="Q866" s="5"/>
      <c r="R866" s="5"/>
      <c r="S866" s="5"/>
      <c r="T866" s="1596">
        <v>3</v>
      </c>
      <c r="U866" s="1597"/>
      <c r="V866" s="1598"/>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309">
        <v>35273</v>
      </c>
      <c r="X867" s="1310"/>
      <c r="Y867" s="1310"/>
      <c r="Z867" s="1310"/>
      <c r="AA867" s="1310"/>
      <c r="AB867" s="1310"/>
      <c r="AC867" s="1311"/>
      <c r="AD867" s="533"/>
      <c r="AZ867" s="34"/>
      <c r="BA867" s="34"/>
      <c r="BB867" s="34"/>
      <c r="BC867" s="34"/>
    </row>
    <row r="868" spans="3:55" ht="12.95" customHeight="1">
      <c r="C868" s="2"/>
      <c r="J868" s="121" t="s">
        <v>1645</v>
      </c>
      <c r="K868" s="5"/>
      <c r="L868" s="5"/>
      <c r="M868" s="5"/>
      <c r="N868" s="5"/>
      <c r="O868" s="5"/>
      <c r="P868" s="5"/>
      <c r="Q868" s="5"/>
      <c r="R868" s="5"/>
      <c r="S868" s="5"/>
      <c r="T868" s="1596">
        <v>0</v>
      </c>
      <c r="U868" s="1597"/>
      <c r="V868" s="1598"/>
      <c r="W868" s="870"/>
      <c r="X868" s="871"/>
      <c r="Y868" s="871"/>
      <c r="Z868" s="871"/>
      <c r="AA868" s="871"/>
      <c r="AB868" s="871"/>
      <c r="AC868" s="872"/>
      <c r="AD868" s="533"/>
      <c r="AZ868" s="34"/>
      <c r="BA868" s="34"/>
      <c r="BB868" s="34"/>
      <c r="BC868" s="34"/>
    </row>
    <row r="869" spans="3:55" ht="12.95" customHeight="1">
      <c r="J869" s="45" t="s">
        <v>170</v>
      </c>
      <c r="K869" s="5"/>
      <c r="L869" s="5"/>
      <c r="M869" s="1316" t="s">
        <v>2714</v>
      </c>
      <c r="N869" s="1317"/>
      <c r="O869" s="1317"/>
      <c r="P869" s="1317"/>
      <c r="Q869" s="1317"/>
      <c r="R869" s="1317"/>
      <c r="S869" s="1317"/>
      <c r="T869" s="1317"/>
      <c r="U869" s="1317"/>
      <c r="V869" s="1318"/>
      <c r="W869" s="1309">
        <v>19230</v>
      </c>
      <c r="X869" s="1310"/>
      <c r="Y869" s="1310"/>
      <c r="Z869" s="1310"/>
      <c r="AA869" s="1310"/>
      <c r="AB869" s="1310"/>
      <c r="AC869" s="1311"/>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303">
        <f>SUM(W865:W869)</f>
        <v>96787</v>
      </c>
      <c r="X870" s="1304"/>
      <c r="Y870" s="1304"/>
      <c r="Z870" s="1304"/>
      <c r="AA870" s="1304"/>
      <c r="AB870" s="1304"/>
      <c r="AC870" s="1305"/>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309">
        <v>37950</v>
      </c>
      <c r="X872" s="1310"/>
      <c r="Y872" s="1310"/>
      <c r="Z872" s="1310"/>
      <c r="AA872" s="1310"/>
      <c r="AB872" s="1310"/>
      <c r="AC872" s="1311"/>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485">
        <v>3363</v>
      </c>
      <c r="X874" s="1485"/>
      <c r="Y874" s="1485"/>
      <c r="Z874" s="1485"/>
      <c r="AA874" s="1485"/>
      <c r="AB874" s="1485"/>
      <c r="AC874" s="1485"/>
      <c r="AU874" s="14"/>
      <c r="AZ874" s="34"/>
      <c r="BA874" s="34"/>
      <c r="BB874" s="34"/>
      <c r="BC874" s="34"/>
    </row>
    <row r="875" spans="3:55" ht="12.95" customHeight="1">
      <c r="J875" s="45" t="s">
        <v>522</v>
      </c>
      <c r="K875" s="5"/>
      <c r="L875" s="5"/>
      <c r="M875" s="5"/>
      <c r="N875" s="5"/>
      <c r="O875" s="5"/>
      <c r="P875" s="5"/>
      <c r="Q875" s="5"/>
      <c r="R875" s="5"/>
      <c r="S875" s="5"/>
      <c r="T875" s="5"/>
      <c r="U875" s="5"/>
      <c r="V875" s="46"/>
      <c r="W875" s="1485">
        <v>9964</v>
      </c>
      <c r="X875" s="1485"/>
      <c r="Y875" s="1485"/>
      <c r="Z875" s="1485"/>
      <c r="AA875" s="1485"/>
      <c r="AB875" s="1485"/>
      <c r="AC875" s="1485"/>
      <c r="AU875" s="4"/>
      <c r="AZ875" s="34"/>
      <c r="BA875" s="34"/>
      <c r="BB875" s="34"/>
      <c r="BC875" s="34"/>
    </row>
    <row r="876" spans="3:55" ht="12.95" customHeight="1">
      <c r="J876" s="45" t="s">
        <v>521</v>
      </c>
      <c r="K876" s="5"/>
      <c r="L876" s="5"/>
      <c r="M876" s="5"/>
      <c r="N876" s="5"/>
      <c r="O876" s="5"/>
      <c r="P876" s="5"/>
      <c r="Q876" s="5"/>
      <c r="R876" s="5"/>
      <c r="S876" s="5"/>
      <c r="T876" s="5"/>
      <c r="U876" s="5"/>
      <c r="V876" s="46"/>
      <c r="W876" s="1485">
        <v>9468</v>
      </c>
      <c r="X876" s="1485"/>
      <c r="Y876" s="1485"/>
      <c r="Z876" s="1485"/>
      <c r="AA876" s="1485"/>
      <c r="AB876" s="1485"/>
      <c r="AC876" s="1485"/>
      <c r="AU876" s="4"/>
      <c r="AZ876" s="34"/>
      <c r="BA876" s="34"/>
      <c r="BB876" s="34"/>
      <c r="BC876" s="34"/>
    </row>
    <row r="877" spans="3:55" ht="12.95" customHeight="1">
      <c r="J877" s="45" t="s">
        <v>520</v>
      </c>
      <c r="K877" s="5"/>
      <c r="L877" s="5"/>
      <c r="M877" s="5"/>
      <c r="N877" s="5"/>
      <c r="O877" s="5"/>
      <c r="P877" s="5"/>
      <c r="Q877" s="5"/>
      <c r="R877" s="5"/>
      <c r="S877" s="5"/>
      <c r="T877" s="5"/>
      <c r="U877" s="5"/>
      <c r="V877" s="46"/>
      <c r="W877" s="1485">
        <v>4401</v>
      </c>
      <c r="X877" s="1485"/>
      <c r="Y877" s="1485"/>
      <c r="Z877" s="1485"/>
      <c r="AA877" s="1485"/>
      <c r="AB877" s="1485"/>
      <c r="AC877" s="1485"/>
      <c r="AU877" s="4"/>
      <c r="AZ877" s="34"/>
      <c r="BA877" s="34"/>
      <c r="BB877" s="34"/>
      <c r="BC877" s="34"/>
    </row>
    <row r="878" spans="3:55" ht="12.95" customHeight="1">
      <c r="J878" s="45" t="s">
        <v>519</v>
      </c>
      <c r="K878" s="5"/>
      <c r="L878" s="5"/>
      <c r="M878" s="5"/>
      <c r="N878" s="5"/>
      <c r="O878" s="5"/>
      <c r="P878" s="5"/>
      <c r="Q878" s="5"/>
      <c r="R878" s="5"/>
      <c r="S878" s="5"/>
      <c r="T878" s="5"/>
      <c r="U878" s="5"/>
      <c r="V878" s="46"/>
      <c r="W878" s="1485">
        <v>15996</v>
      </c>
      <c r="X878" s="1485"/>
      <c r="Y878" s="1485"/>
      <c r="Z878" s="1485"/>
      <c r="AA878" s="1485"/>
      <c r="AB878" s="1485"/>
      <c r="AC878" s="1485"/>
      <c r="AU878" s="4"/>
      <c r="AZ878" s="34"/>
      <c r="BA878" s="34"/>
      <c r="BB878" s="34"/>
      <c r="BC878" s="34"/>
    </row>
    <row r="879" spans="3:55" ht="12.95" customHeight="1">
      <c r="J879" s="45" t="s">
        <v>518</v>
      </c>
      <c r="K879" s="5"/>
      <c r="L879" s="5"/>
      <c r="M879" s="5"/>
      <c r="N879" s="5"/>
      <c r="O879" s="5"/>
      <c r="P879" s="5"/>
      <c r="Q879" s="5"/>
      <c r="R879" s="5"/>
      <c r="S879" s="5"/>
      <c r="T879" s="5"/>
      <c r="U879" s="5"/>
      <c r="V879" s="46"/>
      <c r="W879" s="1485">
        <f>1614+4557+2935</f>
        <v>9106</v>
      </c>
      <c r="X879" s="1485"/>
      <c r="Y879" s="1485"/>
      <c r="Z879" s="1485"/>
      <c r="AA879" s="1485"/>
      <c r="AB879" s="1485"/>
      <c r="AC879" s="1485"/>
      <c r="AU879" s="4"/>
      <c r="AZ879" s="34"/>
      <c r="BA879" s="34"/>
      <c r="BB879" s="34"/>
      <c r="BC879" s="34"/>
    </row>
    <row r="880" spans="3:55" ht="12.95" customHeight="1">
      <c r="J880" s="45" t="s">
        <v>170</v>
      </c>
      <c r="K880" s="5"/>
      <c r="L880" s="5"/>
      <c r="M880" s="1316" t="s">
        <v>2715</v>
      </c>
      <c r="N880" s="1317"/>
      <c r="O880" s="1317"/>
      <c r="P880" s="1317"/>
      <c r="Q880" s="1317"/>
      <c r="R880" s="1317"/>
      <c r="S880" s="1317"/>
      <c r="T880" s="1317"/>
      <c r="U880" s="1317"/>
      <c r="V880" s="1318"/>
      <c r="W880" s="1485">
        <v>11285</v>
      </c>
      <c r="X880" s="1485"/>
      <c r="Y880" s="1485"/>
      <c r="Z880" s="1485"/>
      <c r="AA880" s="1485"/>
      <c r="AB880" s="1485"/>
      <c r="AC880" s="1485"/>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312">
        <f>SUM(W874:W880)</f>
        <v>63583</v>
      </c>
      <c r="X881" s="1312"/>
      <c r="Y881" s="1312"/>
      <c r="Z881" s="1312"/>
      <c r="AA881" s="1312"/>
      <c r="AB881" s="1312"/>
      <c r="AC881" s="1312"/>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316" t="s">
        <v>334</v>
      </c>
      <c r="N883" s="1317"/>
      <c r="O883" s="1317"/>
      <c r="P883" s="1317"/>
      <c r="Q883" s="1317"/>
      <c r="R883" s="1317"/>
      <c r="S883" s="1317"/>
      <c r="T883" s="1317"/>
      <c r="U883" s="1317"/>
      <c r="V883" s="1318"/>
      <c r="W883" s="1435"/>
      <c r="X883" s="1436"/>
      <c r="Y883" s="1436"/>
      <c r="Z883" s="1436"/>
      <c r="AA883" s="1436"/>
      <c r="AB883" s="1436"/>
      <c r="AC883" s="1437"/>
      <c r="AD883" s="533"/>
      <c r="AV883" s="14"/>
      <c r="AW883" s="14"/>
      <c r="AX883" s="14"/>
      <c r="AY883" s="14"/>
      <c r="AZ883" s="34"/>
      <c r="BA883" s="34"/>
      <c r="BB883" s="34"/>
      <c r="BC883" s="34"/>
    </row>
    <row r="884" spans="3:55" ht="12.95" customHeight="1">
      <c r="C884" s="2" t="s">
        <v>1244</v>
      </c>
      <c r="J884" s="45" t="s">
        <v>170</v>
      </c>
      <c r="K884" s="5"/>
      <c r="L884" s="5"/>
      <c r="M884" s="1316" t="s">
        <v>334</v>
      </c>
      <c r="N884" s="1317"/>
      <c r="O884" s="1317"/>
      <c r="P884" s="1317"/>
      <c r="Q884" s="1317"/>
      <c r="R884" s="1317"/>
      <c r="S884" s="1317"/>
      <c r="T884" s="1317"/>
      <c r="U884" s="1317"/>
      <c r="V884" s="1318"/>
      <c r="W884" s="1435"/>
      <c r="X884" s="1436"/>
      <c r="Y884" s="1436"/>
      <c r="Z884" s="1436"/>
      <c r="AA884" s="1436"/>
      <c r="AB884" s="1436"/>
      <c r="AC884" s="1437"/>
      <c r="AD884" s="533"/>
      <c r="AV884" s="14"/>
      <c r="AW884" s="14"/>
      <c r="AX884" s="14"/>
      <c r="AY884" s="14"/>
      <c r="AZ884" s="34"/>
      <c r="BA884" s="34"/>
      <c r="BB884" s="34"/>
      <c r="BC884" s="34"/>
    </row>
    <row r="885" spans="3:55" ht="12.95" customHeight="1">
      <c r="J885" s="45" t="s">
        <v>170</v>
      </c>
      <c r="K885" s="5"/>
      <c r="L885" s="5"/>
      <c r="M885" s="1316" t="s">
        <v>334</v>
      </c>
      <c r="N885" s="1317"/>
      <c r="O885" s="1317"/>
      <c r="P885" s="1317"/>
      <c r="Q885" s="1317"/>
      <c r="R885" s="1317"/>
      <c r="S885" s="1317"/>
      <c r="T885" s="1317"/>
      <c r="U885" s="1317"/>
      <c r="V885" s="1318"/>
      <c r="W885" s="1435"/>
      <c r="X885" s="1436"/>
      <c r="Y885" s="1436"/>
      <c r="Z885" s="1436"/>
      <c r="AA885" s="1436"/>
      <c r="AB885" s="1436"/>
      <c r="AC885" s="1437"/>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316" t="s">
        <v>334</v>
      </c>
      <c r="N886" s="1317"/>
      <c r="O886" s="1317"/>
      <c r="P886" s="1317"/>
      <c r="Q886" s="1317"/>
      <c r="R886" s="1317"/>
      <c r="S886" s="1317"/>
      <c r="T886" s="1317"/>
      <c r="U886" s="1317"/>
      <c r="V886" s="1318"/>
      <c r="W886" s="1435"/>
      <c r="X886" s="1436"/>
      <c r="Y886" s="1436"/>
      <c r="Z886" s="1436"/>
      <c r="AA886" s="1436"/>
      <c r="AB886" s="1436"/>
      <c r="AC886" s="1437"/>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316" t="s">
        <v>334</v>
      </c>
      <c r="N887" s="1317"/>
      <c r="O887" s="1317"/>
      <c r="P887" s="1317"/>
      <c r="Q887" s="1317"/>
      <c r="R887" s="1317"/>
      <c r="S887" s="1317"/>
      <c r="T887" s="1317"/>
      <c r="U887" s="1317"/>
      <c r="V887" s="1318"/>
      <c r="W887" s="1435"/>
      <c r="X887" s="1436"/>
      <c r="Y887" s="1436"/>
      <c r="Z887" s="1436"/>
      <c r="AA887" s="1436"/>
      <c r="AB887" s="1436"/>
      <c r="AC887" s="1437"/>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61">
        <f>SUM(W883:W887)</f>
        <v>0</v>
      </c>
      <c r="X888" s="1462"/>
      <c r="Y888" s="1462"/>
      <c r="Z888" s="1462"/>
      <c r="AA888" s="1462"/>
      <c r="AB888" s="1462"/>
      <c r="AC888" s="1463"/>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62">
        <f>W855+W863+W870+W872+W881+W888+W857</f>
        <v>371700</v>
      </c>
      <c r="AD892" s="1462"/>
      <c r="AE892" s="1462"/>
      <c r="AF892" s="1462"/>
      <c r="AG892" s="1462"/>
      <c r="AH892" s="1463"/>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45">
        <f>O805+O785+G761</f>
        <v>59</v>
      </c>
      <c r="AD893" s="1645"/>
      <c r="AE893" s="1645"/>
      <c r="AF893" s="1645"/>
      <c r="AG893" s="1645"/>
      <c r="AH893" s="1646"/>
      <c r="AL893" s="4"/>
      <c r="AM893" s="4"/>
      <c r="AN893" s="4"/>
      <c r="AO893" s="4"/>
      <c r="AP893" s="4"/>
      <c r="AQ893" s="4"/>
      <c r="AR893" s="4"/>
      <c r="AS893" s="4"/>
      <c r="AT893" s="4"/>
      <c r="AZ893" s="34"/>
      <c r="BA893" s="34"/>
      <c r="BB893" s="34"/>
      <c r="BC893" s="34"/>
    </row>
    <row r="894" spans="3:55" ht="12.95" customHeight="1">
      <c r="C894" s="41"/>
      <c r="D894" s="42"/>
      <c r="E894" s="1643" t="s">
        <v>32</v>
      </c>
      <c r="F894" s="1643"/>
      <c r="G894" s="1643"/>
      <c r="H894" s="1643"/>
      <c r="I894" s="1643"/>
      <c r="J894" s="1643"/>
      <c r="K894" s="1643"/>
      <c r="L894" s="1643"/>
      <c r="M894" s="1643"/>
      <c r="N894" s="1643"/>
      <c r="O894" s="1643"/>
      <c r="P894" s="1643"/>
      <c r="Q894" s="1643"/>
      <c r="R894" s="1643"/>
      <c r="S894" s="1643"/>
      <c r="T894" s="1643"/>
      <c r="U894" s="1643"/>
      <c r="V894" s="1643"/>
      <c r="W894" s="1643"/>
      <c r="X894" s="1643"/>
      <c r="Y894" s="1643"/>
      <c r="Z894" s="1643"/>
      <c r="AA894" s="1643"/>
      <c r="AB894" s="1644"/>
      <c r="AC894" s="1312">
        <f>IF(ISERROR((ROUNDDOWN(AC892/AC893,0))),0,(ROUNDDOWN(AC892/AC893,0)))</f>
        <v>6300</v>
      </c>
      <c r="AD894" s="1312"/>
      <c r="AE894" s="1312"/>
      <c r="AF894" s="1312"/>
      <c r="AG894" s="1312"/>
      <c r="AH894" s="1312"/>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39">
        <f>'Sources and Uses Budget'!C75</f>
        <v>295463</v>
      </c>
      <c r="AD895" s="1640"/>
      <c r="AE895" s="1640"/>
      <c r="AF895" s="1640"/>
      <c r="AG895" s="1640"/>
      <c r="AH895" s="1640"/>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37"/>
      <c r="AD896" s="1485"/>
      <c r="AE896" s="1485"/>
      <c r="AF896" s="1485"/>
      <c r="AG896" s="1485"/>
      <c r="AH896" s="1485"/>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36">
        <v>23400</v>
      </c>
      <c r="AD897" s="1436"/>
      <c r="AE897" s="1436"/>
      <c r="AF897" s="1436"/>
      <c r="AG897" s="1436"/>
      <c r="AH897" s="1437"/>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36">
        <f>250*AG446</f>
        <v>14750</v>
      </c>
      <c r="AD898" s="1436"/>
      <c r="AE898" s="1436"/>
      <c r="AF898" s="1436"/>
      <c r="AG898" s="1436"/>
      <c r="AH898" s="1437"/>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476"/>
      <c r="AD899" s="1477"/>
      <c r="AE899" s="1477"/>
      <c r="AF899" s="1477"/>
      <c r="AG899" s="1477"/>
      <c r="AH899" s="1478"/>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36">
        <v>2950</v>
      </c>
      <c r="AD900" s="1436"/>
      <c r="AE900" s="1436"/>
      <c r="AF900" s="1436"/>
      <c r="AG900" s="1436"/>
      <c r="AH900" s="1437"/>
      <c r="AZ900" s="34"/>
      <c r="BA900" s="34"/>
      <c r="BB900" s="34"/>
      <c r="BC900" s="34"/>
    </row>
    <row r="901" spans="1:58" ht="12.95" hidden="1" customHeight="1">
      <c r="C901" s="1489" t="s">
        <v>2186</v>
      </c>
      <c r="D901" s="1490"/>
      <c r="E901" s="1490"/>
      <c r="F901" s="1490"/>
      <c r="G901" s="1490"/>
      <c r="H901" s="1490"/>
      <c r="I901" s="1490"/>
      <c r="J901" s="1490"/>
      <c r="K901" s="1490"/>
      <c r="L901" s="1490"/>
      <c r="M901" s="1490"/>
      <c r="N901" s="1490"/>
      <c r="O901" s="1490"/>
      <c r="P901" s="1490"/>
      <c r="Q901" s="1490"/>
      <c r="R901" s="1490"/>
      <c r="S901" s="1490"/>
      <c r="T901" s="1490"/>
      <c r="U901" s="1490"/>
      <c r="V901" s="1490"/>
      <c r="W901" s="1490"/>
      <c r="X901" s="1490"/>
      <c r="Y901" s="1490"/>
      <c r="Z901" s="1490"/>
      <c r="AA901" s="1490"/>
      <c r="AB901" s="1491"/>
      <c r="AC901" s="1436"/>
      <c r="AD901" s="1436"/>
      <c r="AE901" s="1436"/>
      <c r="AF901" s="1436"/>
      <c r="AG901" s="1436"/>
      <c r="AH901" s="1437"/>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36"/>
      <c r="AD902" s="1436"/>
      <c r="AE902" s="1436"/>
      <c r="AF902" s="1436"/>
      <c r="AG902" s="1436"/>
      <c r="AH902" s="1437"/>
      <c r="AZ902" s="34"/>
      <c r="BA902" s="34"/>
      <c r="BB902" s="34"/>
      <c r="BC902" s="34"/>
    </row>
    <row r="903" spans="1:58" ht="12.95" customHeight="1">
      <c r="C903" s="1535" t="s">
        <v>2716</v>
      </c>
      <c r="D903" s="1536"/>
      <c r="E903" s="1536"/>
      <c r="F903" s="1536"/>
      <c r="G903" s="1536"/>
      <c r="H903" s="1536"/>
      <c r="I903" s="1536"/>
      <c r="J903" s="1536"/>
      <c r="K903" s="1536"/>
      <c r="L903" s="1536"/>
      <c r="M903" s="1536"/>
      <c r="N903" s="1536"/>
      <c r="O903" s="1536"/>
      <c r="P903" s="1536"/>
      <c r="Q903" s="1536"/>
      <c r="R903" s="1536"/>
      <c r="S903" s="1536"/>
      <c r="T903" s="1536"/>
      <c r="U903" s="1536"/>
      <c r="V903" s="1536"/>
      <c r="W903" s="1536"/>
      <c r="X903" s="1536"/>
      <c r="Y903" s="1536"/>
      <c r="Z903" s="1536"/>
      <c r="AA903" s="1536"/>
      <c r="AB903" s="1537"/>
      <c r="AC903" s="1485">
        <v>2712</v>
      </c>
      <c r="AD903" s="1485"/>
      <c r="AE903" s="1485"/>
      <c r="AF903" s="1485"/>
      <c r="AG903" s="1485"/>
      <c r="AH903" s="1485"/>
      <c r="AZ903" s="34"/>
      <c r="BA903" s="34"/>
      <c r="BB903" s="34"/>
      <c r="BC903" s="34"/>
    </row>
    <row r="904" spans="1:58" ht="12.95" customHeight="1">
      <c r="C904" s="1535" t="s">
        <v>956</v>
      </c>
      <c r="D904" s="1536"/>
      <c r="E904" s="1536"/>
      <c r="F904" s="1536"/>
      <c r="G904" s="1536"/>
      <c r="H904" s="1536"/>
      <c r="I904" s="1536"/>
      <c r="J904" s="1536"/>
      <c r="K904" s="1536"/>
      <c r="L904" s="1536"/>
      <c r="M904" s="1536"/>
      <c r="N904" s="1536"/>
      <c r="O904" s="1536"/>
      <c r="P904" s="1536"/>
      <c r="Q904" s="1536"/>
      <c r="R904" s="1536"/>
      <c r="S904" s="1536"/>
      <c r="T904" s="1536"/>
      <c r="U904" s="1536"/>
      <c r="V904" s="1536"/>
      <c r="W904" s="1536"/>
      <c r="X904" s="1536"/>
      <c r="Y904" s="1536"/>
      <c r="Z904" s="1536"/>
      <c r="AA904" s="1536"/>
      <c r="AB904" s="1537"/>
      <c r="AC904" s="1485"/>
      <c r="AD904" s="1485"/>
      <c r="AE904" s="1485"/>
      <c r="AF904" s="1485"/>
      <c r="AG904" s="1485"/>
      <c r="AH904" s="1485"/>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35">
        <v>0</v>
      </c>
      <c r="AA908" s="1436"/>
      <c r="AB908" s="1436"/>
      <c r="AC908" s="1436"/>
      <c r="AD908" s="1436"/>
      <c r="AE908" s="1437"/>
      <c r="AF908" s="533"/>
      <c r="AZ908" s="34"/>
      <c r="BB908" s="30"/>
      <c r="BC908" s="812"/>
      <c r="BD908" s="1534"/>
      <c r="BE908" s="1534"/>
      <c r="BF908" s="14"/>
    </row>
    <row r="909" spans="1:58" ht="12.95" customHeight="1">
      <c r="H909" s="121" t="s">
        <v>239</v>
      </c>
      <c r="I909" s="5"/>
      <c r="J909" s="5"/>
      <c r="K909" s="5"/>
      <c r="L909" s="5"/>
      <c r="M909" s="5"/>
      <c r="N909" s="5"/>
      <c r="O909" s="5"/>
      <c r="P909" s="5"/>
      <c r="Q909" s="5"/>
      <c r="R909" s="5"/>
      <c r="S909" s="5"/>
      <c r="T909" s="5"/>
      <c r="U909" s="5"/>
      <c r="V909" s="5"/>
      <c r="W909" s="5"/>
      <c r="X909" s="5"/>
      <c r="Y909" s="5"/>
      <c r="Z909" s="1435">
        <v>0</v>
      </c>
      <c r="AA909" s="1436"/>
      <c r="AB909" s="1436"/>
      <c r="AC909" s="1436"/>
      <c r="AD909" s="1436"/>
      <c r="AE909" s="1437"/>
      <c r="AZ909" s="34"/>
      <c r="BB909" s="30"/>
      <c r="BC909" s="812"/>
      <c r="BD909" s="1534"/>
      <c r="BE909" s="1534"/>
      <c r="BF909" s="14"/>
    </row>
    <row r="910" spans="1:58" ht="12.95" customHeight="1">
      <c r="H910" s="121" t="s">
        <v>240</v>
      </c>
      <c r="I910" s="5"/>
      <c r="J910" s="5"/>
      <c r="K910" s="5"/>
      <c r="L910" s="5"/>
      <c r="M910" s="5"/>
      <c r="N910" s="5"/>
      <c r="O910" s="5"/>
      <c r="P910" s="5"/>
      <c r="Q910" s="5"/>
      <c r="R910" s="5"/>
      <c r="S910" s="5"/>
      <c r="T910" s="5"/>
      <c r="U910" s="5"/>
      <c r="V910" s="5"/>
      <c r="W910" s="5"/>
      <c r="X910" s="5"/>
      <c r="Y910" s="5"/>
      <c r="Z910" s="1435">
        <v>0</v>
      </c>
      <c r="AA910" s="1436"/>
      <c r="AB910" s="1436"/>
      <c r="AC910" s="1436"/>
      <c r="AD910" s="1436"/>
      <c r="AE910" s="1437"/>
      <c r="AZ910" s="34"/>
      <c r="BB910" s="30"/>
      <c r="BC910" s="812"/>
      <c r="BD910" s="1533"/>
      <c r="BE910" s="1533"/>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61">
        <f>Z908-(Z909+Z910)</f>
        <v>0</v>
      </c>
      <c r="AA911" s="1462"/>
      <c r="AB911" s="1462"/>
      <c r="AC911" s="1462"/>
      <c r="AD911" s="1462"/>
      <c r="AE911" s="1463"/>
      <c r="AZ911" s="34"/>
      <c r="BB911" s="30"/>
      <c r="BC911" s="812"/>
      <c r="BD911" s="1533"/>
      <c r="BE911" s="1533"/>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33"/>
      <c r="BE912" s="1533"/>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34"/>
      <c r="BE913" s="1533"/>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42"/>
      <c r="BE914" s="1642"/>
      <c r="BF914" s="1642"/>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03"/>
      <c r="BE915" s="1603"/>
      <c r="BF915" s="1603"/>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33"/>
      <c r="BE916" s="1533"/>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34"/>
      <c r="BE917" s="1533"/>
      <c r="BF917" s="14"/>
    </row>
    <row r="918" spans="1:58" ht="12.95" customHeight="1">
      <c r="AZ918" s="34"/>
      <c r="BB918" s="30"/>
      <c r="BC918" s="812"/>
    </row>
    <row r="919" spans="1:58" ht="12.95" customHeight="1">
      <c r="A919" s="1380" t="s">
        <v>96</v>
      </c>
      <c r="B919" s="1380"/>
      <c r="C919" s="1380"/>
      <c r="D919" s="1380"/>
      <c r="E919" s="1380"/>
      <c r="F919" s="1380"/>
      <c r="G919" s="1380"/>
      <c r="H919" s="1380"/>
      <c r="I919" s="1380"/>
      <c r="J919" s="1380"/>
      <c r="K919" s="1380"/>
      <c r="L919" s="1380"/>
      <c r="M919" s="1380"/>
      <c r="N919" s="1380"/>
      <c r="O919" s="1380"/>
      <c r="P919" s="1380"/>
      <c r="Q919" s="1380"/>
      <c r="R919" s="1380"/>
      <c r="S919" s="1380"/>
      <c r="T919" s="1380"/>
      <c r="U919" s="1380"/>
      <c r="V919" s="1380"/>
      <c r="W919" s="1380"/>
      <c r="X919" s="1380"/>
      <c r="Y919" s="1380"/>
      <c r="Z919" s="1380"/>
      <c r="AA919" s="1380"/>
      <c r="AB919" s="1380"/>
      <c r="AC919" s="1380"/>
      <c r="AD919" s="1380"/>
      <c r="AE919" s="1380"/>
      <c r="AF919" s="1380"/>
      <c r="AG919" s="1380"/>
      <c r="AH919" s="1380"/>
      <c r="AI919" s="1380"/>
      <c r="AJ919" s="1380"/>
      <c r="AK919" s="1380"/>
      <c r="AL919" s="1380"/>
      <c r="AM919" s="1380"/>
      <c r="AN919" s="1380"/>
      <c r="AO919" s="1380"/>
      <c r="AP919" s="1380"/>
      <c r="AQ919" s="1380"/>
      <c r="AR919" s="1380"/>
      <c r="AS919" s="1380"/>
      <c r="AT919" s="1380"/>
      <c r="AZ919" s="34"/>
      <c r="BA919" s="34"/>
      <c r="BB919" s="30"/>
      <c r="BC919" s="30"/>
      <c r="BD919" s="1534"/>
      <c r="BE919" s="1533"/>
      <c r="BF919" s="907"/>
    </row>
    <row r="920" spans="1:58" ht="12.95" customHeight="1">
      <c r="A920" s="1380"/>
      <c r="B920" s="1380"/>
      <c r="C920" s="1380"/>
      <c r="D920" s="1380"/>
      <c r="E920" s="1380"/>
      <c r="F920" s="1380"/>
      <c r="G920" s="1380"/>
      <c r="H920" s="1380"/>
      <c r="I920" s="1380"/>
      <c r="J920" s="1380"/>
      <c r="K920" s="1380"/>
      <c r="L920" s="1380"/>
      <c r="M920" s="1380"/>
      <c r="N920" s="1380"/>
      <c r="O920" s="1380"/>
      <c r="P920" s="1380"/>
      <c r="Q920" s="1380"/>
      <c r="R920" s="1380"/>
      <c r="S920" s="1380"/>
      <c r="T920" s="1380"/>
      <c r="U920" s="1380"/>
      <c r="V920" s="1380"/>
      <c r="W920" s="1380"/>
      <c r="X920" s="1380"/>
      <c r="Y920" s="1380"/>
      <c r="Z920" s="1380"/>
      <c r="AA920" s="1380"/>
      <c r="AB920" s="1380"/>
      <c r="AC920" s="1380"/>
      <c r="AD920" s="1380"/>
      <c r="AE920" s="1380"/>
      <c r="AF920" s="1380"/>
      <c r="AG920" s="1380"/>
      <c r="AH920" s="1380"/>
      <c r="AI920" s="1380"/>
      <c r="AJ920" s="1380"/>
      <c r="AK920" s="1380"/>
      <c r="AL920" s="1380"/>
      <c r="AM920" s="1380"/>
      <c r="AN920" s="1380"/>
      <c r="AO920" s="1380"/>
      <c r="AP920" s="1380"/>
      <c r="AQ920" s="1380"/>
      <c r="AR920" s="1380"/>
      <c r="AS920" s="1380"/>
      <c r="AT920" s="1380"/>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599" t="s">
        <v>792</v>
      </c>
      <c r="G924" s="1600"/>
      <c r="H924" s="1600"/>
      <c r="I924" s="1600"/>
      <c r="J924" s="1600"/>
      <c r="K924" s="1600"/>
      <c r="L924" s="1600"/>
      <c r="M924" s="1600"/>
      <c r="N924" s="1600"/>
      <c r="O924" s="1600"/>
      <c r="P924" s="1600"/>
      <c r="Q924" s="1600"/>
      <c r="R924" s="1600"/>
      <c r="S924" s="1600"/>
      <c r="T924" s="1601"/>
      <c r="U924" s="1369" t="s">
        <v>31</v>
      </c>
      <c r="V924" s="1370"/>
      <c r="W924" s="1370"/>
      <c r="X924" s="1370"/>
      <c r="Y924" s="1370"/>
      <c r="Z924" s="1370"/>
      <c r="AA924" s="43"/>
      <c r="AB924" s="105"/>
      <c r="AC924" s="105"/>
      <c r="AD924" s="105"/>
      <c r="AE924" s="105"/>
      <c r="AF924" s="106"/>
      <c r="AZ924" s="34"/>
      <c r="BA924" s="34"/>
      <c r="BB924" s="34"/>
      <c r="BC924" s="34"/>
    </row>
    <row r="925" spans="1:58" ht="12.95" customHeight="1">
      <c r="B925" s="2"/>
      <c r="F925" s="1371" t="s">
        <v>818</v>
      </c>
      <c r="G925" s="1372"/>
      <c r="H925" s="1372"/>
      <c r="I925" s="1372"/>
      <c r="J925" s="1372"/>
      <c r="K925" s="1372"/>
      <c r="L925" s="1372"/>
      <c r="M925" s="1372"/>
      <c r="N925" s="1372"/>
      <c r="O925" s="1372"/>
      <c r="P925" s="1372"/>
      <c r="Q925" s="1372"/>
      <c r="R925" s="1372"/>
      <c r="S925" s="1372"/>
      <c r="T925" s="1588"/>
      <c r="U925" s="1371"/>
      <c r="V925" s="1372"/>
      <c r="W925" s="1372"/>
      <c r="X925" s="1372"/>
      <c r="Y925" s="1372"/>
      <c r="Z925" s="1372"/>
      <c r="AA925" s="44"/>
      <c r="AB925" s="4"/>
      <c r="AC925" s="4"/>
      <c r="AD925" s="4"/>
      <c r="AE925" s="4"/>
      <c r="AF925" s="107"/>
      <c r="AZ925" s="34"/>
      <c r="BA925" s="34"/>
      <c r="BB925" s="34"/>
      <c r="BC925" s="34"/>
    </row>
    <row r="926" spans="1:58" ht="12.95" customHeight="1">
      <c r="B926" s="2"/>
      <c r="F926" s="1373"/>
      <c r="G926" s="1374"/>
      <c r="H926" s="1374"/>
      <c r="I926" s="1374"/>
      <c r="J926" s="1374"/>
      <c r="K926" s="1374"/>
      <c r="L926" s="1374"/>
      <c r="M926" s="1374"/>
      <c r="N926" s="1374"/>
      <c r="O926" s="1374"/>
      <c r="P926" s="1374"/>
      <c r="Q926" s="1374"/>
      <c r="R926" s="1374"/>
      <c r="S926" s="1374"/>
      <c r="T926" s="1589"/>
      <c r="U926" s="1373"/>
      <c r="V926" s="1374"/>
      <c r="W926" s="1374"/>
      <c r="X926" s="1374"/>
      <c r="Y926" s="1374"/>
      <c r="Z926" s="1374"/>
      <c r="AA926" s="108"/>
      <c r="AB926" s="1592" t="s">
        <v>391</v>
      </c>
      <c r="AC926" s="1592"/>
      <c r="AD926" s="1592"/>
      <c r="AE926" s="1592"/>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291" t="s">
        <v>545</v>
      </c>
      <c r="V927" s="1292"/>
      <c r="W927" s="1292"/>
      <c r="X927" s="1292"/>
      <c r="Y927" s="1292"/>
      <c r="Z927" s="1293"/>
      <c r="AA927" s="1306">
        <f>AM562</f>
        <v>5423153</v>
      </c>
      <c r="AB927" s="1307"/>
      <c r="AC927" s="1307"/>
      <c r="AD927" s="1307"/>
      <c r="AE927" s="1307"/>
      <c r="AF927" s="1308"/>
      <c r="AG927" s="1191" t="str">
        <f>IF(NOT(AA927=AW927),"!","")</f>
        <v/>
      </c>
      <c r="AH927" s="3"/>
      <c r="AW927" s="1271">
        <f>SUMIF($M$562:$M$573,"Loan, Tax-Exempt",$AM$562:$AM$573)</f>
        <v>5423153</v>
      </c>
      <c r="AX927" s="1271"/>
      <c r="AY927" s="1271"/>
      <c r="AZ927" s="3" t="s">
        <v>2528</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291" t="s">
        <v>545</v>
      </c>
      <c r="V928" s="1292"/>
      <c r="W928" s="1292"/>
      <c r="X928" s="1292"/>
      <c r="Y928" s="1292"/>
      <c r="Z928" s="1293"/>
      <c r="AA928" s="1306">
        <f>AM563</f>
        <v>9890574</v>
      </c>
      <c r="AB928" s="1307"/>
      <c r="AC928" s="1307"/>
      <c r="AD928" s="1307"/>
      <c r="AE928" s="1307"/>
      <c r="AF928" s="1308"/>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291" t="s">
        <v>591</v>
      </c>
      <c r="V929" s="1292"/>
      <c r="W929" s="1292"/>
      <c r="X929" s="1292"/>
      <c r="Y929" s="1292"/>
      <c r="Z929" s="1293"/>
      <c r="AA929" s="1306"/>
      <c r="AB929" s="1307"/>
      <c r="AC929" s="1307"/>
      <c r="AD929" s="1307"/>
      <c r="AE929" s="1307"/>
      <c r="AF929" s="1308"/>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291" t="s">
        <v>591</v>
      </c>
      <c r="V930" s="1292"/>
      <c r="W930" s="1292"/>
      <c r="X930" s="1292"/>
      <c r="Y930" s="1292"/>
      <c r="Z930" s="1293"/>
      <c r="AA930" s="1306"/>
      <c r="AB930" s="1307"/>
      <c r="AC930" s="1307"/>
      <c r="AD930" s="1307"/>
      <c r="AE930" s="1307"/>
      <c r="AF930" s="1308"/>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291" t="s">
        <v>591</v>
      </c>
      <c r="V931" s="1292"/>
      <c r="W931" s="1292"/>
      <c r="X931" s="1292"/>
      <c r="Y931" s="1292"/>
      <c r="Z931" s="1293"/>
      <c r="AA931" s="1306"/>
      <c r="AB931" s="1307"/>
      <c r="AC931" s="1307"/>
      <c r="AD931" s="1307"/>
      <c r="AE931" s="1307"/>
      <c r="AF931" s="1308"/>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291" t="s">
        <v>591</v>
      </c>
      <c r="V932" s="1292"/>
      <c r="W932" s="1292"/>
      <c r="X932" s="1292"/>
      <c r="Y932" s="1292"/>
      <c r="Z932" s="1293"/>
      <c r="AA932" s="1306"/>
      <c r="AB932" s="1307"/>
      <c r="AC932" s="1307"/>
      <c r="AD932" s="1307"/>
      <c r="AE932" s="1307"/>
      <c r="AF932" s="1308"/>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291" t="s">
        <v>591</v>
      </c>
      <c r="V933" s="1292"/>
      <c r="W933" s="1292"/>
      <c r="X933" s="1292"/>
      <c r="Y933" s="1292"/>
      <c r="Z933" s="1293"/>
      <c r="AA933" s="1306"/>
      <c r="AB933" s="1307"/>
      <c r="AC933" s="1307"/>
      <c r="AD933" s="1307"/>
      <c r="AE933" s="1307"/>
      <c r="AF933" s="1308"/>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291" t="s">
        <v>591</v>
      </c>
      <c r="V934" s="1292"/>
      <c r="W934" s="1292"/>
      <c r="X934" s="1292"/>
      <c r="Y934" s="1292"/>
      <c r="Z934" s="1293"/>
      <c r="AA934" s="1306"/>
      <c r="AB934" s="1307"/>
      <c r="AC934" s="1307"/>
      <c r="AD934" s="1307"/>
      <c r="AE934" s="1307"/>
      <c r="AF934" s="1308"/>
      <c r="AZ934" s="34"/>
      <c r="BA934" s="34"/>
      <c r="BB934" s="34"/>
      <c r="BC934" s="34"/>
    </row>
    <row r="935" spans="6:55" ht="12.95" customHeight="1">
      <c r="F935" s="1346" t="s">
        <v>2146</v>
      </c>
      <c r="G935" s="1347"/>
      <c r="H935" s="1347"/>
      <c r="I935" s="1347"/>
      <c r="J935" s="1347"/>
      <c r="K935" s="1347"/>
      <c r="L935" s="1347"/>
      <c r="M935" s="1347"/>
      <c r="N935" s="1347"/>
      <c r="O935" s="1347"/>
      <c r="P935" s="1347"/>
      <c r="Q935" s="1347"/>
      <c r="R935" s="1347"/>
      <c r="S935" s="1347"/>
      <c r="T935" s="1348"/>
      <c r="U935" s="1291" t="s">
        <v>591</v>
      </c>
      <c r="V935" s="1292"/>
      <c r="W935" s="1292"/>
      <c r="X935" s="1292"/>
      <c r="Y935" s="1292"/>
      <c r="Z935" s="1293"/>
      <c r="AA935" s="1306"/>
      <c r="AB935" s="1307"/>
      <c r="AC935" s="1307"/>
      <c r="AD935" s="1307"/>
      <c r="AE935" s="1307"/>
      <c r="AF935" s="1308"/>
      <c r="AZ935" s="34"/>
      <c r="BA935" s="34"/>
      <c r="BB935" s="34"/>
      <c r="BC935" s="34"/>
    </row>
    <row r="936" spans="6:55" ht="12.95" customHeight="1">
      <c r="F936" s="1346" t="s">
        <v>679</v>
      </c>
      <c r="G936" s="1347"/>
      <c r="H936" s="1347"/>
      <c r="I936" s="1347"/>
      <c r="J936" s="1347"/>
      <c r="K936" s="1347"/>
      <c r="L936" s="1347"/>
      <c r="M936" s="1347"/>
      <c r="N936" s="1347"/>
      <c r="O936" s="1347"/>
      <c r="P936" s="1347"/>
      <c r="Q936" s="1347"/>
      <c r="R936" s="1347"/>
      <c r="S936" s="1347"/>
      <c r="T936" s="1348"/>
      <c r="U936" s="1291" t="s">
        <v>591</v>
      </c>
      <c r="V936" s="1292"/>
      <c r="W936" s="1292"/>
      <c r="X936" s="1292"/>
      <c r="Y936" s="1292"/>
      <c r="Z936" s="1293"/>
      <c r="AA936" s="1306"/>
      <c r="AB936" s="1307"/>
      <c r="AC936" s="1307"/>
      <c r="AD936" s="1307"/>
      <c r="AE936" s="1307"/>
      <c r="AF936" s="1308"/>
      <c r="AU936" s="2"/>
      <c r="AZ936" s="34"/>
      <c r="BA936" s="34"/>
      <c r="BB936" s="34"/>
      <c r="BC936" s="34"/>
    </row>
    <row r="937" spans="6:55" ht="12.95" customHeight="1">
      <c r="F937" s="1346" t="s">
        <v>2147</v>
      </c>
      <c r="G937" s="1347"/>
      <c r="H937" s="1347"/>
      <c r="I937" s="1347"/>
      <c r="J937" s="1347"/>
      <c r="K937" s="1347"/>
      <c r="L937" s="1347"/>
      <c r="M937" s="1347"/>
      <c r="N937" s="1347"/>
      <c r="O937" s="1347"/>
      <c r="P937" s="1347"/>
      <c r="Q937" s="1347"/>
      <c r="R937" s="1347"/>
      <c r="S937" s="1347"/>
      <c r="T937" s="1348"/>
      <c r="U937" s="1291" t="s">
        <v>591</v>
      </c>
      <c r="V937" s="1292"/>
      <c r="W937" s="1292"/>
      <c r="X937" s="1292"/>
      <c r="Y937" s="1292"/>
      <c r="Z937" s="1293"/>
      <c r="AA937" s="1306"/>
      <c r="AB937" s="1307"/>
      <c r="AC937" s="1307"/>
      <c r="AD937" s="1307"/>
      <c r="AE937" s="1307"/>
      <c r="AF937" s="1308"/>
      <c r="AU937" s="2"/>
      <c r="AZ937" s="34"/>
      <c r="BA937" s="34"/>
      <c r="BB937" s="34"/>
      <c r="BC937" s="34"/>
    </row>
    <row r="938" spans="6:55" ht="12.95" customHeight="1">
      <c r="F938" s="1346" t="s">
        <v>2148</v>
      </c>
      <c r="G938" s="1347"/>
      <c r="H938" s="1347"/>
      <c r="I938" s="1347"/>
      <c r="J938" s="1347"/>
      <c r="K938" s="1347"/>
      <c r="L938" s="1347"/>
      <c r="M938" s="1347"/>
      <c r="N938" s="1347"/>
      <c r="O938" s="1347"/>
      <c r="P938" s="1347"/>
      <c r="Q938" s="1347"/>
      <c r="R938" s="1347"/>
      <c r="S938" s="1347"/>
      <c r="T938" s="1348"/>
      <c r="U938" s="1291" t="s">
        <v>591</v>
      </c>
      <c r="V938" s="1292"/>
      <c r="W938" s="1292"/>
      <c r="X938" s="1292"/>
      <c r="Y938" s="1292"/>
      <c r="Z938" s="1293"/>
      <c r="AA938" s="1306"/>
      <c r="AB938" s="1307"/>
      <c r="AC938" s="1307"/>
      <c r="AD938" s="1307"/>
      <c r="AE938" s="1307"/>
      <c r="AF938" s="1308"/>
      <c r="AU938" s="2"/>
      <c r="AZ938" s="34"/>
      <c r="BA938" s="34"/>
      <c r="BB938" s="34"/>
      <c r="BC938" s="34"/>
    </row>
    <row r="939" spans="6:55" ht="12.95" customHeight="1">
      <c r="F939" s="1346" t="s">
        <v>2149</v>
      </c>
      <c r="G939" s="1347"/>
      <c r="H939" s="1347"/>
      <c r="I939" s="1347"/>
      <c r="J939" s="1347"/>
      <c r="K939" s="1347"/>
      <c r="L939" s="1347"/>
      <c r="M939" s="1347"/>
      <c r="N939" s="1347"/>
      <c r="O939" s="1347"/>
      <c r="P939" s="1347"/>
      <c r="Q939" s="1347"/>
      <c r="R939" s="1347"/>
      <c r="S939" s="1347"/>
      <c r="T939" s="1348"/>
      <c r="U939" s="1291" t="s">
        <v>591</v>
      </c>
      <c r="V939" s="1292"/>
      <c r="W939" s="1292"/>
      <c r="X939" s="1292"/>
      <c r="Y939" s="1292"/>
      <c r="Z939" s="1293"/>
      <c r="AA939" s="1306"/>
      <c r="AB939" s="1307"/>
      <c r="AC939" s="1307"/>
      <c r="AD939" s="1307"/>
      <c r="AE939" s="1307"/>
      <c r="AF939" s="1308"/>
      <c r="AU939" s="2"/>
      <c r="AZ939" s="34"/>
      <c r="BA939" s="34"/>
      <c r="BB939" s="34"/>
      <c r="BC939" s="34"/>
    </row>
    <row r="940" spans="6:55" ht="12.95" customHeight="1">
      <c r="F940" s="1346" t="s">
        <v>2150</v>
      </c>
      <c r="G940" s="1347"/>
      <c r="H940" s="1347"/>
      <c r="I940" s="1347"/>
      <c r="J940" s="1347"/>
      <c r="K940" s="1347"/>
      <c r="L940" s="1347"/>
      <c r="M940" s="1347"/>
      <c r="N940" s="1347"/>
      <c r="O940" s="1347"/>
      <c r="P940" s="1347"/>
      <c r="Q940" s="1347"/>
      <c r="R940" s="1347"/>
      <c r="S940" s="1347"/>
      <c r="T940" s="1348"/>
      <c r="U940" s="1291" t="s">
        <v>591</v>
      </c>
      <c r="V940" s="1292"/>
      <c r="W940" s="1292"/>
      <c r="X940" s="1292"/>
      <c r="Y940" s="1292"/>
      <c r="Z940" s="1293"/>
      <c r="AA940" s="1306"/>
      <c r="AB940" s="1307"/>
      <c r="AC940" s="1307"/>
      <c r="AD940" s="1307"/>
      <c r="AE940" s="1307"/>
      <c r="AF940" s="1308"/>
      <c r="AU940" s="2"/>
      <c r="AZ940" s="34"/>
      <c r="BA940" s="34"/>
      <c r="BB940" s="34"/>
      <c r="BC940" s="34"/>
    </row>
    <row r="941" spans="6:55" ht="12.95" customHeight="1">
      <c r="F941" s="1346" t="s">
        <v>2151</v>
      </c>
      <c r="G941" s="1347"/>
      <c r="H941" s="1347"/>
      <c r="I941" s="1347"/>
      <c r="J941" s="1347"/>
      <c r="K941" s="1347"/>
      <c r="L941" s="1347"/>
      <c r="M941" s="1347"/>
      <c r="N941" s="1347"/>
      <c r="O941" s="1347"/>
      <c r="P941" s="1347"/>
      <c r="Q941" s="1347"/>
      <c r="R941" s="1347"/>
      <c r="S941" s="1347"/>
      <c r="T941" s="1348"/>
      <c r="U941" s="1291" t="s">
        <v>591</v>
      </c>
      <c r="V941" s="1292"/>
      <c r="W941" s="1292"/>
      <c r="X941" s="1292"/>
      <c r="Y941" s="1292"/>
      <c r="Z941" s="1293"/>
      <c r="AA941" s="1306"/>
      <c r="AB941" s="1307"/>
      <c r="AC941" s="1307"/>
      <c r="AD941" s="1307"/>
      <c r="AE941" s="1307"/>
      <c r="AF941" s="1308"/>
      <c r="AZ941" s="30"/>
      <c r="BA941" s="30"/>
    </row>
    <row r="942" spans="6:55" ht="12.95" customHeight="1">
      <c r="F942" s="178" t="s">
        <v>676</v>
      </c>
      <c r="G942" s="5"/>
      <c r="H942" s="5"/>
      <c r="I942" s="5"/>
      <c r="J942" s="5"/>
      <c r="K942" s="5"/>
      <c r="L942" s="5"/>
      <c r="M942" s="5"/>
      <c r="N942" s="5"/>
      <c r="O942" s="5"/>
      <c r="P942" s="5"/>
      <c r="Q942" s="5"/>
      <c r="R942" s="5"/>
      <c r="S942" s="5"/>
      <c r="T942" s="46"/>
      <c r="U942" s="1291" t="s">
        <v>591</v>
      </c>
      <c r="V942" s="1292"/>
      <c r="W942" s="1292"/>
      <c r="X942" s="1292"/>
      <c r="Y942" s="1292"/>
      <c r="Z942" s="1293"/>
      <c r="AA942" s="1306"/>
      <c r="AB942" s="1307"/>
      <c r="AC942" s="1307"/>
      <c r="AD942" s="1307"/>
      <c r="AE942" s="1307"/>
      <c r="AF942" s="1308"/>
    </row>
    <row r="943" spans="6:55" ht="12.95" customHeight="1">
      <c r="F943" s="121" t="s">
        <v>1277</v>
      </c>
      <c r="G943" s="5"/>
      <c r="H943" s="5"/>
      <c r="I943" s="5"/>
      <c r="J943" s="5"/>
      <c r="K943" s="5"/>
      <c r="L943" s="5"/>
      <c r="M943" s="5"/>
      <c r="N943" s="5"/>
      <c r="O943" s="5"/>
      <c r="P943" s="5"/>
      <c r="Q943" s="5"/>
      <c r="R943" s="5"/>
      <c r="S943" s="5"/>
      <c r="T943" s="46"/>
      <c r="U943" s="1291" t="s">
        <v>591</v>
      </c>
      <c r="V943" s="1292"/>
      <c r="W943" s="1292"/>
      <c r="X943" s="1292"/>
      <c r="Y943" s="1292"/>
      <c r="Z943" s="1293"/>
      <c r="AA943" s="1306"/>
      <c r="AB943" s="1307"/>
      <c r="AC943" s="1307"/>
      <c r="AD943" s="1307"/>
      <c r="AE943" s="1307"/>
      <c r="AF943" s="1308"/>
      <c r="AZ943" s="30"/>
      <c r="BA943" s="14"/>
    </row>
    <row r="944" spans="6:55" ht="12.95" customHeight="1">
      <c r="F944" s="66" t="s">
        <v>802</v>
      </c>
      <c r="G944" s="5"/>
      <c r="H944" s="5"/>
      <c r="I944" s="5"/>
      <c r="J944" s="5"/>
      <c r="K944" s="5"/>
      <c r="L944" s="5"/>
      <c r="M944" s="5"/>
      <c r="N944" s="5"/>
      <c r="O944" s="5"/>
      <c r="P944" s="5"/>
      <c r="Q944" s="5"/>
      <c r="R944" s="5"/>
      <c r="S944" s="5"/>
      <c r="T944" s="46"/>
      <c r="U944" s="1291" t="s">
        <v>591</v>
      </c>
      <c r="V944" s="1292"/>
      <c r="W944" s="1292"/>
      <c r="X944" s="1292"/>
      <c r="Y944" s="1292"/>
      <c r="Z944" s="1293"/>
      <c r="AA944" s="1306"/>
      <c r="AB944" s="1307"/>
      <c r="AC944" s="1307"/>
      <c r="AD944" s="1307"/>
      <c r="AE944" s="1307"/>
      <c r="AF944" s="1308"/>
      <c r="AZ944" s="30"/>
      <c r="BA944" s="14"/>
    </row>
    <row r="945" spans="6:55" ht="12.95" customHeight="1">
      <c r="F945" s="1396" t="s">
        <v>2155</v>
      </c>
      <c r="G945" s="1397"/>
      <c r="H945" s="1397"/>
      <c r="I945" s="1397"/>
      <c r="J945" s="1397"/>
      <c r="K945" s="1397"/>
      <c r="L945" s="1397"/>
      <c r="M945" s="1397"/>
      <c r="N945" s="1397"/>
      <c r="O945" s="1397"/>
      <c r="P945" s="1397"/>
      <c r="Q945" s="1397"/>
      <c r="R945" s="1397"/>
      <c r="S945" s="1397"/>
      <c r="T945" s="1398"/>
      <c r="U945" s="1291" t="s">
        <v>591</v>
      </c>
      <c r="V945" s="1292"/>
      <c r="W945" s="1292"/>
      <c r="X945" s="1292"/>
      <c r="Y945" s="1292"/>
      <c r="Z945" s="1293"/>
      <c r="AA945" s="1306"/>
      <c r="AB945" s="1307"/>
      <c r="AC945" s="1307"/>
      <c r="AD945" s="1307"/>
      <c r="AE945" s="1307"/>
      <c r="AF945" s="1308"/>
      <c r="AZ945" s="30"/>
      <c r="BA945" s="14"/>
    </row>
    <row r="946" spans="6:55" ht="12.95" customHeight="1">
      <c r="F946" s="1396" t="s">
        <v>2156</v>
      </c>
      <c r="G946" s="1397"/>
      <c r="H946" s="1397"/>
      <c r="I946" s="1397"/>
      <c r="J946" s="1397"/>
      <c r="K946" s="1397"/>
      <c r="L946" s="1397"/>
      <c r="M946" s="1397"/>
      <c r="N946" s="1397"/>
      <c r="O946" s="1397"/>
      <c r="P946" s="1397"/>
      <c r="Q946" s="1397"/>
      <c r="R946" s="1397"/>
      <c r="S946" s="1397"/>
      <c r="T946" s="1398"/>
      <c r="U946" s="1291" t="s">
        <v>591</v>
      </c>
      <c r="V946" s="1292"/>
      <c r="W946" s="1292"/>
      <c r="X946" s="1292"/>
      <c r="Y946" s="1292"/>
      <c r="Z946" s="1293"/>
      <c r="AA946" s="1306"/>
      <c r="AB946" s="1307"/>
      <c r="AC946" s="1307"/>
      <c r="AD946" s="1307"/>
      <c r="AE946" s="1307"/>
      <c r="AF946" s="1308"/>
      <c r="AZ946" s="30"/>
      <c r="BA946" s="30"/>
    </row>
    <row r="947" spans="6:55" ht="12.95" customHeight="1">
      <c r="F947" s="1346" t="s">
        <v>2152</v>
      </c>
      <c r="G947" s="1347"/>
      <c r="H947" s="1347"/>
      <c r="I947" s="1347"/>
      <c r="J947" s="1347"/>
      <c r="K947" s="1347"/>
      <c r="L947" s="1347"/>
      <c r="M947" s="1347"/>
      <c r="N947" s="1347"/>
      <c r="O947" s="1347"/>
      <c r="P947" s="1347"/>
      <c r="Q947" s="1347"/>
      <c r="R947" s="1347"/>
      <c r="S947" s="1347"/>
      <c r="T947" s="1348"/>
      <c r="U947" s="1291" t="s">
        <v>591</v>
      </c>
      <c r="V947" s="1292"/>
      <c r="W947" s="1292"/>
      <c r="X947" s="1292"/>
      <c r="Y947" s="1292"/>
      <c r="Z947" s="1293"/>
      <c r="AA947" s="1306"/>
      <c r="AB947" s="1307"/>
      <c r="AC947" s="1307"/>
      <c r="AD947" s="1307"/>
      <c r="AE947" s="1307"/>
      <c r="AF947" s="1308"/>
      <c r="AZ947" s="30"/>
      <c r="BA947" s="30"/>
    </row>
    <row r="948" spans="6:55" ht="12.95" customHeight="1">
      <c r="F948" s="1346" t="s">
        <v>2153</v>
      </c>
      <c r="G948" s="1347"/>
      <c r="H948" s="1347"/>
      <c r="I948" s="1347"/>
      <c r="J948" s="1347"/>
      <c r="K948" s="1347"/>
      <c r="L948" s="1347"/>
      <c r="M948" s="1347"/>
      <c r="N948" s="1347"/>
      <c r="O948" s="1347"/>
      <c r="P948" s="1347"/>
      <c r="Q948" s="1347"/>
      <c r="R948" s="1347"/>
      <c r="S948" s="1347"/>
      <c r="T948" s="1348"/>
      <c r="U948" s="1291" t="s">
        <v>591</v>
      </c>
      <c r="V948" s="1292"/>
      <c r="W948" s="1292"/>
      <c r="X948" s="1292"/>
      <c r="Y948" s="1292"/>
      <c r="Z948" s="1293"/>
      <c r="AA948" s="1306"/>
      <c r="AB948" s="1307"/>
      <c r="AC948" s="1307"/>
      <c r="AD948" s="1307"/>
      <c r="AE948" s="1307"/>
      <c r="AF948" s="1308"/>
      <c r="AZ948" s="30"/>
      <c r="BA948" s="30"/>
    </row>
    <row r="949" spans="6:55" ht="12.95" customHeight="1">
      <c r="F949" s="1346" t="s">
        <v>2154</v>
      </c>
      <c r="G949" s="1347"/>
      <c r="H949" s="1347"/>
      <c r="I949" s="1347"/>
      <c r="J949" s="1347"/>
      <c r="K949" s="1347"/>
      <c r="L949" s="1347"/>
      <c r="M949" s="1347"/>
      <c r="N949" s="1347"/>
      <c r="O949" s="1347"/>
      <c r="P949" s="1347"/>
      <c r="Q949" s="1347"/>
      <c r="R949" s="1347"/>
      <c r="S949" s="1347"/>
      <c r="T949" s="1348"/>
      <c r="U949" s="1291" t="s">
        <v>591</v>
      </c>
      <c r="V949" s="1292"/>
      <c r="W949" s="1292"/>
      <c r="X949" s="1292"/>
      <c r="Y949" s="1292"/>
      <c r="Z949" s="1293"/>
      <c r="AA949" s="1306"/>
      <c r="AB949" s="1307"/>
      <c r="AC949" s="1307"/>
      <c r="AD949" s="1307"/>
      <c r="AE949" s="1307"/>
      <c r="AF949" s="1308"/>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291" t="s">
        <v>591</v>
      </c>
      <c r="V950" s="1292"/>
      <c r="W950" s="1292"/>
      <c r="X950" s="1292"/>
      <c r="Y950" s="1292"/>
      <c r="Z950" s="1293"/>
      <c r="AA950" s="1306"/>
      <c r="AB950" s="1307"/>
      <c r="AC950" s="1307"/>
      <c r="AD950" s="1307"/>
      <c r="AE950" s="1307"/>
      <c r="AF950" s="1308"/>
      <c r="AZ950" s="34"/>
      <c r="BA950" s="34"/>
      <c r="BB950" s="14"/>
      <c r="BC950" s="14"/>
    </row>
    <row r="951" spans="6:55" ht="12.95" customHeight="1">
      <c r="F951" s="1396" t="s">
        <v>2157</v>
      </c>
      <c r="G951" s="1397"/>
      <c r="H951" s="1397"/>
      <c r="I951" s="1397"/>
      <c r="J951" s="1397"/>
      <c r="K951" s="1397"/>
      <c r="L951" s="1397"/>
      <c r="M951" s="1397"/>
      <c r="N951" s="1397"/>
      <c r="O951" s="1397"/>
      <c r="P951" s="1397"/>
      <c r="Q951" s="1397"/>
      <c r="R951" s="1397"/>
      <c r="S951" s="1397"/>
      <c r="T951" s="1398"/>
      <c r="U951" s="1291" t="s">
        <v>591</v>
      </c>
      <c r="V951" s="1292"/>
      <c r="W951" s="1292"/>
      <c r="X951" s="1292"/>
      <c r="Y951" s="1292"/>
      <c r="Z951" s="1293"/>
      <c r="AA951" s="1306"/>
      <c r="AB951" s="1307"/>
      <c r="AC951" s="1307"/>
      <c r="AD951" s="1307"/>
      <c r="AE951" s="1307"/>
      <c r="AF951" s="1308"/>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291" t="s">
        <v>591</v>
      </c>
      <c r="V952" s="1292"/>
      <c r="W952" s="1292"/>
      <c r="X952" s="1292"/>
      <c r="Y952" s="1292"/>
      <c r="Z952" s="1293"/>
      <c r="AA952" s="1306"/>
      <c r="AB952" s="1307"/>
      <c r="AC952" s="1307"/>
      <c r="AD952" s="1307"/>
      <c r="AE952" s="1307"/>
      <c r="AF952" s="1308"/>
      <c r="AZ952" s="34"/>
      <c r="BA952" s="34"/>
      <c r="BB952" s="34"/>
      <c r="BC952" s="34"/>
    </row>
    <row r="953" spans="6:55" ht="12.95" customHeight="1">
      <c r="F953" s="1396" t="s">
        <v>2158</v>
      </c>
      <c r="G953" s="1397"/>
      <c r="H953" s="1397"/>
      <c r="I953" s="1397"/>
      <c r="J953" s="1397"/>
      <c r="K953" s="1397"/>
      <c r="L953" s="1397"/>
      <c r="M953" s="1397"/>
      <c r="N953" s="1397"/>
      <c r="O953" s="1397"/>
      <c r="P953" s="1397"/>
      <c r="Q953" s="1397"/>
      <c r="R953" s="1397"/>
      <c r="S953" s="1397"/>
      <c r="T953" s="1398"/>
      <c r="U953" s="1291" t="s">
        <v>591</v>
      </c>
      <c r="V953" s="1292"/>
      <c r="W953" s="1292"/>
      <c r="X953" s="1292"/>
      <c r="Y953" s="1292"/>
      <c r="Z953" s="1293"/>
      <c r="AA953" s="1306"/>
      <c r="AB953" s="1307"/>
      <c r="AC953" s="1307"/>
      <c r="AD953" s="1307"/>
      <c r="AE953" s="1307"/>
      <c r="AF953" s="1308"/>
      <c r="AZ953" s="34"/>
      <c r="BA953" s="34"/>
      <c r="BB953" s="34"/>
      <c r="BC953" s="34"/>
    </row>
    <row r="954" spans="6:55" ht="12.95" customHeight="1">
      <c r="F954" s="45" t="s">
        <v>806</v>
      </c>
      <c r="G954" s="5"/>
      <c r="H954" s="5"/>
      <c r="I954" s="5"/>
      <c r="J954" s="5"/>
      <c r="K954" s="5"/>
      <c r="L954" s="5"/>
      <c r="M954" s="5"/>
      <c r="N954" s="5"/>
      <c r="O954" s="5"/>
      <c r="P954" s="1291" t="s">
        <v>669</v>
      </c>
      <c r="Q954" s="1292"/>
      <c r="R954" s="1292"/>
      <c r="S954" s="1292"/>
      <c r="T954" s="1293"/>
      <c r="U954" s="1291" t="s">
        <v>591</v>
      </c>
      <c r="V954" s="1292"/>
      <c r="W954" s="1292"/>
      <c r="X954" s="1292"/>
      <c r="Y954" s="1292"/>
      <c r="Z954" s="1293"/>
      <c r="AA954" s="1306"/>
      <c r="AB954" s="1307"/>
      <c r="AC954" s="1307"/>
      <c r="AD954" s="1307"/>
      <c r="AE954" s="1307"/>
      <c r="AF954" s="1308"/>
      <c r="AZ954" s="34"/>
      <c r="BA954" s="34"/>
      <c r="BB954" s="34"/>
      <c r="BC954" s="34"/>
    </row>
    <row r="955" spans="6:55" ht="12.95" customHeight="1">
      <c r="F955" s="1346" t="s">
        <v>2145</v>
      </c>
      <c r="G955" s="1347"/>
      <c r="H955" s="1348"/>
      <c r="I955" s="1316" t="s">
        <v>334</v>
      </c>
      <c r="J955" s="1317"/>
      <c r="K955" s="1317"/>
      <c r="L955" s="1317"/>
      <c r="M955" s="1317"/>
      <c r="N955" s="1317"/>
      <c r="O955" s="1317"/>
      <c r="P955" s="1317"/>
      <c r="Q955" s="1317"/>
      <c r="R955" s="1317"/>
      <c r="S955" s="1317"/>
      <c r="T955" s="1318"/>
      <c r="U955" s="1291" t="s">
        <v>591</v>
      </c>
      <c r="V955" s="1292"/>
      <c r="W955" s="1292"/>
      <c r="X955" s="1292"/>
      <c r="Y955" s="1292"/>
      <c r="Z955" s="1293"/>
      <c r="AA955" s="1306"/>
      <c r="AB955" s="1307"/>
      <c r="AC955" s="1307"/>
      <c r="AD955" s="1307"/>
      <c r="AE955" s="1307"/>
      <c r="AF955" s="1308"/>
      <c r="AZ955" s="34"/>
      <c r="BA955" s="34"/>
      <c r="BB955" s="34"/>
      <c r="BC955" s="34"/>
    </row>
    <row r="956" spans="6:55" ht="12.95" customHeight="1">
      <c r="F956" s="45" t="s">
        <v>86</v>
      </c>
      <c r="G956" s="48"/>
      <c r="H956" s="48"/>
      <c r="I956" s="1316" t="s">
        <v>334</v>
      </c>
      <c r="J956" s="1317"/>
      <c r="K956" s="1317"/>
      <c r="L956" s="1317"/>
      <c r="M956" s="1317"/>
      <c r="N956" s="1317"/>
      <c r="O956" s="1317"/>
      <c r="P956" s="1317"/>
      <c r="Q956" s="1317"/>
      <c r="R956" s="1317"/>
      <c r="S956" s="1317"/>
      <c r="T956" s="1318"/>
      <c r="U956" s="1291" t="s">
        <v>591</v>
      </c>
      <c r="V956" s="1292"/>
      <c r="W956" s="1292"/>
      <c r="X956" s="1292"/>
      <c r="Y956" s="1292"/>
      <c r="Z956" s="1293"/>
      <c r="AA956" s="1306"/>
      <c r="AB956" s="1307"/>
      <c r="AC956" s="1307"/>
      <c r="AD956" s="1307"/>
      <c r="AE956" s="1307"/>
      <c r="AF956" s="1308"/>
      <c r="AZ956" s="34"/>
      <c r="BA956" s="34"/>
      <c r="BB956" s="34"/>
      <c r="BC956" s="34"/>
    </row>
    <row r="957" spans="6:55" ht="12.95" customHeight="1">
      <c r="F957" s="45" t="s">
        <v>10</v>
      </c>
      <c r="G957" s="48"/>
      <c r="H957" s="48"/>
      <c r="I957" s="1569" t="s">
        <v>334</v>
      </c>
      <c r="J957" s="1570"/>
      <c r="K957" s="1570"/>
      <c r="L957" s="1570"/>
      <c r="M957" s="1570"/>
      <c r="N957" s="1570"/>
      <c r="O957" s="1570"/>
      <c r="P957" s="1570"/>
      <c r="Q957" s="1570"/>
      <c r="R957" s="1570"/>
      <c r="S957" s="1570"/>
      <c r="T957" s="1571"/>
      <c r="U957" s="1291" t="s">
        <v>591</v>
      </c>
      <c r="V957" s="1292"/>
      <c r="W957" s="1292"/>
      <c r="X957" s="1292"/>
      <c r="Y957" s="1292"/>
      <c r="Z957" s="1293"/>
      <c r="AA957" s="1306"/>
      <c r="AB957" s="1307"/>
      <c r="AC957" s="1307"/>
      <c r="AD957" s="1307"/>
      <c r="AE957" s="1307"/>
      <c r="AF957" s="1308"/>
      <c r="AV957" s="2"/>
      <c r="AW957" s="2"/>
      <c r="AX957" s="2"/>
      <c r="AY957" s="2"/>
      <c r="AZ957" s="34"/>
      <c r="BA957" s="34"/>
      <c r="BB957" s="34"/>
      <c r="BC957" s="34"/>
    </row>
    <row r="958" spans="6:55" ht="12.95" customHeight="1">
      <c r="F958" s="47" t="s">
        <v>170</v>
      </c>
      <c r="G958" s="48"/>
      <c r="H958" s="48"/>
      <c r="I958" s="1569" t="str">
        <f>C564</f>
        <v>Citibank - Tax-Exempt Recycled Bonds</v>
      </c>
      <c r="J958" s="1570"/>
      <c r="K958" s="1570"/>
      <c r="L958" s="1570"/>
      <c r="M958" s="1570"/>
      <c r="N958" s="1570"/>
      <c r="O958" s="1570"/>
      <c r="P958" s="1570"/>
      <c r="Q958" s="1570"/>
      <c r="R958" s="1570"/>
      <c r="S958" s="1570"/>
      <c r="T958" s="1571"/>
      <c r="U958" s="1291" t="s">
        <v>545</v>
      </c>
      <c r="V958" s="1292"/>
      <c r="W958" s="1292"/>
      <c r="X958" s="1292"/>
      <c r="Y958" s="1292"/>
      <c r="Z958" s="1293"/>
      <c r="AA958" s="1306">
        <f>AM564</f>
        <v>500000</v>
      </c>
      <c r="AB958" s="1307"/>
      <c r="AC958" s="1307"/>
      <c r="AD958" s="1307"/>
      <c r="AE958" s="1307"/>
      <c r="AF958" s="1308"/>
      <c r="AU958" s="2"/>
      <c r="AZ958" s="34"/>
      <c r="BA958" s="34"/>
      <c r="BB958" s="34"/>
      <c r="BC958" s="34"/>
    </row>
    <row r="959" spans="6:55" ht="12.95" customHeight="1">
      <c r="F959" s="47" t="s">
        <v>170</v>
      </c>
      <c r="G959" s="48"/>
      <c r="H959" s="48"/>
      <c r="I959" s="1569" t="s">
        <v>334</v>
      </c>
      <c r="J959" s="1570"/>
      <c r="K959" s="1570"/>
      <c r="L959" s="1570"/>
      <c r="M959" s="1570"/>
      <c r="N959" s="1570"/>
      <c r="O959" s="1570"/>
      <c r="P959" s="1570"/>
      <c r="Q959" s="1570"/>
      <c r="R959" s="1570"/>
      <c r="S959" s="1570"/>
      <c r="T959" s="1571"/>
      <c r="U959" s="1291" t="s">
        <v>591</v>
      </c>
      <c r="V959" s="1292"/>
      <c r="W959" s="1292"/>
      <c r="X959" s="1292"/>
      <c r="Y959" s="1292"/>
      <c r="Z959" s="1293"/>
      <c r="AA959" s="1306"/>
      <c r="AB959" s="1307"/>
      <c r="AC959" s="1307"/>
      <c r="AD959" s="1307"/>
      <c r="AE959" s="1307"/>
      <c r="AF959" s="1308"/>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566" t="s">
        <v>591</v>
      </c>
      <c r="N964" s="1567"/>
      <c r="O964" s="1567"/>
      <c r="P964" s="1567"/>
      <c r="Q964" s="1567"/>
      <c r="R964" s="1567"/>
      <c r="S964" s="1568"/>
      <c r="U964" s="66" t="s">
        <v>11</v>
      </c>
      <c r="V964" s="5"/>
      <c r="W964" s="5"/>
      <c r="X964" s="5"/>
      <c r="Y964" s="5"/>
      <c r="Z964" s="5"/>
      <c r="AA964" s="5"/>
      <c r="AB964" s="5"/>
      <c r="AC964" s="5"/>
      <c r="AD964" s="46"/>
      <c r="AE964" s="1566" t="s">
        <v>591</v>
      </c>
      <c r="AF964" s="1567"/>
      <c r="AG964" s="1567"/>
      <c r="AH964" s="1567"/>
      <c r="AI964" s="1567"/>
      <c r="AJ964" s="1567"/>
      <c r="AK964" s="1568"/>
      <c r="AZ964" s="34"/>
      <c r="BA964" s="34"/>
      <c r="BB964" s="34"/>
      <c r="BC964" s="34"/>
    </row>
    <row r="965" spans="1:64" ht="12.95" customHeight="1">
      <c r="C965" s="66" t="s">
        <v>12</v>
      </c>
      <c r="D965" s="5"/>
      <c r="E965" s="5"/>
      <c r="F965" s="5"/>
      <c r="G965" s="5"/>
      <c r="H965" s="5"/>
      <c r="I965" s="5"/>
      <c r="J965" s="5"/>
      <c r="K965" s="5"/>
      <c r="L965" s="46"/>
      <c r="M965" s="1582" t="s">
        <v>591</v>
      </c>
      <c r="N965" s="1583"/>
      <c r="O965" s="1583"/>
      <c r="P965" s="1583"/>
      <c r="Q965" s="1583"/>
      <c r="R965" s="1583"/>
      <c r="S965" s="1584"/>
      <c r="U965" s="66" t="s">
        <v>12</v>
      </c>
      <c r="V965" s="5"/>
      <c r="W965" s="5"/>
      <c r="X965" s="5"/>
      <c r="Y965" s="5"/>
      <c r="Z965" s="5"/>
      <c r="AA965" s="5"/>
      <c r="AB965" s="5"/>
      <c r="AC965" s="5"/>
      <c r="AD965" s="46"/>
      <c r="AE965" s="1582" t="s">
        <v>591</v>
      </c>
      <c r="AF965" s="1583"/>
      <c r="AG965" s="1583"/>
      <c r="AH965" s="1583"/>
      <c r="AI965" s="1583"/>
      <c r="AJ965" s="1583"/>
      <c r="AK965" s="1584"/>
      <c r="AZ965" s="34"/>
      <c r="BA965" s="34"/>
      <c r="BB965" s="34"/>
      <c r="BC965" s="34"/>
    </row>
    <row r="966" spans="1:64" ht="12.95" customHeight="1">
      <c r="C966" s="66" t="s">
        <v>880</v>
      </c>
      <c r="D966" s="5"/>
      <c r="E966" s="5"/>
      <c r="J966" s="1286" t="s">
        <v>591</v>
      </c>
      <c r="K966" s="1287"/>
      <c r="L966" s="1287"/>
      <c r="M966" s="1287"/>
      <c r="N966" s="1287"/>
      <c r="O966" s="1287"/>
      <c r="P966" s="1287"/>
      <c r="Q966" s="1287"/>
      <c r="R966" s="1287"/>
      <c r="S966" s="1288"/>
      <c r="U966" s="66" t="s">
        <v>880</v>
      </c>
      <c r="V966" s="5"/>
      <c r="W966" s="5"/>
      <c r="AB966" s="1286" t="s">
        <v>591</v>
      </c>
      <c r="AC966" s="1287"/>
      <c r="AD966" s="1287"/>
      <c r="AE966" s="1287"/>
      <c r="AF966" s="1287"/>
      <c r="AG966" s="1287"/>
      <c r="AH966" s="1287"/>
      <c r="AI966" s="1287"/>
      <c r="AJ966" s="1287"/>
      <c r="AK966" s="1288"/>
      <c r="AZ966" s="34"/>
      <c r="BA966" s="34"/>
      <c r="BB966" s="34"/>
      <c r="BC966" s="34"/>
    </row>
    <row r="967" spans="1:64" ht="12.95" customHeight="1">
      <c r="C967" s="66" t="s">
        <v>13</v>
      </c>
      <c r="D967" s="5"/>
      <c r="E967" s="5"/>
      <c r="F967" s="5"/>
      <c r="G967" s="5"/>
      <c r="H967" s="5"/>
      <c r="I967" s="5"/>
      <c r="J967" s="5"/>
      <c r="K967" s="5"/>
      <c r="L967" s="46"/>
      <c r="M967" s="1590" t="s">
        <v>591</v>
      </c>
      <c r="N967" s="1586"/>
      <c r="O967" s="1586"/>
      <c r="P967" s="1586"/>
      <c r="Q967" s="1586"/>
      <c r="R967" s="1586"/>
      <c r="S967" s="1587"/>
      <c r="U967" s="66" t="s">
        <v>13</v>
      </c>
      <c r="V967" s="5"/>
      <c r="W967" s="5"/>
      <c r="X967" s="5"/>
      <c r="Y967" s="5"/>
      <c r="Z967" s="5"/>
      <c r="AA967" s="5"/>
      <c r="AB967" s="5"/>
      <c r="AC967" s="5"/>
      <c r="AD967" s="46"/>
      <c r="AE967" s="1585" t="s">
        <v>591</v>
      </c>
      <c r="AF967" s="1586"/>
      <c r="AG967" s="1586"/>
      <c r="AH967" s="1586"/>
      <c r="AI967" s="1586"/>
      <c r="AJ967" s="1586"/>
      <c r="AK967" s="1587"/>
      <c r="AZ967" s="34"/>
      <c r="BA967" s="34"/>
      <c r="BB967" s="34"/>
      <c r="BC967" s="34"/>
    </row>
    <row r="968" spans="1:64" ht="12.95" customHeight="1">
      <c r="C968" s="66" t="s">
        <v>14</v>
      </c>
      <c r="D968" s="5"/>
      <c r="E968" s="5"/>
      <c r="F968" s="5"/>
      <c r="G968" s="5"/>
      <c r="H968" s="5"/>
      <c r="I968" s="5"/>
      <c r="J968" s="5"/>
      <c r="K968" s="5"/>
      <c r="L968" s="46"/>
      <c r="M968" s="1560" t="s">
        <v>591</v>
      </c>
      <c r="N968" s="1561"/>
      <c r="O968" s="1561"/>
      <c r="P968" s="1561"/>
      <c r="Q968" s="1561"/>
      <c r="R968" s="1561"/>
      <c r="S968" s="1562"/>
      <c r="U968" s="66" t="s">
        <v>14</v>
      </c>
      <c r="V968" s="5"/>
      <c r="W968" s="5"/>
      <c r="X968" s="5"/>
      <c r="Y968" s="5"/>
      <c r="Z968" s="5"/>
      <c r="AA968" s="5"/>
      <c r="AB968" s="5"/>
      <c r="AC968" s="5"/>
      <c r="AD968" s="46"/>
      <c r="AE968" s="1560" t="s">
        <v>591</v>
      </c>
      <c r="AF968" s="1561"/>
      <c r="AG968" s="1561"/>
      <c r="AH968" s="1561"/>
      <c r="AI968" s="1561"/>
      <c r="AJ968" s="1561"/>
      <c r="AK968" s="1562"/>
      <c r="AV968" s="2"/>
      <c r="AW968" s="2"/>
      <c r="AX968" s="2"/>
      <c r="AY968" s="2"/>
      <c r="AZ968" s="34"/>
      <c r="BA968" s="34"/>
      <c r="BB968" s="34"/>
      <c r="BC968" s="34"/>
    </row>
    <row r="969" spans="1:64" ht="12.95" customHeight="1">
      <c r="C969" s="66" t="s">
        <v>15</v>
      </c>
      <c r="D969" s="5"/>
      <c r="E969" s="5"/>
      <c r="F969" s="5"/>
      <c r="G969" s="5"/>
      <c r="H969" s="5"/>
      <c r="I969" s="5"/>
      <c r="J969" s="5"/>
      <c r="K969" s="5"/>
      <c r="L969" s="46"/>
      <c r="M969" s="1306" t="s">
        <v>591</v>
      </c>
      <c r="N969" s="1307"/>
      <c r="O969" s="1307"/>
      <c r="P969" s="1307"/>
      <c r="Q969" s="1307"/>
      <c r="R969" s="1307"/>
      <c r="S969" s="1308"/>
      <c r="U969" s="66" t="s">
        <v>15</v>
      </c>
      <c r="V969" s="5"/>
      <c r="W969" s="5"/>
      <c r="X969" s="5"/>
      <c r="Y969" s="5"/>
      <c r="Z969" s="5"/>
      <c r="AA969" s="5"/>
      <c r="AB969" s="5"/>
      <c r="AC969" s="5"/>
      <c r="AD969" s="46"/>
      <c r="AE969" s="1306" t="s">
        <v>591</v>
      </c>
      <c r="AF969" s="1307"/>
      <c r="AG969" s="1307"/>
      <c r="AH969" s="1307"/>
      <c r="AI969" s="1307"/>
      <c r="AJ969" s="1307"/>
      <c r="AK969" s="1308"/>
      <c r="AV969" s="2"/>
      <c r="AW969" s="2"/>
      <c r="AX969" s="2"/>
      <c r="AY969" s="2"/>
      <c r="AZ969" s="34"/>
      <c r="BA969" s="34"/>
      <c r="BB969" s="34"/>
      <c r="BC969" s="34"/>
    </row>
    <row r="970" spans="1:64" ht="12.95" customHeight="1">
      <c r="C970" s="66" t="s">
        <v>16</v>
      </c>
      <c r="D970" s="5"/>
      <c r="E970" s="5"/>
      <c r="F970" s="5"/>
      <c r="G970" s="5"/>
      <c r="H970" s="5"/>
      <c r="I970" s="5"/>
      <c r="J970" s="5"/>
      <c r="K970" s="5"/>
      <c r="L970" s="46"/>
      <c r="M970" s="1306" t="s">
        <v>591</v>
      </c>
      <c r="N970" s="1307"/>
      <c r="O970" s="1307"/>
      <c r="P970" s="1307"/>
      <c r="Q970" s="1307"/>
      <c r="R970" s="1307"/>
      <c r="S970" s="1308"/>
      <c r="U970" s="66" t="s">
        <v>16</v>
      </c>
      <c r="V970" s="5"/>
      <c r="W970" s="5"/>
      <c r="X970" s="5"/>
      <c r="Y970" s="5"/>
      <c r="Z970" s="5"/>
      <c r="AA970" s="5"/>
      <c r="AB970" s="5"/>
      <c r="AC970" s="5"/>
      <c r="AD970" s="46"/>
      <c r="AE970" s="1306" t="s">
        <v>591</v>
      </c>
      <c r="AF970" s="1307"/>
      <c r="AG970" s="1307"/>
      <c r="AH970" s="1307"/>
      <c r="AI970" s="1307"/>
      <c r="AJ970" s="1307"/>
      <c r="AK970" s="1308"/>
      <c r="AV970" s="2"/>
      <c r="AW970" s="2"/>
      <c r="AX970" s="2"/>
      <c r="AY970" s="2"/>
      <c r="AZ970" s="34"/>
      <c r="BB970" s="34"/>
      <c r="BC970" s="34"/>
    </row>
    <row r="971" spans="1:64" ht="12.95" customHeight="1">
      <c r="C971" s="121" t="s">
        <v>1650</v>
      </c>
      <c r="D971" s="5"/>
      <c r="E971" s="5"/>
      <c r="F971" s="5"/>
      <c r="G971" s="5"/>
      <c r="H971" s="5"/>
      <c r="I971" s="5"/>
      <c r="J971" s="5"/>
      <c r="K971" s="5"/>
      <c r="L971" s="46"/>
      <c r="M971" s="1528" t="s">
        <v>591</v>
      </c>
      <c r="N971" s="1529"/>
      <c r="O971" s="1529"/>
      <c r="P971" s="1529"/>
      <c r="Q971" s="1529"/>
      <c r="R971" s="1529"/>
      <c r="S971" s="1530"/>
      <c r="U971" s="121" t="s">
        <v>1650</v>
      </c>
      <c r="V971" s="5"/>
      <c r="W971" s="5"/>
      <c r="X971" s="5"/>
      <c r="Y971" s="5"/>
      <c r="Z971" s="5"/>
      <c r="AA971" s="5"/>
      <c r="AB971" s="5"/>
      <c r="AC971" s="5"/>
      <c r="AD971" s="46"/>
      <c r="AE971" s="1528" t="s">
        <v>591</v>
      </c>
      <c r="AF971" s="1529"/>
      <c r="AG971" s="1529"/>
      <c r="AH971" s="1529"/>
      <c r="AI971" s="1529"/>
      <c r="AJ971" s="1529"/>
      <c r="AK971" s="1530"/>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343" t="s">
        <v>591</v>
      </c>
      <c r="N976" s="1344"/>
      <c r="O976" s="1344"/>
      <c r="P976" s="1344"/>
      <c r="Q976" s="1344"/>
      <c r="R976" s="1344"/>
      <c r="S976" s="1345"/>
      <c r="T976" s="66" t="s">
        <v>790</v>
      </c>
      <c r="U976" s="5"/>
      <c r="V976" s="5"/>
      <c r="W976" s="5"/>
      <c r="X976" s="5"/>
      <c r="Y976" s="5"/>
      <c r="Z976" s="46"/>
      <c r="AA976" s="1343" t="s">
        <v>591</v>
      </c>
      <c r="AB976" s="1344"/>
      <c r="AC976" s="1344"/>
      <c r="AD976" s="1344"/>
      <c r="AE976" s="1344"/>
      <c r="AF976" s="1344"/>
      <c r="AG976" s="1345"/>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343" t="s">
        <v>591</v>
      </c>
      <c r="N977" s="1344"/>
      <c r="O977" s="1344"/>
      <c r="P977" s="1344"/>
      <c r="Q977" s="1344"/>
      <c r="R977" s="1344"/>
      <c r="S977" s="1345"/>
      <c r="T977" s="66" t="s">
        <v>789</v>
      </c>
      <c r="U977" s="5"/>
      <c r="V977" s="5"/>
      <c r="W977" s="5"/>
      <c r="X977" s="5"/>
      <c r="Y977" s="5"/>
      <c r="Z977" s="46"/>
      <c r="AA977" s="1343" t="s">
        <v>591</v>
      </c>
      <c r="AB977" s="1344"/>
      <c r="AC977" s="1344"/>
      <c r="AD977" s="1344"/>
      <c r="AE977" s="1344"/>
      <c r="AF977" s="1344"/>
      <c r="AG977" s="1345"/>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593" t="s">
        <v>591</v>
      </c>
      <c r="N978" s="1594"/>
      <c r="O978" s="1594"/>
      <c r="P978" s="1594"/>
      <c r="Q978" s="1594"/>
      <c r="R978" s="1594"/>
      <c r="S978" s="1595"/>
      <c r="T978" s="45" t="s">
        <v>337</v>
      </c>
      <c r="U978" s="5"/>
      <c r="V978" s="5"/>
      <c r="W978" s="5"/>
      <c r="X978" s="5"/>
      <c r="Y978" s="5"/>
      <c r="Z978" s="46"/>
      <c r="AA978" s="1343" t="s">
        <v>591</v>
      </c>
      <c r="AB978" s="1344"/>
      <c r="AC978" s="1344"/>
      <c r="AD978" s="1344"/>
      <c r="AE978" s="1344"/>
      <c r="AF978" s="1344"/>
      <c r="AG978" s="1345"/>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343" t="s">
        <v>591</v>
      </c>
      <c r="N979" s="1344"/>
      <c r="O979" s="1344"/>
      <c r="P979" s="1344"/>
      <c r="Q979" s="1344"/>
      <c r="R979" s="1344"/>
      <c r="S979" s="1345"/>
      <c r="T979" s="45" t="s">
        <v>338</v>
      </c>
      <c r="U979" s="5"/>
      <c r="V979" s="5"/>
      <c r="W979" s="5"/>
      <c r="X979" s="5"/>
      <c r="Y979" s="5"/>
      <c r="Z979" s="46"/>
      <c r="AA979" s="1343" t="s">
        <v>591</v>
      </c>
      <c r="AB979" s="1344"/>
      <c r="AC979" s="1344"/>
      <c r="AD979" s="1344"/>
      <c r="AE979" s="1344"/>
      <c r="AF979" s="1344"/>
      <c r="AG979" s="1345"/>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343" t="s">
        <v>591</v>
      </c>
      <c r="N980" s="1344"/>
      <c r="O980" s="1344"/>
      <c r="P980" s="1344"/>
      <c r="Q980" s="1344"/>
      <c r="R980" s="1344"/>
      <c r="S980" s="1345"/>
      <c r="T980" s="45" t="s">
        <v>376</v>
      </c>
      <c r="U980" s="5"/>
      <c r="V980" s="5"/>
      <c r="W980" s="5"/>
      <c r="X980" s="5"/>
      <c r="Y980" s="5"/>
      <c r="Z980" s="46"/>
      <c r="AA980" s="1343" t="s">
        <v>591</v>
      </c>
      <c r="AB980" s="1344"/>
      <c r="AC980" s="1344"/>
      <c r="AD980" s="1344"/>
      <c r="AE980" s="1344"/>
      <c r="AF980" s="1344"/>
      <c r="AG980" s="1345"/>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286" t="s">
        <v>591</v>
      </c>
      <c r="N981" s="1287"/>
      <c r="O981" s="1287"/>
      <c r="P981" s="1287"/>
      <c r="Q981" s="1287"/>
      <c r="R981" s="1287"/>
      <c r="S981" s="1288"/>
      <c r="T981" s="1313"/>
      <c r="U981" s="1314"/>
      <c r="V981" s="1314"/>
      <c r="W981" s="1314"/>
      <c r="X981" s="1314"/>
      <c r="Y981" s="1314"/>
      <c r="Z981" s="1315"/>
      <c r="AA981" s="1343" t="s">
        <v>591</v>
      </c>
      <c r="AB981" s="1344"/>
      <c r="AC981" s="1344"/>
      <c r="AD981" s="1344"/>
      <c r="AE981" s="1344"/>
      <c r="AF981" s="1344"/>
      <c r="AG981" s="1345"/>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343" t="s">
        <v>591</v>
      </c>
      <c r="N982" s="1344"/>
      <c r="O982" s="1344"/>
      <c r="P982" s="1344"/>
      <c r="Q982" s="1344"/>
      <c r="R982" s="1344"/>
      <c r="S982" s="1345"/>
      <c r="T982" s="1313"/>
      <c r="U982" s="1314"/>
      <c r="V982" s="1314"/>
      <c r="W982" s="1314"/>
      <c r="X982" s="1314"/>
      <c r="Y982" s="1314"/>
      <c r="Z982" s="1315"/>
      <c r="AA982" s="1343" t="s">
        <v>591</v>
      </c>
      <c r="AB982" s="1344"/>
      <c r="AC982" s="1344"/>
      <c r="AD982" s="1344"/>
      <c r="AE982" s="1344"/>
      <c r="AF982" s="1344"/>
      <c r="AG982" s="1345"/>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378" t="s">
        <v>669</v>
      </c>
      <c r="P983" s="1379"/>
      <c r="Q983" s="92"/>
      <c r="R983" s="92"/>
      <c r="S983" s="93"/>
      <c r="T983" s="41" t="s">
        <v>170</v>
      </c>
      <c r="U983" s="42"/>
      <c r="V983" s="42"/>
      <c r="W983" s="1358" t="s">
        <v>591</v>
      </c>
      <c r="X983" s="1359"/>
      <c r="Y983" s="1359"/>
      <c r="Z983" s="1359"/>
      <c r="AA983" s="1359"/>
      <c r="AB983" s="1359"/>
      <c r="AC983" s="1359"/>
      <c r="AD983" s="1359"/>
      <c r="AE983" s="1359"/>
      <c r="AF983" s="1359"/>
      <c r="AG983" s="1360"/>
      <c r="AU983" s="68"/>
      <c r="AV983" s="95"/>
      <c r="AW983" s="95"/>
      <c r="AX983" s="95"/>
      <c r="AY983" s="95"/>
      <c r="AZ983" s="34"/>
      <c r="BB983" s="34"/>
      <c r="BC983" s="34"/>
      <c r="BD983" s="34"/>
      <c r="BE983" s="34"/>
      <c r="BF983" s="34"/>
      <c r="BG983" s="34"/>
      <c r="BH983" s="34"/>
      <c r="BI983" s="34"/>
      <c r="BJ983" s="34"/>
      <c r="BK983" s="34"/>
      <c r="BL983" s="34"/>
    </row>
    <row r="984" spans="1:64" ht="12.95" customHeight="1">
      <c r="F984" s="1527" t="s">
        <v>33</v>
      </c>
      <c r="G984" s="1416"/>
      <c r="H984" s="1416"/>
      <c r="I984" s="1416"/>
      <c r="J984" s="1416"/>
      <c r="K984" s="1416"/>
      <c r="L984" s="1416"/>
      <c r="M984" s="1343"/>
      <c r="N984" s="1344"/>
      <c r="O984" s="1344"/>
      <c r="P984" s="1344"/>
      <c r="Q984" s="1344"/>
      <c r="R984" s="1344"/>
      <c r="S984" s="1345"/>
      <c r="T984" s="47"/>
      <c r="U984" s="48"/>
      <c r="V984" s="48"/>
      <c r="W984" s="48"/>
      <c r="X984" s="48"/>
      <c r="Y984" s="48"/>
      <c r="Z984" s="124" t="s">
        <v>134</v>
      </c>
      <c r="AA984" s="1575" t="s">
        <v>591</v>
      </c>
      <c r="AB984" s="1576"/>
      <c r="AC984" s="1576"/>
      <c r="AD984" s="1576"/>
      <c r="AE984" s="1576"/>
      <c r="AF984" s="1576"/>
      <c r="AG984" s="1577"/>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533"/>
      <c r="BH985" s="1533"/>
      <c r="BI985" s="1533"/>
      <c r="BJ985" s="1533"/>
      <c r="BK985" s="1533"/>
      <c r="BL985" s="1533"/>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380" t="s">
        <v>548</v>
      </c>
      <c r="B988" s="1380"/>
      <c r="C988" s="1380"/>
      <c r="D988" s="1380"/>
      <c r="E988" s="1380"/>
      <c r="F988" s="1380"/>
      <c r="G988" s="1380"/>
      <c r="H988" s="1380"/>
      <c r="I988" s="1380"/>
      <c r="J988" s="1380"/>
      <c r="K988" s="1380"/>
      <c r="L988" s="1380"/>
      <c r="M988" s="1380"/>
      <c r="N988" s="1380"/>
      <c r="O988" s="1380"/>
      <c r="P988" s="1380"/>
      <c r="Q988" s="1380"/>
      <c r="R988" s="1380"/>
      <c r="S988" s="1380"/>
      <c r="T988" s="1380"/>
      <c r="U988" s="1380"/>
      <c r="V988" s="1380"/>
      <c r="W988" s="1380"/>
      <c r="X988" s="1380"/>
      <c r="Y988" s="1380"/>
      <c r="Z988" s="1380"/>
      <c r="AA988" s="1380"/>
      <c r="AB988" s="1380"/>
      <c r="AC988" s="1380"/>
      <c r="AD988" s="1380"/>
      <c r="AE988" s="1380"/>
      <c r="AF988" s="1380"/>
      <c r="AG988" s="1380"/>
      <c r="AH988" s="1380"/>
      <c r="AI988" s="1380"/>
      <c r="AJ988" s="1380"/>
      <c r="AK988" s="1380"/>
      <c r="AL988" s="1380"/>
      <c r="AM988" s="1380"/>
      <c r="AN988" s="1380"/>
      <c r="AO988" s="1380"/>
      <c r="AP988" s="1380"/>
      <c r="AQ988" s="1380"/>
      <c r="AR988" s="1380"/>
      <c r="AS988" s="1380"/>
      <c r="AT988" s="1380"/>
      <c r="AU988" s="68"/>
      <c r="AV988" s="68"/>
      <c r="AW988" s="68"/>
      <c r="AX988" s="68"/>
      <c r="AY988" s="68"/>
      <c r="AZ988" s="14"/>
      <c r="BA988" s="14"/>
      <c r="BB988" s="908"/>
      <c r="BC988" s="908"/>
    </row>
    <row r="989" spans="1:64" ht="12.95" customHeight="1">
      <c r="A989" s="1380"/>
      <c r="B989" s="1380"/>
      <c r="C989" s="1380"/>
      <c r="D989" s="1380"/>
      <c r="E989" s="1380"/>
      <c r="F989" s="1380"/>
      <c r="G989" s="1380"/>
      <c r="H989" s="1380"/>
      <c r="I989" s="1380"/>
      <c r="J989" s="1380"/>
      <c r="K989" s="1380"/>
      <c r="L989" s="1380"/>
      <c r="M989" s="1380"/>
      <c r="N989" s="1380"/>
      <c r="O989" s="1380"/>
      <c r="P989" s="1380"/>
      <c r="Q989" s="1380"/>
      <c r="R989" s="1380"/>
      <c r="S989" s="1380"/>
      <c r="T989" s="1380"/>
      <c r="U989" s="1380"/>
      <c r="V989" s="1380"/>
      <c r="W989" s="1380"/>
      <c r="X989" s="1380"/>
      <c r="Y989" s="1380"/>
      <c r="Z989" s="1380"/>
      <c r="AA989" s="1380"/>
      <c r="AB989" s="1380"/>
      <c r="AC989" s="1380"/>
      <c r="AD989" s="1380"/>
      <c r="AE989" s="1380"/>
      <c r="AF989" s="1380"/>
      <c r="AG989" s="1380"/>
      <c r="AH989" s="1380"/>
      <c r="AI989" s="1380"/>
      <c r="AJ989" s="1380"/>
      <c r="AK989" s="1380"/>
      <c r="AL989" s="1380"/>
      <c r="AM989" s="1380"/>
      <c r="AN989" s="1380"/>
      <c r="AO989" s="1380"/>
      <c r="AP989" s="1380"/>
      <c r="AQ989" s="1380"/>
      <c r="AR989" s="1380"/>
      <c r="AS989" s="1380"/>
      <c r="AT989" s="1380"/>
      <c r="AU989" s="68"/>
      <c r="AV989" s="68"/>
      <c r="AW989" s="68"/>
      <c r="AX989" s="68"/>
      <c r="AY989" s="68"/>
      <c r="AZ989" s="30"/>
      <c r="BA989" s="14"/>
      <c r="BB989" s="14"/>
      <c r="BC989" s="14"/>
    </row>
    <row r="990" spans="1:64" ht="12.95" customHeight="1">
      <c r="A990" s="1380"/>
      <c r="B990" s="1380"/>
      <c r="C990" s="1380"/>
      <c r="D990" s="1380"/>
      <c r="E990" s="1380"/>
      <c r="F990" s="1380"/>
      <c r="G990" s="1380"/>
      <c r="H990" s="1380"/>
      <c r="I990" s="1380"/>
      <c r="J990" s="1380"/>
      <c r="K990" s="1380"/>
      <c r="L990" s="1380"/>
      <c r="M990" s="1380"/>
      <c r="N990" s="1380"/>
      <c r="O990" s="1380"/>
      <c r="P990" s="1380"/>
      <c r="Q990" s="1380"/>
      <c r="R990" s="1380"/>
      <c r="S990" s="1380"/>
      <c r="T990" s="1380"/>
      <c r="U990" s="1380"/>
      <c r="V990" s="1380"/>
      <c r="W990" s="1380"/>
      <c r="X990" s="1380"/>
      <c r="Y990" s="1380"/>
      <c r="Z990" s="1380"/>
      <c r="AA990" s="1380"/>
      <c r="AB990" s="1380"/>
      <c r="AC990" s="1380"/>
      <c r="AD990" s="1380"/>
      <c r="AE990" s="1380"/>
      <c r="AF990" s="1380"/>
      <c r="AG990" s="1380"/>
      <c r="AH990" s="1380"/>
      <c r="AI990" s="1380"/>
      <c r="AJ990" s="1380"/>
      <c r="AK990" s="1380"/>
      <c r="AL990" s="1380"/>
      <c r="AM990" s="1380"/>
      <c r="AN990" s="1380"/>
      <c r="AO990" s="1380"/>
      <c r="AP990" s="1380"/>
      <c r="AQ990" s="1380"/>
      <c r="AR990" s="1380"/>
      <c r="AS990" s="1380"/>
      <c r="AT990" s="1380"/>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294" t="s">
        <v>638</v>
      </c>
      <c r="E994" s="1295"/>
      <c r="F994" s="1295"/>
      <c r="G994" s="1295"/>
      <c r="H994" s="1295"/>
      <c r="I994" s="1295"/>
      <c r="J994" s="1295"/>
      <c r="K994" s="1295"/>
      <c r="L994" s="1295"/>
      <c r="M994" s="1295"/>
      <c r="N994" s="1295"/>
      <c r="O994" s="1295"/>
      <c r="P994" s="1295"/>
      <c r="Q994" s="1296"/>
      <c r="R994" s="1294" t="s">
        <v>639</v>
      </c>
      <c r="S994" s="1295"/>
      <c r="T994" s="1295"/>
      <c r="U994" s="1295"/>
      <c r="V994" s="1295"/>
      <c r="W994" s="1295"/>
      <c r="X994" s="1295"/>
      <c r="Y994" s="1295"/>
      <c r="Z994" s="1295"/>
      <c r="AA994" s="1296"/>
      <c r="AB994" s="1294" t="s">
        <v>640</v>
      </c>
      <c r="AC994" s="1295"/>
      <c r="AD994" s="1295"/>
      <c r="AE994" s="1295"/>
      <c r="AF994" s="1295"/>
      <c r="AG994" s="1295"/>
      <c r="AH994" s="1295"/>
      <c r="AI994" s="1296"/>
      <c r="AJ994" s="1294" t="s">
        <v>641</v>
      </c>
      <c r="AK994" s="1295"/>
      <c r="AL994" s="1295"/>
      <c r="AM994" s="1295"/>
      <c r="AN994" s="1295"/>
      <c r="AO994" s="1295"/>
      <c r="AP994" s="1295"/>
      <c r="AQ994" s="1296"/>
      <c r="AR994" s="68"/>
      <c r="AS994" s="68"/>
      <c r="AT994" s="68"/>
      <c r="AU994" s="68"/>
      <c r="AV994" s="68"/>
      <c r="AW994" s="68"/>
      <c r="AX994" s="68"/>
      <c r="AY994" s="68"/>
      <c r="AZ994" s="30"/>
      <c r="BB994" s="14"/>
      <c r="BC994" s="14"/>
    </row>
    <row r="995" spans="1:55" ht="12.95" customHeight="1">
      <c r="A995" s="14"/>
      <c r="B995" s="73"/>
      <c r="C995" s="925"/>
      <c r="D995" s="1541" t="s">
        <v>633</v>
      </c>
      <c r="E995" s="1542"/>
      <c r="F995" s="1542"/>
      <c r="G995" s="1542"/>
      <c r="H995" s="1542"/>
      <c r="I995" s="1542"/>
      <c r="J995" s="1542"/>
      <c r="K995" s="1542"/>
      <c r="L995" s="1542"/>
      <c r="M995" s="1542"/>
      <c r="N995" s="1542"/>
      <c r="O995" s="1542"/>
      <c r="P995" s="1542"/>
      <c r="Q995" s="1543"/>
      <c r="R995" s="1282">
        <f>IF(ISNA(IF($CU$122="4%",(INDEX($CS$160:$CW$217,MATCH($DG$122,$CR$160:$CR$217,0),MATCH(D995,$CS$159:$CW$159,0))),(INDEX($CZ$160:$DD$217,MATCH($DG$122,$CY$160:$CY$217,0),MATCH(D995,$CZ$159:$DD$159,0))))),0,IF($CU$122="4%",(INDEX($CS$160:$CW$217,MATCH($DG$122,$CR$160:$CR$217,0),MATCH(D995,$CS$159:$CW$159,0))),(INDEX($CZ$160:$DD$217,MATCH($DG$122,$CY$160:$CY$217,0),MATCH(D995,$CZ$159:$DD$159,0)))))</f>
        <v>437727</v>
      </c>
      <c r="S995" s="1282"/>
      <c r="T995" s="1282"/>
      <c r="U995" s="1282"/>
      <c r="V995" s="1282"/>
      <c r="W995" s="1282"/>
      <c r="X995" s="1282"/>
      <c r="Y995" s="1282"/>
      <c r="Z995" s="1282"/>
      <c r="AA995" s="1282"/>
      <c r="AB995" s="1283">
        <f>CP810</f>
        <v>7</v>
      </c>
      <c r="AC995" s="1284"/>
      <c r="AD995" s="1284"/>
      <c r="AE995" s="1284"/>
      <c r="AF995" s="1284"/>
      <c r="AG995" s="1284"/>
      <c r="AH995" s="1284"/>
      <c r="AI995" s="1285"/>
      <c r="AJ995" s="1355">
        <f>IF(ISERROR((R995*AB995)),0,(R995*AB995))</f>
        <v>3064089</v>
      </c>
      <c r="AK995" s="1356"/>
      <c r="AL995" s="1356"/>
      <c r="AM995" s="1356"/>
      <c r="AN995" s="1356"/>
      <c r="AO995" s="1356"/>
      <c r="AP995" s="1356"/>
      <c r="AQ995" s="1357"/>
      <c r="AR995" s="68"/>
      <c r="AS995" s="68"/>
      <c r="AT995" s="68"/>
      <c r="AU995" s="68"/>
      <c r="AV995" s="68"/>
      <c r="AW995" s="68"/>
      <c r="AX995" s="68"/>
      <c r="AY995" s="68"/>
      <c r="AZ995" s="30"/>
      <c r="BB995" s="14"/>
      <c r="BC995" s="14"/>
    </row>
    <row r="996" spans="1:55" ht="12.95" customHeight="1">
      <c r="A996" s="14"/>
      <c r="B996" s="73"/>
      <c r="C996" s="83"/>
      <c r="D996" s="1541" t="s">
        <v>325</v>
      </c>
      <c r="E996" s="1542"/>
      <c r="F996" s="1542"/>
      <c r="G996" s="1542"/>
      <c r="H996" s="1542"/>
      <c r="I996" s="1542"/>
      <c r="J996" s="1542"/>
      <c r="K996" s="1542"/>
      <c r="L996" s="1542"/>
      <c r="M996" s="1542"/>
      <c r="N996" s="1542"/>
      <c r="O996" s="1542"/>
      <c r="P996" s="1542"/>
      <c r="Q996" s="1543"/>
      <c r="R996" s="1282">
        <f>IF(ISNA(IF($CU$122="4%",(INDEX($CS$160:$CW$217,MATCH($DG$122,$CR$160:$CR$217,0),MATCH(D996,$CS$159:$CW$159,0))),(INDEX($CZ$160:$DD$217,MATCH($DG$122,$CY$160:$CY$217,0),MATCH(D996,$CZ$159:$DD$159,0))))),0,IF($CU$122="4%",(INDEX($CS$160:$CW$217,MATCH($DG$122,$CR$160:$CR$217,0),MATCH(D996,$CS$159:$CW$159,0))),(INDEX($CZ$160:$DD$217,MATCH($DG$122,$CY$160:$CY$217,0),MATCH(D996,$CZ$159:$DD$159,0)))))</f>
        <v>504695</v>
      </c>
      <c r="S996" s="1282"/>
      <c r="T996" s="1282"/>
      <c r="U996" s="1282"/>
      <c r="V996" s="1282"/>
      <c r="W996" s="1282"/>
      <c r="X996" s="1282"/>
      <c r="Y996" s="1282"/>
      <c r="Z996" s="1282"/>
      <c r="AA996" s="1282"/>
      <c r="AB996" s="1283">
        <f>CU810</f>
        <v>38</v>
      </c>
      <c r="AC996" s="1284"/>
      <c r="AD996" s="1284"/>
      <c r="AE996" s="1284"/>
      <c r="AF996" s="1284"/>
      <c r="AG996" s="1284"/>
      <c r="AH996" s="1284"/>
      <c r="AI996" s="1285"/>
      <c r="AJ996" s="1355">
        <f>IF(ISERROR((R996*AB996)),0,(R996*AB996))</f>
        <v>19178410</v>
      </c>
      <c r="AK996" s="1356"/>
      <c r="AL996" s="1356"/>
      <c r="AM996" s="1356"/>
      <c r="AN996" s="1356"/>
      <c r="AO996" s="1356"/>
      <c r="AP996" s="1356"/>
      <c r="AQ996" s="1357"/>
      <c r="AR996" s="68"/>
      <c r="AS996" s="68"/>
      <c r="AT996" s="68"/>
      <c r="AU996" s="68"/>
      <c r="AV996" s="68"/>
      <c r="AW996" s="68"/>
      <c r="AX996" s="68"/>
      <c r="AY996" s="68"/>
      <c r="AZ996" s="30"/>
      <c r="BB996" s="14"/>
      <c r="BC996" s="14"/>
    </row>
    <row r="997" spans="1:55" ht="12.95" customHeight="1">
      <c r="A997" s="14"/>
      <c r="B997" s="73"/>
      <c r="C997" s="83"/>
      <c r="D997" s="1541" t="s">
        <v>163</v>
      </c>
      <c r="E997" s="1542"/>
      <c r="F997" s="1542"/>
      <c r="G997" s="1542"/>
      <c r="H997" s="1542"/>
      <c r="I997" s="1542"/>
      <c r="J997" s="1542"/>
      <c r="K997" s="1542"/>
      <c r="L997" s="1542"/>
      <c r="M997" s="1542"/>
      <c r="N997" s="1542"/>
      <c r="O997" s="1542"/>
      <c r="P997" s="1542"/>
      <c r="Q997" s="1543"/>
      <c r="R997" s="1282">
        <f>IF(ISNA(IF($CU$122="4%",(INDEX($CS$160:$CW$217,MATCH($DG$122,$CR$160:$CR$217,0),MATCH(D997,$CS$159:$CW$159,0))),(INDEX($CZ$160:$DD$217,MATCH($DG$122,$CY$160:$CY$217,0),MATCH(D997,$CZ$159:$DD$159,0))))),0,IF($CU$122="4%",(INDEX($CS$160:$CW$217,MATCH($DG$122,$CR$160:$CR$217,0),MATCH(D997,$CS$159:$CW$159,0))),(INDEX($CZ$160:$DD$217,MATCH($DG$122,$CY$160:$CY$217,0),MATCH(D997,$CZ$159:$DD$159,0)))))</f>
        <v>608800</v>
      </c>
      <c r="S997" s="1282"/>
      <c r="T997" s="1282"/>
      <c r="U997" s="1282"/>
      <c r="V997" s="1282"/>
      <c r="W997" s="1282"/>
      <c r="X997" s="1282"/>
      <c r="Y997" s="1282"/>
      <c r="Z997" s="1282"/>
      <c r="AA997" s="1282"/>
      <c r="AB997" s="1283">
        <f>CZ810</f>
        <v>7</v>
      </c>
      <c r="AC997" s="1284"/>
      <c r="AD997" s="1284"/>
      <c r="AE997" s="1284"/>
      <c r="AF997" s="1284"/>
      <c r="AG997" s="1284"/>
      <c r="AH997" s="1284"/>
      <c r="AI997" s="1285"/>
      <c r="AJ997" s="1355">
        <f>IF(ISERROR((R997*AB997)),0,(R997*AB997))</f>
        <v>4261600</v>
      </c>
      <c r="AK997" s="1356"/>
      <c r="AL997" s="1356"/>
      <c r="AM997" s="1356"/>
      <c r="AN997" s="1356"/>
      <c r="AO997" s="1356"/>
      <c r="AP997" s="1356"/>
      <c r="AQ997" s="1357"/>
      <c r="AR997" s="68"/>
      <c r="AS997" s="68"/>
      <c r="AT997" s="68"/>
      <c r="AU997" s="68"/>
      <c r="AV997" s="68"/>
      <c r="AW997" s="68"/>
      <c r="AX997" s="68"/>
      <c r="AY997" s="68"/>
      <c r="AZ997" s="30"/>
      <c r="BB997" s="14"/>
      <c r="BC997" s="14"/>
    </row>
    <row r="998" spans="1:55" ht="12.95" customHeight="1">
      <c r="A998" s="14"/>
      <c r="B998" s="73"/>
      <c r="C998" s="83"/>
      <c r="D998" s="1541" t="s">
        <v>164</v>
      </c>
      <c r="E998" s="1542"/>
      <c r="F998" s="1542"/>
      <c r="G998" s="1542"/>
      <c r="H998" s="1542"/>
      <c r="I998" s="1542"/>
      <c r="J998" s="1542"/>
      <c r="K998" s="1542"/>
      <c r="L998" s="1542"/>
      <c r="M998" s="1542"/>
      <c r="N998" s="1542"/>
      <c r="O998" s="1542"/>
      <c r="P998" s="1542"/>
      <c r="Q998" s="1543"/>
      <c r="R998" s="1282">
        <f>IF(ISNA(IF($CU$122="4%",(INDEX($CS$160:$CW$217,MATCH($DG$122,$CR$160:$CR$217,0),MATCH(D998,$CS$159:$CW$159,0))),(INDEX($CZ$160:$DD$217,MATCH($DG$122,$CY$160:$CY$217,0),MATCH(D998,$CZ$159:$DD$159,0))))),0,IF($CU$122="4%",(INDEX($CS$160:$CW$217,MATCH($DG$122,$CR$160:$CR$217,0),MATCH(D998,$CS$159:$CW$159,0))),(INDEX($CZ$160:$DD$217,MATCH($DG$122,$CY$160:$CY$217,0),MATCH(D998,$CZ$159:$DD$159,0)))))</f>
        <v>779264</v>
      </c>
      <c r="S998" s="1282"/>
      <c r="T998" s="1282"/>
      <c r="U998" s="1282"/>
      <c r="V998" s="1282"/>
      <c r="W998" s="1282"/>
      <c r="X998" s="1282"/>
      <c r="Y998" s="1282"/>
      <c r="Z998" s="1282"/>
      <c r="AA998" s="1282"/>
      <c r="AB998" s="1283">
        <f>DE810</f>
        <v>7</v>
      </c>
      <c r="AC998" s="1284"/>
      <c r="AD998" s="1284"/>
      <c r="AE998" s="1284"/>
      <c r="AF998" s="1284"/>
      <c r="AG998" s="1284"/>
      <c r="AH998" s="1284"/>
      <c r="AI998" s="1285"/>
      <c r="AJ998" s="1355">
        <f>IF(ISERROR((R998*AB998)),0,(R998*AB998))</f>
        <v>5454848</v>
      </c>
      <c r="AK998" s="1356"/>
      <c r="AL998" s="1356"/>
      <c r="AM998" s="1356"/>
      <c r="AN998" s="1356"/>
      <c r="AO998" s="1356"/>
      <c r="AP998" s="1356"/>
      <c r="AQ998" s="1357"/>
      <c r="AR998" s="68"/>
      <c r="AS998" s="68"/>
      <c r="AT998" s="68"/>
      <c r="AU998" s="68"/>
      <c r="AV998" s="68"/>
      <c r="AW998" s="68"/>
      <c r="AX998" s="68"/>
      <c r="AY998" s="68"/>
      <c r="AZ998" s="30"/>
      <c r="BA998" s="34"/>
      <c r="BB998" s="14"/>
      <c r="BC998" s="14"/>
    </row>
    <row r="999" spans="1:55" ht="12.95" customHeight="1">
      <c r="A999" s="14"/>
      <c r="B999" s="47"/>
      <c r="C999" s="78"/>
      <c r="D999" s="1541" t="s">
        <v>460</v>
      </c>
      <c r="E999" s="1542"/>
      <c r="F999" s="1542"/>
      <c r="G999" s="1542"/>
      <c r="H999" s="1542"/>
      <c r="I999" s="1542"/>
      <c r="J999" s="1542"/>
      <c r="K999" s="1542"/>
      <c r="L999" s="1542"/>
      <c r="M999" s="1542"/>
      <c r="N999" s="1542"/>
      <c r="O999" s="1542"/>
      <c r="P999" s="1542"/>
      <c r="Q999" s="1543"/>
      <c r="R999" s="1282">
        <f>IF(ISNA(IF($CU$122="4%",(INDEX($CS$160:$CW$217,MATCH($DG$122,$CR$160:$CR$217,0),MATCH(D999,$CS$159:$CW$159,0))),(INDEX($CZ$160:$DD$217,MATCH($DG$122,$CY$160:$CY$217,0),MATCH(D999,$CZ$159:$DD$159,0))))),0,IF($CU$122="4%",(INDEX($CS$160:$CW$217,MATCH($DG$122,$CR$160:$CR$217,0),MATCH(D999,$CS$159:$CW$159,0))),(INDEX($CZ$160:$DD$217,MATCH($DG$122,$CY$160:$CY$217,0),MATCH(D999,$CZ$159:$DD$159,0)))))</f>
        <v>868149</v>
      </c>
      <c r="S999" s="1282"/>
      <c r="T999" s="1282"/>
      <c r="U999" s="1282"/>
      <c r="V999" s="1282"/>
      <c r="W999" s="1282"/>
      <c r="X999" s="1282"/>
      <c r="Y999" s="1282"/>
      <c r="Z999" s="1282"/>
      <c r="AA999" s="1282"/>
      <c r="AB999" s="1283">
        <f>DO810+DJ810</f>
        <v>0</v>
      </c>
      <c r="AC999" s="1284"/>
      <c r="AD999" s="1284"/>
      <c r="AE999" s="1284"/>
      <c r="AF999" s="1284"/>
      <c r="AG999" s="1284"/>
      <c r="AH999" s="1284"/>
      <c r="AI999" s="1285"/>
      <c r="AJ999" s="1355">
        <f>IF(ISERROR((R999*AB999)),0,(R999*AB999))</f>
        <v>0</v>
      </c>
      <c r="AK999" s="1356"/>
      <c r="AL999" s="1356"/>
      <c r="AM999" s="1356"/>
      <c r="AN999" s="1356"/>
      <c r="AO999" s="1356"/>
      <c r="AP999" s="1356"/>
      <c r="AQ999" s="1357"/>
      <c r="AR999" s="68"/>
      <c r="AS999" s="68"/>
      <c r="AT999" s="68"/>
      <c r="AU999" s="68"/>
      <c r="AV999" s="68"/>
      <c r="AW999" s="68"/>
      <c r="AX999" s="68"/>
      <c r="AY999" s="68"/>
      <c r="AZ999" s="30"/>
      <c r="BB999" s="14"/>
      <c r="BC999" s="14"/>
    </row>
    <row r="1000" spans="1:55" ht="12.95" customHeight="1">
      <c r="A1000" s="14"/>
      <c r="B1000" s="1544" t="s">
        <v>791</v>
      </c>
      <c r="C1000" s="1545"/>
      <c r="D1000" s="1545"/>
      <c r="E1000" s="1545"/>
      <c r="F1000" s="1545"/>
      <c r="G1000" s="1545"/>
      <c r="H1000" s="1545"/>
      <c r="I1000" s="1545"/>
      <c r="J1000" s="1545"/>
      <c r="K1000" s="1545"/>
      <c r="L1000" s="1545"/>
      <c r="M1000" s="1545"/>
      <c r="N1000" s="1545"/>
      <c r="O1000" s="1545"/>
      <c r="P1000" s="1545"/>
      <c r="Q1000" s="1545"/>
      <c r="R1000" s="1545"/>
      <c r="S1000" s="1545"/>
      <c r="T1000" s="1545"/>
      <c r="U1000" s="1545"/>
      <c r="V1000" s="1545"/>
      <c r="W1000" s="1545"/>
      <c r="X1000" s="1545"/>
      <c r="Y1000" s="1545"/>
      <c r="Z1000" s="1545"/>
      <c r="AA1000" s="1546"/>
      <c r="AB1000" s="1283">
        <f>SUM(AB995:AI999)</f>
        <v>59</v>
      </c>
      <c r="AC1000" s="1284"/>
      <c r="AD1000" s="1284"/>
      <c r="AE1000" s="1284"/>
      <c r="AF1000" s="1284"/>
      <c r="AG1000" s="1284"/>
      <c r="AH1000" s="1284"/>
      <c r="AI1000" s="1285"/>
      <c r="AJ1000" s="1355"/>
      <c r="AK1000" s="1356"/>
      <c r="AL1000" s="1356"/>
      <c r="AM1000" s="1356"/>
      <c r="AN1000" s="1356"/>
      <c r="AO1000" s="1356"/>
      <c r="AP1000" s="1356"/>
      <c r="AQ1000" s="1357"/>
      <c r="AR1000" s="68"/>
      <c r="AS1000" s="68"/>
      <c r="AT1000" s="68"/>
      <c r="AU1000" s="68"/>
      <c r="AV1000" s="68"/>
      <c r="AW1000" s="68"/>
      <c r="AX1000" s="68"/>
      <c r="AY1000" s="68"/>
      <c r="AZ1000" s="34"/>
      <c r="BA1000" s="34"/>
      <c r="BB1000" s="14"/>
      <c r="BC1000" s="14"/>
    </row>
    <row r="1001" spans="1:55" ht="12.95" customHeight="1">
      <c r="A1001" s="14"/>
      <c r="B1001" s="1300" t="s">
        <v>512</v>
      </c>
      <c r="C1001" s="1301"/>
      <c r="D1001" s="1301"/>
      <c r="E1001" s="1301"/>
      <c r="F1001" s="1301"/>
      <c r="G1001" s="1301"/>
      <c r="H1001" s="1301"/>
      <c r="I1001" s="1301"/>
      <c r="J1001" s="1301"/>
      <c r="K1001" s="1301"/>
      <c r="L1001" s="1301"/>
      <c r="M1001" s="1301"/>
      <c r="N1001" s="1301"/>
      <c r="O1001" s="1301"/>
      <c r="P1001" s="1301"/>
      <c r="Q1001" s="1301"/>
      <c r="R1001" s="1301"/>
      <c r="S1001" s="1301"/>
      <c r="T1001" s="1301"/>
      <c r="U1001" s="1301"/>
      <c r="V1001" s="1301"/>
      <c r="W1001" s="1301"/>
      <c r="X1001" s="1301"/>
      <c r="Y1001" s="1301"/>
      <c r="Z1001" s="1301"/>
      <c r="AA1001" s="1301"/>
      <c r="AB1001" s="1301"/>
      <c r="AC1001" s="1301"/>
      <c r="AD1001" s="1301"/>
      <c r="AE1001" s="1301"/>
      <c r="AF1001" s="1301"/>
      <c r="AG1001" s="1301"/>
      <c r="AH1001" s="1301"/>
      <c r="AI1001" s="1302"/>
      <c r="AJ1001" s="1355">
        <f>SUM(AJ995:AQ999)</f>
        <v>31958947</v>
      </c>
      <c r="AK1001" s="1356"/>
      <c r="AL1001" s="1356"/>
      <c r="AM1001" s="1356"/>
      <c r="AN1001" s="1356"/>
      <c r="AO1001" s="1356"/>
      <c r="AP1001" s="1356"/>
      <c r="AQ1001" s="1357"/>
      <c r="AR1001" s="68"/>
      <c r="AS1001" s="68"/>
      <c r="AT1001" s="68"/>
      <c r="AU1001" s="68"/>
      <c r="AV1001" s="68"/>
      <c r="AW1001" s="68"/>
      <c r="AX1001" s="68"/>
      <c r="AY1001" s="68"/>
      <c r="AZ1001" s="34"/>
      <c r="BB1001" s="34"/>
      <c r="BC1001" s="34"/>
    </row>
    <row r="1002" spans="1:55" ht="12.95" customHeight="1">
      <c r="A1002" s="14"/>
      <c r="B1002" s="1381"/>
      <c r="C1002" s="1382"/>
      <c r="D1002" s="1382"/>
      <c r="E1002" s="1382"/>
      <c r="F1002" s="1382"/>
      <c r="G1002" s="1382"/>
      <c r="H1002" s="1382"/>
      <c r="I1002" s="1382"/>
      <c r="J1002" s="1382"/>
      <c r="K1002" s="1382"/>
      <c r="L1002" s="1382"/>
      <c r="M1002" s="1382"/>
      <c r="N1002" s="1382"/>
      <c r="O1002" s="1382"/>
      <c r="P1002" s="1382"/>
      <c r="Q1002" s="1382"/>
      <c r="R1002" s="1382"/>
      <c r="S1002" s="1382"/>
      <c r="T1002" s="1382"/>
      <c r="U1002" s="1382"/>
      <c r="V1002" s="1382"/>
      <c r="W1002" s="1382"/>
      <c r="X1002" s="1382"/>
      <c r="Y1002" s="1382"/>
      <c r="Z1002" s="1382"/>
      <c r="AA1002" s="1382"/>
      <c r="AB1002" s="1382"/>
      <c r="AC1002" s="1382"/>
      <c r="AD1002" s="1382"/>
      <c r="AE1002" s="1383"/>
      <c r="AF1002" s="1274" t="s">
        <v>666</v>
      </c>
      <c r="AG1002" s="1275"/>
      <c r="AH1002" s="1275"/>
      <c r="AI1002" s="1276"/>
      <c r="AJ1002" s="1381"/>
      <c r="AK1002" s="1382"/>
      <c r="AL1002" s="1382"/>
      <c r="AM1002" s="1382"/>
      <c r="AN1002" s="1382"/>
      <c r="AO1002" s="1382"/>
      <c r="AP1002" s="1382"/>
      <c r="AQ1002" s="1383"/>
      <c r="AR1002" s="68"/>
      <c r="AS1002" s="68"/>
      <c r="AT1002" s="68"/>
      <c r="AU1002" s="68"/>
      <c r="AV1002" s="68"/>
      <c r="AW1002" s="68"/>
      <c r="AX1002" s="68"/>
      <c r="AY1002" s="68"/>
      <c r="AZ1002" s="34"/>
      <c r="BA1002" s="34"/>
      <c r="BB1002" s="34"/>
      <c r="BC1002" s="34"/>
    </row>
    <row r="1003" spans="1:55" ht="12.95" customHeight="1">
      <c r="A1003" s="14"/>
      <c r="B1003" s="73"/>
      <c r="C1003" s="923" t="s">
        <v>668</v>
      </c>
      <c r="D1003" s="1297" t="s">
        <v>1220</v>
      </c>
      <c r="E1003" s="1298"/>
      <c r="F1003" s="1298"/>
      <c r="G1003" s="1298"/>
      <c r="H1003" s="1298"/>
      <c r="I1003" s="1298"/>
      <c r="J1003" s="1298"/>
      <c r="K1003" s="1298"/>
      <c r="L1003" s="1298"/>
      <c r="M1003" s="1298"/>
      <c r="N1003" s="1298"/>
      <c r="O1003" s="1298"/>
      <c r="P1003" s="1298"/>
      <c r="Q1003" s="1298"/>
      <c r="R1003" s="1298"/>
      <c r="S1003" s="1298"/>
      <c r="T1003" s="1298"/>
      <c r="U1003" s="1298"/>
      <c r="V1003" s="1298"/>
      <c r="W1003" s="1298"/>
      <c r="X1003" s="1298"/>
      <c r="Y1003" s="1298"/>
      <c r="Z1003" s="1298"/>
      <c r="AA1003" s="1298"/>
      <c r="AB1003" s="1298"/>
      <c r="AC1003" s="1298"/>
      <c r="AD1003" s="1298"/>
      <c r="AE1003" s="1299"/>
      <c r="AF1003" s="79"/>
      <c r="AG1003" s="1277" t="s">
        <v>669</v>
      </c>
      <c r="AH1003" s="1278"/>
      <c r="AI1003" s="87"/>
      <c r="AJ1003" s="1333">
        <f>ROUND(IF(AND(AG1003="yes",D1009&gt;0),AJ1001*0.2,0),0)</f>
        <v>0</v>
      </c>
      <c r="AK1003" s="1334"/>
      <c r="AL1003" s="1334"/>
      <c r="AM1003" s="1334"/>
      <c r="AN1003" s="1334"/>
      <c r="AO1003" s="1334"/>
      <c r="AP1003" s="1334"/>
      <c r="AQ1003" s="1335"/>
      <c r="AR1003" s="68"/>
      <c r="AS1003" s="68"/>
      <c r="AT1003" s="68"/>
      <c r="AU1003" s="68"/>
      <c r="AV1003" s="68"/>
      <c r="AW1003" s="68"/>
      <c r="AX1003" s="68"/>
      <c r="AY1003" s="68"/>
      <c r="AZ1003" s="34"/>
      <c r="BA1003" s="34"/>
      <c r="BB1003" s="34"/>
      <c r="BC1003" s="34"/>
    </row>
    <row r="1004" spans="1:55" ht="12.95" customHeight="1">
      <c r="A1004" s="14"/>
      <c r="B1004" s="257"/>
      <c r="C1004" s="256"/>
      <c r="D1004" s="1521" t="s">
        <v>2188</v>
      </c>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2"/>
      <c r="AD1004" s="1522"/>
      <c r="AE1004" s="1523"/>
      <c r="AF1004" s="73"/>
      <c r="AG1004" s="14"/>
      <c r="AH1004" s="14"/>
      <c r="AI1004" s="83"/>
      <c r="AJ1004" s="1336"/>
      <c r="AK1004" s="1337"/>
      <c r="AL1004" s="1337"/>
      <c r="AM1004" s="1337"/>
      <c r="AN1004" s="1337"/>
      <c r="AO1004" s="1337"/>
      <c r="AP1004" s="1337"/>
      <c r="AQ1004" s="1338"/>
      <c r="AR1004" s="68"/>
      <c r="AS1004" s="68"/>
      <c r="AT1004" s="68"/>
      <c r="AU1004" s="68"/>
      <c r="AV1004" s="68"/>
      <c r="AW1004" s="68"/>
      <c r="AX1004" s="68"/>
      <c r="AY1004" s="68"/>
      <c r="AZ1004" s="34"/>
      <c r="BA1004" s="34"/>
      <c r="BB1004" s="34"/>
      <c r="BC1004" s="34"/>
    </row>
    <row r="1005" spans="1:55" ht="12.95" customHeight="1">
      <c r="A1005" s="14"/>
      <c r="B1005" s="257"/>
      <c r="C1005" s="256"/>
      <c r="D1005" s="1521"/>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3"/>
      <c r="AF1005" s="73"/>
      <c r="AG1005" s="14"/>
      <c r="AH1005" s="14"/>
      <c r="AI1005" s="83"/>
      <c r="AJ1005" s="1336"/>
      <c r="AK1005" s="1337"/>
      <c r="AL1005" s="1337"/>
      <c r="AM1005" s="1337"/>
      <c r="AN1005" s="1337"/>
      <c r="AO1005" s="1337"/>
      <c r="AP1005" s="1337"/>
      <c r="AQ1005" s="1338"/>
      <c r="AR1005" s="68"/>
      <c r="AS1005" s="68"/>
      <c r="AT1005" s="68"/>
      <c r="AU1005" s="68"/>
      <c r="AV1005" s="68"/>
      <c r="AW1005" s="68"/>
      <c r="AX1005" s="68"/>
      <c r="AY1005" s="68"/>
      <c r="AZ1005" s="34"/>
      <c r="BA1005" s="34"/>
      <c r="BB1005" s="34"/>
      <c r="BC1005" s="34"/>
    </row>
    <row r="1006" spans="1:55" ht="12.95" customHeight="1">
      <c r="A1006" s="14"/>
      <c r="B1006" s="257"/>
      <c r="C1006" s="256"/>
      <c r="D1006" s="1521"/>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3"/>
      <c r="AF1006" s="73"/>
      <c r="AG1006" s="14"/>
      <c r="AH1006" s="14"/>
      <c r="AI1006" s="83"/>
      <c r="AJ1006" s="1336"/>
      <c r="AK1006" s="1337"/>
      <c r="AL1006" s="1337"/>
      <c r="AM1006" s="1337"/>
      <c r="AN1006" s="1337"/>
      <c r="AO1006" s="1337"/>
      <c r="AP1006" s="1337"/>
      <c r="AQ1006" s="1338"/>
      <c r="AR1006" s="68"/>
      <c r="AS1006" s="68"/>
      <c r="AT1006" s="68"/>
      <c r="AU1006" s="68"/>
      <c r="AV1006" s="68"/>
      <c r="AW1006" s="68"/>
      <c r="AX1006" s="68"/>
      <c r="AY1006" s="68"/>
      <c r="AZ1006" s="34"/>
      <c r="BA1006" s="34"/>
      <c r="BB1006" s="34"/>
      <c r="BC1006" s="34"/>
    </row>
    <row r="1007" spans="1:55" ht="12.95" customHeight="1">
      <c r="A1007" s="14"/>
      <c r="B1007" s="257"/>
      <c r="C1007" s="256"/>
      <c r="D1007" s="1521"/>
      <c r="E1007" s="1522"/>
      <c r="F1007" s="1522"/>
      <c r="G1007" s="1522"/>
      <c r="H1007" s="1522"/>
      <c r="I1007" s="1522"/>
      <c r="J1007" s="1522"/>
      <c r="K1007" s="1522"/>
      <c r="L1007" s="1522"/>
      <c r="M1007" s="1522"/>
      <c r="N1007" s="1522"/>
      <c r="O1007" s="1522"/>
      <c r="P1007" s="1522"/>
      <c r="Q1007" s="1522"/>
      <c r="R1007" s="1522"/>
      <c r="S1007" s="1522"/>
      <c r="T1007" s="1522"/>
      <c r="U1007" s="1522"/>
      <c r="V1007" s="1522"/>
      <c r="W1007" s="1522"/>
      <c r="X1007" s="1522"/>
      <c r="Y1007" s="1522"/>
      <c r="Z1007" s="1522"/>
      <c r="AA1007" s="1522"/>
      <c r="AB1007" s="1522"/>
      <c r="AC1007" s="1522"/>
      <c r="AD1007" s="1522"/>
      <c r="AE1007" s="1523"/>
      <c r="AF1007" s="73"/>
      <c r="AG1007" s="14"/>
      <c r="AH1007" s="14"/>
      <c r="AI1007" s="83"/>
      <c r="AJ1007" s="1336"/>
      <c r="AK1007" s="1337"/>
      <c r="AL1007" s="1337"/>
      <c r="AM1007" s="1337"/>
      <c r="AN1007" s="1337"/>
      <c r="AO1007" s="1337"/>
      <c r="AP1007" s="1337"/>
      <c r="AQ1007" s="1338"/>
      <c r="AR1007" s="68"/>
      <c r="AS1007" s="68"/>
      <c r="AT1007" s="68"/>
      <c r="AU1007" s="68"/>
      <c r="AV1007" s="68"/>
      <c r="AW1007" s="68"/>
      <c r="AX1007" s="68"/>
      <c r="AY1007" s="68"/>
      <c r="AZ1007" s="34"/>
      <c r="BA1007" s="34"/>
      <c r="BB1007" s="34"/>
      <c r="BC1007" s="34"/>
    </row>
    <row r="1008" spans="1:55" ht="12.95" customHeight="1">
      <c r="A1008" s="14"/>
      <c r="B1008" s="257"/>
      <c r="C1008" s="256"/>
      <c r="D1008" s="1279" t="s">
        <v>2159</v>
      </c>
      <c r="E1008" s="1280"/>
      <c r="F1008" s="1280"/>
      <c r="G1008" s="1280"/>
      <c r="H1008" s="1280"/>
      <c r="I1008" s="1280"/>
      <c r="J1008" s="1280"/>
      <c r="K1008" s="1280"/>
      <c r="L1008" s="1280"/>
      <c r="M1008" s="1280"/>
      <c r="N1008" s="1280"/>
      <c r="O1008" s="1280"/>
      <c r="P1008" s="1280"/>
      <c r="Q1008" s="1280"/>
      <c r="R1008" s="1280"/>
      <c r="S1008" s="1280"/>
      <c r="T1008" s="1280"/>
      <c r="U1008" s="1280"/>
      <c r="V1008" s="1280"/>
      <c r="W1008" s="1280"/>
      <c r="X1008" s="1280"/>
      <c r="Y1008" s="1280"/>
      <c r="Z1008" s="1280"/>
      <c r="AA1008" s="1280"/>
      <c r="AB1008" s="1280"/>
      <c r="AC1008" s="1280"/>
      <c r="AD1008" s="1280"/>
      <c r="AE1008" s="1281"/>
      <c r="AF1008" s="73"/>
      <c r="AG1008" s="14"/>
      <c r="AH1008" s="14"/>
      <c r="AI1008" s="83"/>
      <c r="AJ1008" s="1336"/>
      <c r="AK1008" s="1337"/>
      <c r="AL1008" s="1337"/>
      <c r="AM1008" s="1337"/>
      <c r="AN1008" s="1337"/>
      <c r="AO1008" s="1337"/>
      <c r="AP1008" s="1337"/>
      <c r="AQ1008" s="1338"/>
      <c r="AR1008" s="68"/>
      <c r="AS1008" s="68"/>
      <c r="AT1008" s="68"/>
      <c r="AU1008" s="68"/>
      <c r="AV1008" s="68"/>
      <c r="AW1008" s="68"/>
      <c r="AX1008" s="68"/>
      <c r="AY1008" s="68"/>
      <c r="AZ1008" s="34"/>
      <c r="BA1008" s="34"/>
      <c r="BB1008" s="34"/>
      <c r="BC1008" s="34"/>
    </row>
    <row r="1009" spans="1:55" ht="12.95" customHeight="1">
      <c r="A1009" s="14"/>
      <c r="B1009" s="257"/>
      <c r="C1009" s="256"/>
      <c r="D1009" s="1572"/>
      <c r="E1009" s="1573"/>
      <c r="F1009" s="1573"/>
      <c r="G1009" s="1573"/>
      <c r="H1009" s="1573"/>
      <c r="I1009" s="1573"/>
      <c r="J1009" s="1573"/>
      <c r="K1009" s="1573"/>
      <c r="L1009" s="1573"/>
      <c r="M1009" s="1573"/>
      <c r="N1009" s="1573"/>
      <c r="O1009" s="1573"/>
      <c r="P1009" s="1573"/>
      <c r="Q1009" s="1573"/>
      <c r="R1009" s="1573"/>
      <c r="S1009" s="1573"/>
      <c r="T1009" s="1573"/>
      <c r="U1009" s="1573"/>
      <c r="V1009" s="1573"/>
      <c r="W1009" s="1573"/>
      <c r="X1009" s="1573"/>
      <c r="Y1009" s="1573"/>
      <c r="Z1009" s="1573"/>
      <c r="AA1009" s="1573"/>
      <c r="AB1009" s="1573"/>
      <c r="AC1009" s="1573"/>
      <c r="AD1009" s="1573"/>
      <c r="AE1009" s="1574"/>
      <c r="AF1009" s="77"/>
      <c r="AG1009" s="7"/>
      <c r="AH1009" s="7"/>
      <c r="AI1009" s="78"/>
      <c r="AJ1009" s="1339"/>
      <c r="AK1009" s="1340"/>
      <c r="AL1009" s="1340"/>
      <c r="AM1009" s="1340"/>
      <c r="AN1009" s="1340"/>
      <c r="AO1009" s="1340"/>
      <c r="AP1009" s="1340"/>
      <c r="AQ1009" s="1341"/>
      <c r="AR1009" s="68"/>
      <c r="AS1009" s="68"/>
      <c r="AT1009" s="68"/>
      <c r="AU1009" s="68"/>
      <c r="AV1009" s="68"/>
      <c r="AW1009" s="68"/>
      <c r="AX1009" s="68"/>
      <c r="AY1009" s="68"/>
      <c r="AZ1009" s="34"/>
      <c r="BA1009" s="34"/>
      <c r="BB1009" s="34"/>
      <c r="BC1009" s="34"/>
    </row>
    <row r="1010" spans="1:55" ht="12.95" customHeight="1">
      <c r="A1010" s="14"/>
      <c r="B1010" s="255"/>
      <c r="C1010" s="318"/>
      <c r="D1010" s="1349" t="s">
        <v>1286</v>
      </c>
      <c r="E1010" s="1350"/>
      <c r="F1010" s="1350"/>
      <c r="G1010" s="1350"/>
      <c r="H1010" s="1350"/>
      <c r="I1010" s="1350"/>
      <c r="J1010" s="1350"/>
      <c r="K1010" s="1350"/>
      <c r="L1010" s="1350"/>
      <c r="M1010" s="1350"/>
      <c r="N1010" s="1350"/>
      <c r="O1010" s="1350"/>
      <c r="P1010" s="1350"/>
      <c r="Q1010" s="1350"/>
      <c r="R1010" s="1350"/>
      <c r="S1010" s="1350"/>
      <c r="T1010" s="1350"/>
      <c r="U1010" s="1350"/>
      <c r="V1010" s="1350"/>
      <c r="W1010" s="1350"/>
      <c r="X1010" s="1350"/>
      <c r="Y1010" s="1350"/>
      <c r="Z1010" s="1350"/>
      <c r="AA1010" s="1350"/>
      <c r="AB1010" s="1350"/>
      <c r="AC1010" s="1350"/>
      <c r="AD1010" s="1350"/>
      <c r="AE1010" s="1351"/>
      <c r="AF1010" s="79"/>
      <c r="AG1010" s="1267" t="s">
        <v>669</v>
      </c>
      <c r="AH1010" s="1268"/>
      <c r="AI1010" s="87"/>
      <c r="AJ1010" s="1333">
        <f>ROUND(IF(AG1010="yes",AJ1001*0.05,0),0)</f>
        <v>0</v>
      </c>
      <c r="AK1010" s="1334"/>
      <c r="AL1010" s="1334"/>
      <c r="AM1010" s="1334"/>
      <c r="AN1010" s="1334"/>
      <c r="AO1010" s="1334"/>
      <c r="AP1010" s="1334"/>
      <c r="AQ1010" s="1335"/>
      <c r="AR1010" s="68"/>
      <c r="AS1010" s="68"/>
      <c r="AT1010" s="68"/>
      <c r="AU1010" s="68"/>
      <c r="AV1010" s="68"/>
      <c r="AW1010" s="68"/>
      <c r="AX1010" s="68"/>
      <c r="AY1010" s="68"/>
      <c r="AZ1010" s="34"/>
      <c r="BA1010" s="34"/>
      <c r="BB1010" s="34"/>
      <c r="BC1010" s="34"/>
    </row>
    <row r="1011" spans="1:55" ht="12.95" customHeight="1">
      <c r="A1011" s="14"/>
      <c r="B1011" s="257"/>
      <c r="C1011" s="82"/>
      <c r="D1011" s="1521" t="s">
        <v>1284</v>
      </c>
      <c r="E1011" s="1522"/>
      <c r="F1011" s="1522"/>
      <c r="G1011" s="1522"/>
      <c r="H1011" s="1522"/>
      <c r="I1011" s="1522"/>
      <c r="J1011" s="1522"/>
      <c r="K1011" s="1522"/>
      <c r="L1011" s="1522"/>
      <c r="M1011" s="1522"/>
      <c r="N1011" s="1522"/>
      <c r="O1011" s="1522"/>
      <c r="P1011" s="1522"/>
      <c r="Q1011" s="1522"/>
      <c r="R1011" s="1522"/>
      <c r="S1011" s="1522"/>
      <c r="T1011" s="1522"/>
      <c r="U1011" s="1522"/>
      <c r="V1011" s="1522"/>
      <c r="W1011" s="1522"/>
      <c r="X1011" s="1522"/>
      <c r="Y1011" s="1522"/>
      <c r="Z1011" s="1522"/>
      <c r="AA1011" s="1522"/>
      <c r="AB1011" s="1522"/>
      <c r="AC1011" s="1522"/>
      <c r="AD1011" s="1522"/>
      <c r="AE1011" s="1523"/>
      <c r="AF1011" s="73"/>
      <c r="AG1011" s="14"/>
      <c r="AH1011" s="14"/>
      <c r="AI1011" s="83"/>
      <c r="AJ1011" s="1336"/>
      <c r="AK1011" s="1337"/>
      <c r="AL1011" s="1337"/>
      <c r="AM1011" s="1337"/>
      <c r="AN1011" s="1337"/>
      <c r="AO1011" s="1337"/>
      <c r="AP1011" s="1337"/>
      <c r="AQ1011" s="1338"/>
      <c r="AR1011" s="68"/>
      <c r="AS1011" s="68"/>
      <c r="AT1011" s="68"/>
      <c r="AU1011" s="68"/>
      <c r="AV1011" s="68"/>
      <c r="AW1011" s="68"/>
      <c r="AX1011" s="68"/>
      <c r="AY1011" s="34"/>
      <c r="AZ1011" s="34"/>
      <c r="BB1011" s="34"/>
    </row>
    <row r="1012" spans="1:55" ht="12.95" customHeight="1">
      <c r="A1012" s="14"/>
      <c r="B1012" s="257"/>
      <c r="C1012" s="82"/>
      <c r="D1012" s="1521"/>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3"/>
      <c r="AF1012" s="73"/>
      <c r="AG1012" s="14"/>
      <c r="AH1012" s="14"/>
      <c r="AI1012" s="83"/>
      <c r="AJ1012" s="1336"/>
      <c r="AK1012" s="1337"/>
      <c r="AL1012" s="1337"/>
      <c r="AM1012" s="1337"/>
      <c r="AN1012" s="1337"/>
      <c r="AO1012" s="1337"/>
      <c r="AP1012" s="1337"/>
      <c r="AQ1012" s="1338"/>
      <c r="AR1012" s="68"/>
      <c r="AS1012" s="68"/>
      <c r="AT1012" s="68"/>
      <c r="AU1012" s="68"/>
      <c r="AV1012" s="68"/>
      <c r="AW1012" s="68"/>
      <c r="AX1012" s="68"/>
      <c r="AY1012" s="910">
        <f>G761+O805</f>
        <v>58</v>
      </c>
      <c r="AZ1012" s="34"/>
      <c r="BB1012" s="34"/>
    </row>
    <row r="1013" spans="1:55" ht="12.95" customHeight="1">
      <c r="A1013" s="14"/>
      <c r="B1013" s="257"/>
      <c r="C1013" s="82"/>
      <c r="D1013" s="1521"/>
      <c r="E1013" s="1522"/>
      <c r="F1013" s="1522"/>
      <c r="G1013" s="1522"/>
      <c r="H1013" s="1522"/>
      <c r="I1013" s="1522"/>
      <c r="J1013" s="1522"/>
      <c r="K1013" s="1522"/>
      <c r="L1013" s="1522"/>
      <c r="M1013" s="1522"/>
      <c r="N1013" s="1522"/>
      <c r="O1013" s="1522"/>
      <c r="P1013" s="1522"/>
      <c r="Q1013" s="1522"/>
      <c r="R1013" s="1522"/>
      <c r="S1013" s="1522"/>
      <c r="T1013" s="1522"/>
      <c r="U1013" s="1522"/>
      <c r="V1013" s="1522"/>
      <c r="W1013" s="1522"/>
      <c r="X1013" s="1522"/>
      <c r="Y1013" s="1522"/>
      <c r="Z1013" s="1522"/>
      <c r="AA1013" s="1522"/>
      <c r="AB1013" s="1522"/>
      <c r="AC1013" s="1522"/>
      <c r="AD1013" s="1522"/>
      <c r="AE1013" s="1523"/>
      <c r="AF1013" s="73"/>
      <c r="AG1013" s="14"/>
      <c r="AH1013" s="14"/>
      <c r="AI1013" s="83"/>
      <c r="AJ1013" s="1336"/>
      <c r="AK1013" s="1337"/>
      <c r="AL1013" s="1337"/>
      <c r="AM1013" s="1337"/>
      <c r="AN1013" s="1337"/>
      <c r="AO1013" s="1337"/>
      <c r="AP1013" s="1337"/>
      <c r="AQ1013" s="1338"/>
      <c r="AR1013" s="68"/>
      <c r="AS1013" s="68"/>
      <c r="AT1013" s="68"/>
      <c r="AU1013" s="68"/>
      <c r="AV1013" s="68"/>
      <c r="AW1013" s="68"/>
      <c r="AX1013" s="68"/>
      <c r="AY1013" s="14"/>
      <c r="AZ1013" s="34"/>
      <c r="BB1013" s="34"/>
    </row>
    <row r="1014" spans="1:55" ht="12.95" customHeight="1">
      <c r="A1014" s="14"/>
      <c r="B1014" s="257"/>
      <c r="C1014" s="82"/>
      <c r="D1014" s="1521"/>
      <c r="E1014" s="1522"/>
      <c r="F1014" s="1522"/>
      <c r="G1014" s="1522"/>
      <c r="H1014" s="1522"/>
      <c r="I1014" s="1522"/>
      <c r="J1014" s="1522"/>
      <c r="K1014" s="1522"/>
      <c r="L1014" s="1522"/>
      <c r="M1014" s="1522"/>
      <c r="N1014" s="1522"/>
      <c r="O1014" s="1522"/>
      <c r="P1014" s="1522"/>
      <c r="Q1014" s="1522"/>
      <c r="R1014" s="1522"/>
      <c r="S1014" s="1522"/>
      <c r="T1014" s="1522"/>
      <c r="U1014" s="1522"/>
      <c r="V1014" s="1522"/>
      <c r="W1014" s="1522"/>
      <c r="X1014" s="1522"/>
      <c r="Y1014" s="1522"/>
      <c r="Z1014" s="1522"/>
      <c r="AA1014" s="1522"/>
      <c r="AB1014" s="1522"/>
      <c r="AC1014" s="1522"/>
      <c r="AD1014" s="1522"/>
      <c r="AE1014" s="1523"/>
      <c r="AF1014" s="73"/>
      <c r="AG1014" s="14"/>
      <c r="AH1014" s="14"/>
      <c r="AI1014" s="83"/>
      <c r="AJ1014" s="1336"/>
      <c r="AK1014" s="1337"/>
      <c r="AL1014" s="1337"/>
      <c r="AM1014" s="1337"/>
      <c r="AN1014" s="1337"/>
      <c r="AO1014" s="1337"/>
      <c r="AP1014" s="1337"/>
      <c r="AQ1014" s="1338"/>
      <c r="AR1014" s="68"/>
      <c r="AS1014" s="68"/>
      <c r="AT1014" s="68"/>
      <c r="AU1014" s="68"/>
      <c r="AV1014" s="68"/>
      <c r="AW1014" s="68"/>
      <c r="AX1014" s="68"/>
      <c r="AY1014" s="909">
        <f>ROUNDDOWN(X1057/I1057,2)</f>
        <v>0.15</v>
      </c>
      <c r="AZ1014" s="34"/>
      <c r="BB1014" s="34"/>
    </row>
    <row r="1015" spans="1:55" ht="12.95" customHeight="1">
      <c r="A1015" s="14"/>
      <c r="B1015" s="75"/>
      <c r="C1015" s="76"/>
      <c r="D1015" s="1279"/>
      <c r="E1015" s="1280"/>
      <c r="F1015" s="1280"/>
      <c r="G1015" s="1280"/>
      <c r="H1015" s="1280"/>
      <c r="I1015" s="1280"/>
      <c r="J1015" s="1280"/>
      <c r="K1015" s="1280"/>
      <c r="L1015" s="1280"/>
      <c r="M1015" s="1280"/>
      <c r="N1015" s="1280"/>
      <c r="O1015" s="1280"/>
      <c r="P1015" s="1280"/>
      <c r="Q1015" s="1280"/>
      <c r="R1015" s="1280"/>
      <c r="S1015" s="1280"/>
      <c r="T1015" s="1280"/>
      <c r="U1015" s="1280"/>
      <c r="V1015" s="1280"/>
      <c r="W1015" s="1280"/>
      <c r="X1015" s="1280"/>
      <c r="Y1015" s="1280"/>
      <c r="Z1015" s="1280"/>
      <c r="AA1015" s="1280"/>
      <c r="AB1015" s="1280"/>
      <c r="AC1015" s="1280"/>
      <c r="AD1015" s="1280"/>
      <c r="AE1015" s="1281"/>
      <c r="AF1015" s="77"/>
      <c r="AG1015" s="7"/>
      <c r="AH1015" s="7"/>
      <c r="AI1015" s="78"/>
      <c r="AJ1015" s="1339"/>
      <c r="AK1015" s="1340"/>
      <c r="AL1015" s="1340"/>
      <c r="AM1015" s="1340"/>
      <c r="AN1015" s="1340"/>
      <c r="AO1015" s="1340"/>
      <c r="AP1015" s="1340"/>
      <c r="AQ1015" s="1341"/>
      <c r="AR1015" s="68"/>
      <c r="AS1015" s="68"/>
      <c r="AT1015" s="68"/>
      <c r="AU1015" s="68"/>
      <c r="AV1015" s="68"/>
      <c r="AW1015" s="68"/>
      <c r="AX1015" s="68"/>
      <c r="AY1015" s="909">
        <f>ROUNDDOWN(X1061/I1061,2)</f>
        <v>0.17</v>
      </c>
      <c r="AZ1015" s="34"/>
      <c r="BB1015" s="34"/>
    </row>
    <row r="1016" spans="1:55" ht="12.95" customHeight="1">
      <c r="A1016" s="14"/>
      <c r="B1016" s="255"/>
      <c r="C1016" s="80" t="s">
        <v>672</v>
      </c>
      <c r="D1016" s="1349" t="s">
        <v>1672</v>
      </c>
      <c r="E1016" s="1350"/>
      <c r="F1016" s="1350"/>
      <c r="G1016" s="1350"/>
      <c r="H1016" s="1350"/>
      <c r="I1016" s="1350"/>
      <c r="J1016" s="1350"/>
      <c r="K1016" s="1350"/>
      <c r="L1016" s="1350"/>
      <c r="M1016" s="1350"/>
      <c r="N1016" s="1350"/>
      <c r="O1016" s="1350"/>
      <c r="P1016" s="1350"/>
      <c r="Q1016" s="1350"/>
      <c r="R1016" s="1350"/>
      <c r="S1016" s="1350"/>
      <c r="T1016" s="1350"/>
      <c r="U1016" s="1350"/>
      <c r="V1016" s="1350"/>
      <c r="W1016" s="1350"/>
      <c r="X1016" s="1350"/>
      <c r="Y1016" s="1350"/>
      <c r="Z1016" s="1350"/>
      <c r="AA1016" s="1350"/>
      <c r="AB1016" s="1350"/>
      <c r="AC1016" s="1350"/>
      <c r="AD1016" s="1350"/>
      <c r="AE1016" s="1351"/>
      <c r="AF1016" s="86"/>
      <c r="AG1016" s="1267" t="s">
        <v>669</v>
      </c>
      <c r="AH1016" s="1268"/>
      <c r="AI1016" s="87"/>
      <c r="AJ1016" s="1333">
        <f>ROUND(IF(AG1016="yes",AJ1001*0.1,0),0)</f>
        <v>0</v>
      </c>
      <c r="AK1016" s="1334"/>
      <c r="AL1016" s="1334"/>
      <c r="AM1016" s="1334"/>
      <c r="AN1016" s="1334"/>
      <c r="AO1016" s="1334"/>
      <c r="AP1016" s="1334"/>
      <c r="AQ1016" s="1335"/>
      <c r="AR1016" s="68"/>
      <c r="AS1016" s="68"/>
      <c r="AT1016" s="68"/>
      <c r="AU1016" s="68"/>
      <c r="AV1016" s="68"/>
      <c r="AW1016" s="68"/>
      <c r="AX1016" s="68"/>
      <c r="BB1016" s="34"/>
    </row>
    <row r="1017" spans="1:55" ht="12.95" customHeight="1">
      <c r="A1017" s="14"/>
      <c r="B1017" s="73"/>
      <c r="C1017" s="74"/>
      <c r="D1017" s="1361" t="s">
        <v>1285</v>
      </c>
      <c r="E1017" s="1362"/>
      <c r="F1017" s="1362"/>
      <c r="G1017" s="1362"/>
      <c r="H1017" s="1362"/>
      <c r="I1017" s="1362"/>
      <c r="J1017" s="1362"/>
      <c r="K1017" s="1362"/>
      <c r="L1017" s="1362"/>
      <c r="M1017" s="1362"/>
      <c r="N1017" s="1362"/>
      <c r="O1017" s="1362"/>
      <c r="P1017" s="1362"/>
      <c r="Q1017" s="1362"/>
      <c r="R1017" s="1362"/>
      <c r="S1017" s="1362"/>
      <c r="T1017" s="1362"/>
      <c r="U1017" s="1362"/>
      <c r="V1017" s="1362"/>
      <c r="W1017" s="1362"/>
      <c r="X1017" s="1362"/>
      <c r="Y1017" s="1362"/>
      <c r="Z1017" s="1362"/>
      <c r="AA1017" s="1362"/>
      <c r="AB1017" s="1362"/>
      <c r="AC1017" s="1362"/>
      <c r="AD1017" s="1362"/>
      <c r="AE1017" s="1363"/>
      <c r="AF1017" s="73"/>
      <c r="AI1017" s="83"/>
      <c r="AJ1017" s="1336"/>
      <c r="AK1017" s="1337"/>
      <c r="AL1017" s="1337"/>
      <c r="AM1017" s="1337"/>
      <c r="AN1017" s="1337"/>
      <c r="AO1017" s="1337"/>
      <c r="AP1017" s="1337"/>
      <c r="AQ1017" s="1338"/>
      <c r="AR1017" s="68"/>
      <c r="AS1017" s="68"/>
      <c r="AT1017" s="68"/>
      <c r="AU1017" s="68"/>
      <c r="AV1017" s="68"/>
      <c r="AW1017" s="68"/>
      <c r="AX1017" s="68"/>
    </row>
    <row r="1018" spans="1:55" ht="12.95" customHeight="1">
      <c r="A1018" s="14"/>
      <c r="B1018" s="73"/>
      <c r="C1018" s="74"/>
      <c r="D1018" s="1361"/>
      <c r="E1018" s="1362"/>
      <c r="F1018" s="1362"/>
      <c r="G1018" s="1362"/>
      <c r="H1018" s="1362"/>
      <c r="I1018" s="1362"/>
      <c r="J1018" s="1362"/>
      <c r="K1018" s="1362"/>
      <c r="L1018" s="1362"/>
      <c r="M1018" s="1362"/>
      <c r="N1018" s="1362"/>
      <c r="O1018" s="1362"/>
      <c r="P1018" s="1362"/>
      <c r="Q1018" s="1362"/>
      <c r="R1018" s="1362"/>
      <c r="S1018" s="1362"/>
      <c r="T1018" s="1362"/>
      <c r="U1018" s="1362"/>
      <c r="V1018" s="1362"/>
      <c r="W1018" s="1362"/>
      <c r="X1018" s="1362"/>
      <c r="Y1018" s="1362"/>
      <c r="Z1018" s="1362"/>
      <c r="AA1018" s="1362"/>
      <c r="AB1018" s="1362"/>
      <c r="AC1018" s="1362"/>
      <c r="AD1018" s="1362"/>
      <c r="AE1018" s="1363"/>
      <c r="AF1018" s="73"/>
      <c r="AG1018" s="14"/>
      <c r="AH1018" s="14"/>
      <c r="AI1018" s="83"/>
      <c r="AJ1018" s="1336"/>
      <c r="AK1018" s="1337"/>
      <c r="AL1018" s="1337"/>
      <c r="AM1018" s="1337"/>
      <c r="AN1018" s="1337"/>
      <c r="AO1018" s="1337"/>
      <c r="AP1018" s="1337"/>
      <c r="AQ1018" s="1338"/>
      <c r="AR1018" s="68"/>
      <c r="AS1018" s="68"/>
      <c r="AT1018" s="68"/>
      <c r="AU1018" s="68"/>
      <c r="AV1018" s="68"/>
      <c r="AW1018" s="68"/>
      <c r="AX1018" s="68"/>
    </row>
    <row r="1019" spans="1:55" ht="12.95" customHeight="1">
      <c r="A1019" s="14"/>
      <c r="B1019" s="85"/>
      <c r="C1019" s="76"/>
      <c r="D1019" s="1366"/>
      <c r="E1019" s="1367"/>
      <c r="F1019" s="1367"/>
      <c r="G1019" s="1367"/>
      <c r="H1019" s="1367"/>
      <c r="I1019" s="1367"/>
      <c r="J1019" s="1367"/>
      <c r="K1019" s="1367"/>
      <c r="L1019" s="1367"/>
      <c r="M1019" s="1367"/>
      <c r="N1019" s="1367"/>
      <c r="O1019" s="1367"/>
      <c r="P1019" s="1367"/>
      <c r="Q1019" s="1367"/>
      <c r="R1019" s="1367"/>
      <c r="S1019" s="1367"/>
      <c r="T1019" s="1367"/>
      <c r="U1019" s="1367"/>
      <c r="V1019" s="1367"/>
      <c r="W1019" s="1367"/>
      <c r="X1019" s="1367"/>
      <c r="Y1019" s="1367"/>
      <c r="Z1019" s="1367"/>
      <c r="AA1019" s="1367"/>
      <c r="AB1019" s="1367"/>
      <c r="AC1019" s="1367"/>
      <c r="AD1019" s="1367"/>
      <c r="AE1019" s="1368"/>
      <c r="AF1019" s="77"/>
      <c r="AG1019" s="7"/>
      <c r="AH1019" s="7"/>
      <c r="AI1019" s="78"/>
      <c r="AJ1019" s="1339"/>
      <c r="AK1019" s="1340"/>
      <c r="AL1019" s="1340"/>
      <c r="AM1019" s="1340"/>
      <c r="AN1019" s="1340"/>
      <c r="AO1019" s="1340"/>
      <c r="AP1019" s="1340"/>
      <c r="AQ1019" s="1341"/>
      <c r="AR1019" s="68"/>
      <c r="AS1019" s="68"/>
      <c r="AT1019" s="68"/>
      <c r="AU1019" s="68"/>
      <c r="AV1019" s="68"/>
      <c r="AW1019" s="68"/>
      <c r="AX1019" s="68"/>
    </row>
    <row r="1020" spans="1:55" ht="12.95" customHeight="1">
      <c r="A1020" s="14"/>
      <c r="B1020" s="79"/>
      <c r="C1020" s="80" t="s">
        <v>212</v>
      </c>
      <c r="D1020" s="1349" t="s">
        <v>1287</v>
      </c>
      <c r="E1020" s="1350"/>
      <c r="F1020" s="1350"/>
      <c r="G1020" s="1350"/>
      <c r="H1020" s="1350"/>
      <c r="I1020" s="1350"/>
      <c r="J1020" s="1350"/>
      <c r="K1020" s="1350"/>
      <c r="L1020" s="1350"/>
      <c r="M1020" s="1350"/>
      <c r="N1020" s="1350"/>
      <c r="O1020" s="1350"/>
      <c r="P1020" s="1350"/>
      <c r="Q1020" s="1350"/>
      <c r="R1020" s="1350"/>
      <c r="S1020" s="1350"/>
      <c r="T1020" s="1350"/>
      <c r="U1020" s="1350"/>
      <c r="V1020" s="1350"/>
      <c r="W1020" s="1350"/>
      <c r="X1020" s="1350"/>
      <c r="Y1020" s="1350"/>
      <c r="Z1020" s="1350"/>
      <c r="AA1020" s="1350"/>
      <c r="AB1020" s="1350"/>
      <c r="AC1020" s="1350"/>
      <c r="AD1020" s="1350"/>
      <c r="AE1020" s="1351"/>
      <c r="AF1020" s="79"/>
      <c r="AG1020" s="1267" t="s">
        <v>669</v>
      </c>
      <c r="AH1020" s="1268"/>
      <c r="AI1020" s="87"/>
      <c r="AJ1020" s="1333">
        <f>ROUND(IF(AG1020="yes",AJ1001*0.02,0),0)</f>
        <v>0</v>
      </c>
      <c r="AK1020" s="1334"/>
      <c r="AL1020" s="1334"/>
      <c r="AM1020" s="1334"/>
      <c r="AN1020" s="1334"/>
      <c r="AO1020" s="1334"/>
      <c r="AP1020" s="1334"/>
      <c r="AQ1020" s="1335"/>
      <c r="AR1020" s="68"/>
      <c r="AS1020" s="68"/>
      <c r="AT1020" s="68"/>
      <c r="AU1020" s="68"/>
      <c r="AV1020" s="68"/>
      <c r="AW1020" s="68"/>
      <c r="AX1020" s="68"/>
    </row>
    <row r="1021" spans="1:55" ht="14.25" customHeight="1">
      <c r="A1021" s="14"/>
      <c r="B1021" s="73"/>
      <c r="C1021" s="74"/>
      <c r="D1021" s="1366" t="s">
        <v>1288</v>
      </c>
      <c r="E1021" s="1367"/>
      <c r="F1021" s="1367"/>
      <c r="G1021" s="1367"/>
      <c r="H1021" s="1367"/>
      <c r="I1021" s="1367"/>
      <c r="J1021" s="1367"/>
      <c r="K1021" s="1367"/>
      <c r="L1021" s="1367"/>
      <c r="M1021" s="1367"/>
      <c r="N1021" s="1367"/>
      <c r="O1021" s="1367"/>
      <c r="P1021" s="1367"/>
      <c r="Q1021" s="1367"/>
      <c r="R1021" s="1367"/>
      <c r="S1021" s="1367"/>
      <c r="T1021" s="1367"/>
      <c r="U1021" s="1367"/>
      <c r="V1021" s="1367"/>
      <c r="W1021" s="1367"/>
      <c r="X1021" s="1367"/>
      <c r="Y1021" s="1367"/>
      <c r="Z1021" s="1367"/>
      <c r="AA1021" s="1367"/>
      <c r="AB1021" s="1367"/>
      <c r="AC1021" s="1367"/>
      <c r="AD1021" s="1367"/>
      <c r="AE1021" s="1368"/>
      <c r="AF1021" s="77"/>
      <c r="AG1021" s="7"/>
      <c r="AH1021" s="7"/>
      <c r="AI1021" s="78"/>
      <c r="AJ1021" s="1339"/>
      <c r="AK1021" s="1340"/>
      <c r="AL1021" s="1340"/>
      <c r="AM1021" s="1340"/>
      <c r="AN1021" s="1340"/>
      <c r="AO1021" s="1340"/>
      <c r="AP1021" s="1340"/>
      <c r="AQ1021" s="1341"/>
      <c r="AR1021" s="68"/>
      <c r="AS1021" s="68"/>
      <c r="AT1021" s="68"/>
      <c r="AU1021" s="68"/>
      <c r="AV1021" s="68"/>
      <c r="AW1021" s="68"/>
      <c r="AX1021" s="3" t="s">
        <v>1817</v>
      </c>
      <c r="AZ1021" s="3" t="s">
        <v>2522</v>
      </c>
    </row>
    <row r="1022" spans="1:55" ht="12.95" customHeight="1">
      <c r="A1022" s="14"/>
      <c r="B1022" s="79"/>
      <c r="C1022" s="80" t="s">
        <v>215</v>
      </c>
      <c r="D1022" s="1349" t="s">
        <v>1289</v>
      </c>
      <c r="E1022" s="1350"/>
      <c r="F1022" s="1350"/>
      <c r="G1022" s="1350"/>
      <c r="H1022" s="1350"/>
      <c r="I1022" s="1350"/>
      <c r="J1022" s="1350"/>
      <c r="K1022" s="1350"/>
      <c r="L1022" s="1350"/>
      <c r="M1022" s="1350"/>
      <c r="N1022" s="1350"/>
      <c r="O1022" s="1350"/>
      <c r="P1022" s="1350"/>
      <c r="Q1022" s="1350"/>
      <c r="R1022" s="1350"/>
      <c r="S1022" s="1350"/>
      <c r="T1022" s="1350"/>
      <c r="U1022" s="1350"/>
      <c r="V1022" s="1350"/>
      <c r="W1022" s="1350"/>
      <c r="X1022" s="1350"/>
      <c r="Y1022" s="1350"/>
      <c r="Z1022" s="1350"/>
      <c r="AA1022" s="1350"/>
      <c r="AB1022" s="1350"/>
      <c r="AC1022" s="1350"/>
      <c r="AD1022" s="1350"/>
      <c r="AE1022" s="1351"/>
      <c r="AF1022" s="79"/>
      <c r="AG1022" s="1267" t="s">
        <v>669</v>
      </c>
      <c r="AH1022" s="1268"/>
      <c r="AI1022" s="79"/>
      <c r="AJ1022" s="1333">
        <f>ROUND(IF(AG1022="yes",AJ1001*0.02,0),0)</f>
        <v>0</v>
      </c>
      <c r="AK1022" s="1334"/>
      <c r="AL1022" s="1334"/>
      <c r="AM1022" s="1334"/>
      <c r="AN1022" s="1334"/>
      <c r="AO1022" s="1334"/>
      <c r="AP1022" s="1334"/>
      <c r="AQ1022" s="1335"/>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361" t="s">
        <v>1290</v>
      </c>
      <c r="E1023" s="1362"/>
      <c r="F1023" s="1362"/>
      <c r="G1023" s="1362"/>
      <c r="H1023" s="1362"/>
      <c r="I1023" s="1362"/>
      <c r="J1023" s="1362"/>
      <c r="K1023" s="1362"/>
      <c r="L1023" s="1362"/>
      <c r="M1023" s="1362"/>
      <c r="N1023" s="1362"/>
      <c r="O1023" s="1362"/>
      <c r="P1023" s="1362"/>
      <c r="Q1023" s="1362"/>
      <c r="R1023" s="1362"/>
      <c r="S1023" s="1362"/>
      <c r="T1023" s="1362"/>
      <c r="U1023" s="1362"/>
      <c r="V1023" s="1362"/>
      <c r="W1023" s="1362"/>
      <c r="X1023" s="1362"/>
      <c r="Y1023" s="1362"/>
      <c r="Z1023" s="1362"/>
      <c r="AA1023" s="1362"/>
      <c r="AB1023" s="1362"/>
      <c r="AC1023" s="1362"/>
      <c r="AD1023" s="1362"/>
      <c r="AE1023" s="1363"/>
      <c r="AF1023" s="1326" t="str">
        <f>IF(AND(AG1022="yes",T212&lt;&gt;1),"The project may not be eligible for this boost","")</f>
        <v/>
      </c>
      <c r="AG1023" s="1327"/>
      <c r="AH1023" s="1327"/>
      <c r="AI1023" s="1328"/>
      <c r="AJ1023" s="1336"/>
      <c r="AK1023" s="1337"/>
      <c r="AL1023" s="1337"/>
      <c r="AM1023" s="1337"/>
      <c r="AN1023" s="1337"/>
      <c r="AO1023" s="1337"/>
      <c r="AP1023" s="1337"/>
      <c r="AQ1023" s="1338"/>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366"/>
      <c r="E1024" s="1367"/>
      <c r="F1024" s="1367"/>
      <c r="G1024" s="1367"/>
      <c r="H1024" s="1367"/>
      <c r="I1024" s="1367"/>
      <c r="J1024" s="1367"/>
      <c r="K1024" s="1367"/>
      <c r="L1024" s="1367"/>
      <c r="M1024" s="1367"/>
      <c r="N1024" s="1367"/>
      <c r="O1024" s="1367"/>
      <c r="P1024" s="1367"/>
      <c r="Q1024" s="1367"/>
      <c r="R1024" s="1367"/>
      <c r="S1024" s="1367"/>
      <c r="T1024" s="1367"/>
      <c r="U1024" s="1367"/>
      <c r="V1024" s="1367"/>
      <c r="W1024" s="1367"/>
      <c r="X1024" s="1367"/>
      <c r="Y1024" s="1367"/>
      <c r="Z1024" s="1367"/>
      <c r="AA1024" s="1367"/>
      <c r="AB1024" s="1367"/>
      <c r="AC1024" s="1367"/>
      <c r="AD1024" s="1367"/>
      <c r="AE1024" s="1368"/>
      <c r="AF1024" s="1329"/>
      <c r="AG1024" s="1330"/>
      <c r="AH1024" s="1330"/>
      <c r="AI1024" s="1331"/>
      <c r="AJ1024" s="1339"/>
      <c r="AK1024" s="1340"/>
      <c r="AL1024" s="1340"/>
      <c r="AM1024" s="1340"/>
      <c r="AN1024" s="1340"/>
      <c r="AO1024" s="1340"/>
      <c r="AP1024" s="1340"/>
      <c r="AQ1024" s="1341"/>
      <c r="AR1024" s="68"/>
      <c r="AS1024" s="68"/>
      <c r="AT1024" s="68"/>
      <c r="AU1024" s="68"/>
      <c r="AV1024" s="68"/>
      <c r="AW1024" s="68"/>
      <c r="AX1024" s="3">
        <v>3</v>
      </c>
      <c r="AY1024" s="200">
        <f t="shared" si="55"/>
        <v>0</v>
      </c>
      <c r="AZ1024" s="1189">
        <v>0.05</v>
      </c>
    </row>
    <row r="1025" spans="1:52" ht="12.95" customHeight="1">
      <c r="A1025" s="14"/>
      <c r="B1025" s="79"/>
      <c r="C1025" s="80" t="s">
        <v>218</v>
      </c>
      <c r="D1025" s="1297" t="s">
        <v>2189</v>
      </c>
      <c r="E1025" s="1298"/>
      <c r="F1025" s="1298"/>
      <c r="G1025" s="1298"/>
      <c r="H1025" s="1298"/>
      <c r="I1025" s="1298"/>
      <c r="J1025" s="1298"/>
      <c r="K1025" s="1298"/>
      <c r="L1025" s="1298"/>
      <c r="M1025" s="1298"/>
      <c r="N1025" s="1298"/>
      <c r="O1025" s="1298"/>
      <c r="P1025" s="1298"/>
      <c r="Q1025" s="1298"/>
      <c r="R1025" s="1298"/>
      <c r="S1025" s="1298"/>
      <c r="T1025" s="1298"/>
      <c r="U1025" s="1298"/>
      <c r="V1025" s="1298"/>
      <c r="W1025" s="1298"/>
      <c r="X1025" s="1298"/>
      <c r="Y1025" s="1298"/>
      <c r="Z1025" s="1298"/>
      <c r="AA1025" s="1298"/>
      <c r="AB1025" s="1298"/>
      <c r="AC1025" s="1298"/>
      <c r="AD1025" s="1298"/>
      <c r="AE1025" s="1299"/>
      <c r="AF1025" s="79"/>
      <c r="AG1025" s="1267" t="s">
        <v>669</v>
      </c>
      <c r="AH1025" s="1268"/>
      <c r="AI1025" s="87"/>
      <c r="AJ1025" s="1333">
        <f>IF(AG1025="yes",AJ1001*AY1033,0)</f>
        <v>0</v>
      </c>
      <c r="AK1025" s="1334"/>
      <c r="AL1025" s="1334"/>
      <c r="AM1025" s="1334"/>
      <c r="AN1025" s="1334"/>
      <c r="AO1025" s="1334"/>
      <c r="AP1025" s="1334"/>
      <c r="AQ1025" s="1335"/>
      <c r="AR1025" s="68"/>
      <c r="AS1025" s="68"/>
      <c r="AT1025" s="68"/>
      <c r="AU1025" s="68"/>
      <c r="AV1025" s="68"/>
      <c r="AW1025" s="68"/>
      <c r="AX1025" s="3">
        <v>4</v>
      </c>
      <c r="AY1025" s="200">
        <f t="shared" si="55"/>
        <v>0</v>
      </c>
      <c r="AZ1025" s="1189">
        <v>0.02</v>
      </c>
    </row>
    <row r="1026" spans="1:52" ht="12.95" customHeight="1">
      <c r="A1026" s="14"/>
      <c r="B1026" s="73"/>
      <c r="C1026" s="74"/>
      <c r="D1026" s="1361" t="s">
        <v>2584</v>
      </c>
      <c r="E1026" s="1362"/>
      <c r="F1026" s="1362"/>
      <c r="G1026" s="1362"/>
      <c r="H1026" s="1362"/>
      <c r="I1026" s="1362"/>
      <c r="J1026" s="1362"/>
      <c r="K1026" s="1362"/>
      <c r="L1026" s="1362"/>
      <c r="M1026" s="1362"/>
      <c r="N1026" s="1362"/>
      <c r="O1026" s="1362"/>
      <c r="P1026" s="1362"/>
      <c r="Q1026" s="1362"/>
      <c r="R1026" s="1362"/>
      <c r="S1026" s="1362"/>
      <c r="T1026" s="1362"/>
      <c r="U1026" s="1362"/>
      <c r="V1026" s="1362"/>
      <c r="W1026" s="1362"/>
      <c r="X1026" s="1362"/>
      <c r="Y1026" s="1362"/>
      <c r="Z1026" s="1362"/>
      <c r="AA1026" s="1362"/>
      <c r="AB1026" s="1362"/>
      <c r="AC1026" s="1362"/>
      <c r="AD1026" s="1362"/>
      <c r="AE1026" s="1363"/>
      <c r="AF1026" s="1320" t="str">
        <f>IF(AND(AG1025="Yes",AY1033=0),AY1036,"")</f>
        <v/>
      </c>
      <c r="AG1026" s="1321"/>
      <c r="AH1026" s="1321"/>
      <c r="AI1026" s="1322"/>
      <c r="AJ1026" s="1336"/>
      <c r="AK1026" s="1337"/>
      <c r="AL1026" s="1337"/>
      <c r="AM1026" s="1337"/>
      <c r="AN1026" s="1337"/>
      <c r="AO1026" s="1337"/>
      <c r="AP1026" s="1337"/>
      <c r="AQ1026" s="1338"/>
      <c r="AR1026" s="68"/>
      <c r="AS1026" s="68"/>
      <c r="AT1026" s="68"/>
      <c r="AU1026" s="68"/>
      <c r="AV1026" s="68"/>
      <c r="AW1026" s="68"/>
      <c r="AX1026" s="3">
        <v>5</v>
      </c>
      <c r="AY1026" s="200">
        <f t="shared" si="55"/>
        <v>0</v>
      </c>
      <c r="AZ1026" s="1189">
        <v>0.04</v>
      </c>
    </row>
    <row r="1027" spans="1:52" ht="12.95" customHeight="1">
      <c r="A1027" s="14"/>
      <c r="B1027" s="73"/>
      <c r="C1027" s="74"/>
      <c r="D1027" s="1361"/>
      <c r="E1027" s="1362"/>
      <c r="F1027" s="1362"/>
      <c r="G1027" s="1362"/>
      <c r="H1027" s="1362"/>
      <c r="I1027" s="1362"/>
      <c r="J1027" s="1362"/>
      <c r="K1027" s="1362"/>
      <c r="L1027" s="1362"/>
      <c r="M1027" s="1362"/>
      <c r="N1027" s="1362"/>
      <c r="O1027" s="1362"/>
      <c r="P1027" s="1362"/>
      <c r="Q1027" s="1362"/>
      <c r="R1027" s="1362"/>
      <c r="S1027" s="1362"/>
      <c r="T1027" s="1362"/>
      <c r="U1027" s="1362"/>
      <c r="V1027" s="1362"/>
      <c r="W1027" s="1362"/>
      <c r="X1027" s="1362"/>
      <c r="Y1027" s="1362"/>
      <c r="Z1027" s="1362"/>
      <c r="AA1027" s="1362"/>
      <c r="AB1027" s="1362"/>
      <c r="AC1027" s="1362"/>
      <c r="AD1027" s="1362"/>
      <c r="AE1027" s="1363"/>
      <c r="AF1027" s="1320"/>
      <c r="AG1027" s="1321"/>
      <c r="AH1027" s="1321"/>
      <c r="AI1027" s="1322"/>
      <c r="AJ1027" s="1336"/>
      <c r="AK1027" s="1337"/>
      <c r="AL1027" s="1337"/>
      <c r="AM1027" s="1337"/>
      <c r="AN1027" s="1337"/>
      <c r="AO1027" s="1337"/>
      <c r="AP1027" s="1337"/>
      <c r="AQ1027" s="1338"/>
      <c r="AR1027" s="68"/>
      <c r="AS1027" s="68"/>
      <c r="AT1027" s="68"/>
      <c r="AU1027" s="68"/>
      <c r="AV1027" s="68"/>
      <c r="AW1027" s="68"/>
      <c r="AX1027" s="3">
        <v>6</v>
      </c>
      <c r="AY1027" s="200">
        <f t="shared" si="55"/>
        <v>0</v>
      </c>
      <c r="AZ1027" s="1189">
        <v>0.04</v>
      </c>
    </row>
    <row r="1028" spans="1:52" ht="12.95" customHeight="1">
      <c r="A1028" s="14"/>
      <c r="B1028" s="81"/>
      <c r="C1028" s="82"/>
      <c r="D1028" s="1366"/>
      <c r="E1028" s="1367"/>
      <c r="F1028" s="1367"/>
      <c r="G1028" s="1367"/>
      <c r="H1028" s="1367"/>
      <c r="I1028" s="1367"/>
      <c r="J1028" s="1367"/>
      <c r="K1028" s="1367"/>
      <c r="L1028" s="1367"/>
      <c r="M1028" s="1367"/>
      <c r="N1028" s="1367"/>
      <c r="O1028" s="1367"/>
      <c r="P1028" s="1367"/>
      <c r="Q1028" s="1367"/>
      <c r="R1028" s="1367"/>
      <c r="S1028" s="1367"/>
      <c r="T1028" s="1367"/>
      <c r="U1028" s="1367"/>
      <c r="V1028" s="1367"/>
      <c r="W1028" s="1367"/>
      <c r="X1028" s="1367"/>
      <c r="Y1028" s="1367"/>
      <c r="Z1028" s="1367"/>
      <c r="AA1028" s="1367"/>
      <c r="AB1028" s="1367"/>
      <c r="AC1028" s="1367"/>
      <c r="AD1028" s="1367"/>
      <c r="AE1028" s="1368"/>
      <c r="AF1028" s="1323"/>
      <c r="AG1028" s="1324"/>
      <c r="AH1028" s="1324"/>
      <c r="AI1028" s="1325"/>
      <c r="AJ1028" s="1339"/>
      <c r="AK1028" s="1340"/>
      <c r="AL1028" s="1340"/>
      <c r="AM1028" s="1340"/>
      <c r="AN1028" s="1340"/>
      <c r="AO1028" s="1340"/>
      <c r="AP1028" s="1340"/>
      <c r="AQ1028" s="1341"/>
      <c r="AR1028" s="68"/>
      <c r="AS1028" s="68"/>
      <c r="AT1028" s="68"/>
      <c r="AU1028" s="68"/>
      <c r="AV1028" s="68"/>
      <c r="AW1028" s="68"/>
      <c r="AX1028" s="3">
        <v>7</v>
      </c>
      <c r="AY1028" s="200">
        <f t="shared" si="55"/>
        <v>0</v>
      </c>
      <c r="AZ1028" s="1189">
        <v>0.01</v>
      </c>
    </row>
    <row r="1029" spans="1:52" ht="12.95" customHeight="1">
      <c r="A1029" s="14"/>
      <c r="B1029" s="79"/>
      <c r="C1029" s="80" t="s">
        <v>223</v>
      </c>
      <c r="D1029" s="1390" t="s">
        <v>1291</v>
      </c>
      <c r="E1029" s="1391"/>
      <c r="F1029" s="1391"/>
      <c r="G1029" s="1391"/>
      <c r="H1029" s="1391"/>
      <c r="I1029" s="1391"/>
      <c r="J1029" s="1391"/>
      <c r="K1029" s="1391"/>
      <c r="L1029" s="1391"/>
      <c r="M1029" s="1391"/>
      <c r="N1029" s="1391"/>
      <c r="O1029" s="1391"/>
      <c r="P1029" s="1391"/>
      <c r="Q1029" s="1391"/>
      <c r="R1029" s="1391"/>
      <c r="S1029" s="1391"/>
      <c r="T1029" s="1391"/>
      <c r="U1029" s="1391"/>
      <c r="V1029" s="1391"/>
      <c r="W1029" s="1391"/>
      <c r="X1029" s="1391"/>
      <c r="Y1029" s="1391"/>
      <c r="Z1029" s="1391"/>
      <c r="AA1029" s="1391"/>
      <c r="AB1029" s="1391"/>
      <c r="AC1029" s="1391"/>
      <c r="AD1029" s="1391"/>
      <c r="AE1029" s="1392"/>
      <c r="AF1029" s="79"/>
      <c r="AG1029" s="1267" t="s">
        <v>669</v>
      </c>
      <c r="AH1029" s="1268"/>
      <c r="AI1029" s="87"/>
      <c r="AJ1029" s="1333">
        <f>ROUND(IF(AND(AG1029="Yes",J1033&lt;&gt;"N/A",AF1032&lt;&gt;""),MIN(AF1032,(0.15*AJ1001)),0),0)</f>
        <v>0</v>
      </c>
      <c r="AK1029" s="1334"/>
      <c r="AL1029" s="1334"/>
      <c r="AM1029" s="1334"/>
      <c r="AN1029" s="1334"/>
      <c r="AO1029" s="1334"/>
      <c r="AP1029" s="1334"/>
      <c r="AQ1029" s="1335"/>
      <c r="AR1029" s="68"/>
      <c r="AS1029" s="68"/>
      <c r="AT1029" s="68"/>
      <c r="AU1029" s="68"/>
      <c r="AV1029" s="68"/>
      <c r="AW1029" s="68"/>
      <c r="AX1029" s="3">
        <v>8</v>
      </c>
      <c r="AY1029" s="200">
        <f t="shared" si="55"/>
        <v>0</v>
      </c>
      <c r="AZ1029" s="1189">
        <v>0.01</v>
      </c>
    </row>
    <row r="1030" spans="1:52" ht="12.95" customHeight="1">
      <c r="A1030" s="14"/>
      <c r="B1030" s="81"/>
      <c r="C1030" s="84"/>
      <c r="D1030" s="1393"/>
      <c r="E1030" s="1394"/>
      <c r="F1030" s="1394"/>
      <c r="G1030" s="1394"/>
      <c r="H1030" s="1394"/>
      <c r="I1030" s="1394"/>
      <c r="J1030" s="1394"/>
      <c r="K1030" s="1394"/>
      <c r="L1030" s="1394"/>
      <c r="M1030" s="1394"/>
      <c r="N1030" s="1394"/>
      <c r="O1030" s="1394"/>
      <c r="P1030" s="1394"/>
      <c r="Q1030" s="1394"/>
      <c r="R1030" s="1394"/>
      <c r="S1030" s="1394"/>
      <c r="T1030" s="1394"/>
      <c r="U1030" s="1394"/>
      <c r="V1030" s="1394"/>
      <c r="W1030" s="1394"/>
      <c r="X1030" s="1394"/>
      <c r="Y1030" s="1394"/>
      <c r="Z1030" s="1394"/>
      <c r="AA1030" s="1394"/>
      <c r="AB1030" s="1394"/>
      <c r="AC1030" s="1394"/>
      <c r="AD1030" s="1394"/>
      <c r="AE1030" s="1395"/>
      <c r="AF1030" s="1352" t="str">
        <f>IF(AG1029="yes","Please Select Type and Enter Amount:","")</f>
        <v/>
      </c>
      <c r="AG1030" s="1353"/>
      <c r="AH1030" s="1353"/>
      <c r="AI1030" s="1354"/>
      <c r="AJ1030" s="1336"/>
      <c r="AK1030" s="1337"/>
      <c r="AL1030" s="1337"/>
      <c r="AM1030" s="1337"/>
      <c r="AN1030" s="1337"/>
      <c r="AO1030" s="1337"/>
      <c r="AP1030" s="1337"/>
      <c r="AQ1030" s="1338"/>
      <c r="AR1030" s="68"/>
      <c r="AS1030" s="68"/>
      <c r="AT1030" s="68"/>
      <c r="AU1030" s="68"/>
      <c r="AV1030" s="68"/>
      <c r="AW1030" s="68"/>
      <c r="AX1030" s="3">
        <v>9</v>
      </c>
      <c r="AY1030" s="200">
        <f t="shared" si="55"/>
        <v>0</v>
      </c>
      <c r="AZ1030" s="1189">
        <v>0.01</v>
      </c>
    </row>
    <row r="1031" spans="1:52" ht="12.95" customHeight="1">
      <c r="A1031" s="14"/>
      <c r="B1031" s="81"/>
      <c r="C1031" s="84"/>
      <c r="D1031" s="1361" t="s">
        <v>1292</v>
      </c>
      <c r="E1031" s="1362"/>
      <c r="F1031" s="1362"/>
      <c r="G1031" s="1362"/>
      <c r="H1031" s="1362"/>
      <c r="I1031" s="1362"/>
      <c r="J1031" s="1362"/>
      <c r="K1031" s="1362"/>
      <c r="L1031" s="1362"/>
      <c r="M1031" s="1362"/>
      <c r="N1031" s="1362"/>
      <c r="O1031" s="1362"/>
      <c r="P1031" s="1362"/>
      <c r="Q1031" s="1362"/>
      <c r="R1031" s="1362"/>
      <c r="S1031" s="1362"/>
      <c r="T1031" s="1362"/>
      <c r="U1031" s="1362"/>
      <c r="V1031" s="1362"/>
      <c r="W1031" s="1362"/>
      <c r="X1031" s="1362"/>
      <c r="Y1031" s="1362"/>
      <c r="Z1031" s="1362"/>
      <c r="AA1031" s="1362"/>
      <c r="AB1031" s="1362"/>
      <c r="AC1031" s="1362"/>
      <c r="AD1031" s="1362"/>
      <c r="AE1031" s="1363"/>
      <c r="AF1031" s="1352"/>
      <c r="AG1031" s="1353"/>
      <c r="AH1031" s="1353"/>
      <c r="AI1031" s="1354"/>
      <c r="AJ1031" s="1336"/>
      <c r="AK1031" s="1337"/>
      <c r="AL1031" s="1337"/>
      <c r="AM1031" s="1337"/>
      <c r="AN1031" s="1337"/>
      <c r="AO1031" s="1337"/>
      <c r="AP1031" s="1337"/>
      <c r="AQ1031" s="1338"/>
      <c r="AR1031" s="68"/>
      <c r="AS1031" s="68"/>
      <c r="AT1031" s="68"/>
      <c r="AU1031" s="68"/>
      <c r="AV1031" s="68"/>
      <c r="AW1031" s="68"/>
      <c r="AX1031" s="3">
        <v>10</v>
      </c>
      <c r="AY1031" s="200">
        <f t="shared" si="55"/>
        <v>0</v>
      </c>
      <c r="AZ1031" s="1189">
        <v>0.02</v>
      </c>
    </row>
    <row r="1032" spans="1:52" ht="12.95" customHeight="1">
      <c r="A1032" s="14"/>
      <c r="B1032" s="81"/>
      <c r="C1032" s="84"/>
      <c r="D1032" s="1361"/>
      <c r="E1032" s="1362"/>
      <c r="F1032" s="1362"/>
      <c r="G1032" s="1362"/>
      <c r="H1032" s="1362"/>
      <c r="I1032" s="1362"/>
      <c r="J1032" s="1362"/>
      <c r="K1032" s="1362"/>
      <c r="L1032" s="1362"/>
      <c r="M1032" s="1362"/>
      <c r="N1032" s="1362"/>
      <c r="O1032" s="1362"/>
      <c r="P1032" s="1362"/>
      <c r="Q1032" s="1362"/>
      <c r="R1032" s="1362"/>
      <c r="S1032" s="1362"/>
      <c r="T1032" s="1362"/>
      <c r="U1032" s="1362"/>
      <c r="V1032" s="1362"/>
      <c r="W1032" s="1362"/>
      <c r="X1032" s="1362"/>
      <c r="Y1032" s="1362"/>
      <c r="Z1032" s="1362"/>
      <c r="AA1032" s="1362"/>
      <c r="AB1032" s="1362"/>
      <c r="AC1032" s="1362"/>
      <c r="AD1032" s="1362"/>
      <c r="AE1032" s="1363"/>
      <c r="AF1032" s="1342"/>
      <c r="AG1032" s="1342"/>
      <c r="AH1032" s="1342"/>
      <c r="AI1032" s="1342"/>
      <c r="AJ1032" s="1336"/>
      <c r="AK1032" s="1337"/>
      <c r="AL1032" s="1337"/>
      <c r="AM1032" s="1337"/>
      <c r="AN1032" s="1337"/>
      <c r="AO1032" s="1337"/>
      <c r="AP1032" s="1337"/>
      <c r="AQ1032" s="1338"/>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557" t="s">
        <v>591</v>
      </c>
      <c r="K1033" s="1558"/>
      <c r="L1033" s="1558"/>
      <c r="M1033" s="1558"/>
      <c r="N1033" s="1558"/>
      <c r="O1033" s="1558"/>
      <c r="P1033" s="1558"/>
      <c r="Q1033" s="1558"/>
      <c r="R1033" s="1558"/>
      <c r="S1033" s="1558"/>
      <c r="T1033" s="1558"/>
      <c r="U1033" s="1558"/>
      <c r="V1033" s="1558"/>
      <c r="W1033" s="1558"/>
      <c r="X1033" s="1558"/>
      <c r="Y1033" s="1558"/>
      <c r="Z1033" s="1558"/>
      <c r="AA1033" s="1558"/>
      <c r="AB1033" s="1558"/>
      <c r="AC1033" s="1558"/>
      <c r="AD1033" s="1558"/>
      <c r="AE1033" s="1559"/>
      <c r="AF1033" s="1342"/>
      <c r="AG1033" s="1342"/>
      <c r="AH1033" s="1342"/>
      <c r="AI1033" s="1342"/>
      <c r="AJ1033" s="1339"/>
      <c r="AK1033" s="1340"/>
      <c r="AL1033" s="1340"/>
      <c r="AM1033" s="1340"/>
      <c r="AN1033" s="1340"/>
      <c r="AO1033" s="1340"/>
      <c r="AP1033" s="1340"/>
      <c r="AQ1033" s="1341"/>
      <c r="AR1033" s="68"/>
      <c r="AS1033" s="68"/>
      <c r="AT1033" s="68"/>
      <c r="AU1033" s="68"/>
      <c r="AV1033" s="68"/>
      <c r="AW1033" s="68"/>
      <c r="AX1033" s="1027" t="s">
        <v>2521</v>
      </c>
      <c r="AY1033" s="201">
        <f>IF(SUM(AY1022:AY1032)&lt;=0.2,SUM(AY1022:AY1032),0.2)</f>
        <v>0</v>
      </c>
    </row>
    <row r="1034" spans="1:52" ht="12.95" customHeight="1">
      <c r="A1034" s="14"/>
      <c r="B1034" s="79"/>
      <c r="C1034" s="80" t="s">
        <v>229</v>
      </c>
      <c r="D1034" s="1349" t="s">
        <v>1293</v>
      </c>
      <c r="E1034" s="1350"/>
      <c r="F1034" s="1350"/>
      <c r="G1034" s="1350"/>
      <c r="H1034" s="1350"/>
      <c r="I1034" s="1350"/>
      <c r="J1034" s="1350"/>
      <c r="K1034" s="1350"/>
      <c r="L1034" s="1350"/>
      <c r="M1034" s="1350"/>
      <c r="N1034" s="1350"/>
      <c r="O1034" s="1350"/>
      <c r="P1034" s="1350"/>
      <c r="Q1034" s="1350"/>
      <c r="R1034" s="1350"/>
      <c r="S1034" s="1350"/>
      <c r="T1034" s="1350"/>
      <c r="U1034" s="1350"/>
      <c r="V1034" s="1350"/>
      <c r="W1034" s="1350"/>
      <c r="X1034" s="1350"/>
      <c r="Y1034" s="1350"/>
      <c r="Z1034" s="1350"/>
      <c r="AA1034" s="1350"/>
      <c r="AB1034" s="1350"/>
      <c r="AC1034" s="1350"/>
      <c r="AD1034" s="1350"/>
      <c r="AE1034" s="1351"/>
      <c r="AF1034" s="79"/>
      <c r="AG1034" s="1267" t="s">
        <v>669</v>
      </c>
      <c r="AH1034" s="1268"/>
      <c r="AI1034" s="87"/>
      <c r="AJ1034" s="1333">
        <f>ROUND(IF(AG1034="Yes",AF1036,0),0)</f>
        <v>0</v>
      </c>
      <c r="AK1034" s="1334"/>
      <c r="AL1034" s="1334"/>
      <c r="AM1034" s="1334"/>
      <c r="AN1034" s="1334"/>
      <c r="AO1034" s="1334"/>
      <c r="AP1034" s="1334"/>
      <c r="AQ1034" s="1335"/>
      <c r="AR1034" s="68"/>
      <c r="AS1034" s="68"/>
      <c r="AT1034" s="68"/>
      <c r="AU1034" s="68"/>
      <c r="AV1034" s="68"/>
      <c r="AW1034" s="68"/>
      <c r="AX1034" s="68"/>
      <c r="AY1034" s="68"/>
    </row>
    <row r="1035" spans="1:52" ht="12.95" customHeight="1">
      <c r="A1035" s="14"/>
      <c r="B1035" s="73"/>
      <c r="C1035" s="74"/>
      <c r="D1035" s="1361" t="s">
        <v>1679</v>
      </c>
      <c r="E1035" s="1362"/>
      <c r="F1035" s="1362"/>
      <c r="G1035" s="1362"/>
      <c r="H1035" s="1362"/>
      <c r="I1035" s="1362"/>
      <c r="J1035" s="1362"/>
      <c r="K1035" s="1362"/>
      <c r="L1035" s="1362"/>
      <c r="M1035" s="1362"/>
      <c r="N1035" s="1362"/>
      <c r="O1035" s="1362"/>
      <c r="P1035" s="1362"/>
      <c r="Q1035" s="1362"/>
      <c r="R1035" s="1362"/>
      <c r="S1035" s="1362"/>
      <c r="T1035" s="1362"/>
      <c r="U1035" s="1362"/>
      <c r="V1035" s="1362"/>
      <c r="W1035" s="1362"/>
      <c r="X1035" s="1362"/>
      <c r="Y1035" s="1362"/>
      <c r="Z1035" s="1362"/>
      <c r="AA1035" s="1362"/>
      <c r="AB1035" s="1362"/>
      <c r="AC1035" s="1362"/>
      <c r="AD1035" s="1362"/>
      <c r="AE1035" s="1363"/>
      <c r="AF1035" s="1375" t="str">
        <f>IF(AG1034="yes","Enter Amount:","")</f>
        <v/>
      </c>
      <c r="AG1035" s="1376"/>
      <c r="AH1035" s="1376"/>
      <c r="AI1035" s="1377"/>
      <c r="AJ1035" s="1336"/>
      <c r="AK1035" s="1337"/>
      <c r="AL1035" s="1337"/>
      <c r="AM1035" s="1337"/>
      <c r="AN1035" s="1337"/>
      <c r="AO1035" s="1337"/>
      <c r="AP1035" s="1337"/>
      <c r="AQ1035" s="1338"/>
      <c r="AR1035" s="68"/>
      <c r="AS1035" s="68"/>
      <c r="AT1035" s="68"/>
      <c r="AU1035" s="68"/>
      <c r="AV1035" s="68"/>
      <c r="AW1035" s="68"/>
      <c r="AX1035" s="68"/>
      <c r="AY1035" s="68"/>
    </row>
    <row r="1036" spans="1:52" ht="12.95" customHeight="1">
      <c r="A1036" s="14"/>
      <c r="B1036" s="73"/>
      <c r="C1036" s="74"/>
      <c r="D1036" s="1361"/>
      <c r="E1036" s="1362"/>
      <c r="F1036" s="1362"/>
      <c r="G1036" s="1362"/>
      <c r="H1036" s="1362"/>
      <c r="I1036" s="1362"/>
      <c r="J1036" s="1362"/>
      <c r="K1036" s="1362"/>
      <c r="L1036" s="1362"/>
      <c r="M1036" s="1362"/>
      <c r="N1036" s="1362"/>
      <c r="O1036" s="1362"/>
      <c r="P1036" s="1362"/>
      <c r="Q1036" s="1362"/>
      <c r="R1036" s="1362"/>
      <c r="S1036" s="1362"/>
      <c r="T1036" s="1362"/>
      <c r="U1036" s="1362"/>
      <c r="V1036" s="1362"/>
      <c r="W1036" s="1362"/>
      <c r="X1036" s="1362"/>
      <c r="Y1036" s="1362"/>
      <c r="Z1036" s="1362"/>
      <c r="AA1036" s="1362"/>
      <c r="AB1036" s="1362"/>
      <c r="AC1036" s="1362"/>
      <c r="AD1036" s="1362"/>
      <c r="AE1036" s="1363"/>
      <c r="AF1036" s="1342"/>
      <c r="AG1036" s="1342"/>
      <c r="AH1036" s="1342"/>
      <c r="AI1036" s="1342"/>
      <c r="AJ1036" s="1336"/>
      <c r="AK1036" s="1337"/>
      <c r="AL1036" s="1337"/>
      <c r="AM1036" s="1337"/>
      <c r="AN1036" s="1337"/>
      <c r="AO1036" s="1337"/>
      <c r="AP1036" s="1337"/>
      <c r="AQ1036" s="1338"/>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366"/>
      <c r="E1037" s="1367"/>
      <c r="F1037" s="1367"/>
      <c r="G1037" s="1367"/>
      <c r="H1037" s="1367"/>
      <c r="I1037" s="1367"/>
      <c r="J1037" s="1367"/>
      <c r="K1037" s="1367"/>
      <c r="L1037" s="1367"/>
      <c r="M1037" s="1367"/>
      <c r="N1037" s="1367"/>
      <c r="O1037" s="1367"/>
      <c r="P1037" s="1367"/>
      <c r="Q1037" s="1367"/>
      <c r="R1037" s="1367"/>
      <c r="S1037" s="1367"/>
      <c r="T1037" s="1367"/>
      <c r="U1037" s="1367"/>
      <c r="V1037" s="1367"/>
      <c r="W1037" s="1367"/>
      <c r="X1037" s="1367"/>
      <c r="Y1037" s="1367"/>
      <c r="Z1037" s="1367"/>
      <c r="AA1037" s="1367"/>
      <c r="AB1037" s="1367"/>
      <c r="AC1037" s="1367"/>
      <c r="AD1037" s="1367"/>
      <c r="AE1037" s="1368"/>
      <c r="AF1037" s="1342"/>
      <c r="AG1037" s="1342"/>
      <c r="AH1037" s="1342"/>
      <c r="AI1037" s="1342"/>
      <c r="AJ1037" s="1339"/>
      <c r="AK1037" s="1340"/>
      <c r="AL1037" s="1340"/>
      <c r="AM1037" s="1340"/>
      <c r="AN1037" s="1340"/>
      <c r="AO1037" s="1340"/>
      <c r="AP1037" s="1340"/>
      <c r="AQ1037" s="1341"/>
      <c r="AR1037" s="68"/>
      <c r="AS1037" s="68"/>
      <c r="AT1037" s="68"/>
      <c r="AU1037" s="68"/>
      <c r="AV1037" s="68"/>
      <c r="AW1037" s="68"/>
      <c r="AX1037" s="68"/>
      <c r="AY1037" s="68"/>
    </row>
    <row r="1038" spans="1:52" ht="12.95" customHeight="1">
      <c r="A1038" s="14"/>
      <c r="B1038" s="79"/>
      <c r="C1038" s="80" t="s">
        <v>234</v>
      </c>
      <c r="D1038" s="1297" t="s">
        <v>1294</v>
      </c>
      <c r="E1038" s="1298"/>
      <c r="F1038" s="1298"/>
      <c r="G1038" s="1298"/>
      <c r="H1038" s="1298"/>
      <c r="I1038" s="1298"/>
      <c r="J1038" s="1298"/>
      <c r="K1038" s="1298"/>
      <c r="L1038" s="1298"/>
      <c r="M1038" s="1298"/>
      <c r="N1038" s="1298"/>
      <c r="O1038" s="1298"/>
      <c r="P1038" s="1298"/>
      <c r="Q1038" s="1298"/>
      <c r="R1038" s="1298"/>
      <c r="S1038" s="1298"/>
      <c r="T1038" s="1298"/>
      <c r="U1038" s="1298"/>
      <c r="V1038" s="1298"/>
      <c r="W1038" s="1298"/>
      <c r="X1038" s="1298"/>
      <c r="Y1038" s="1298"/>
      <c r="Z1038" s="1298"/>
      <c r="AA1038" s="1298"/>
      <c r="AB1038" s="1298"/>
      <c r="AC1038" s="1298"/>
      <c r="AD1038" s="1298"/>
      <c r="AE1038" s="1299"/>
      <c r="AF1038" s="79"/>
      <c r="AG1038" s="1267" t="s">
        <v>669</v>
      </c>
      <c r="AH1038" s="1268"/>
      <c r="AI1038" s="87"/>
      <c r="AJ1038" s="1333">
        <f>ROUND(IF(AG1038="yes",(AJ1001*0.1),0),0)</f>
        <v>0</v>
      </c>
      <c r="AK1038" s="1334"/>
      <c r="AL1038" s="1334"/>
      <c r="AM1038" s="1334"/>
      <c r="AN1038" s="1334"/>
      <c r="AO1038" s="1334"/>
      <c r="AP1038" s="1334"/>
      <c r="AQ1038" s="1335"/>
      <c r="AR1038" s="68"/>
      <c r="AS1038" s="68"/>
      <c r="AT1038" s="68"/>
      <c r="AU1038" s="68"/>
      <c r="AV1038" s="68"/>
      <c r="AW1038" s="68"/>
      <c r="AX1038" s="68"/>
      <c r="AY1038" s="68"/>
    </row>
    <row r="1039" spans="1:52" ht="12.95" customHeight="1">
      <c r="A1039" s="14"/>
      <c r="B1039" s="73"/>
      <c r="C1039" s="74"/>
      <c r="D1039" s="1361" t="s">
        <v>1295</v>
      </c>
      <c r="E1039" s="1362"/>
      <c r="F1039" s="1362"/>
      <c r="G1039" s="1362"/>
      <c r="H1039" s="1362"/>
      <c r="I1039" s="1362"/>
      <c r="J1039" s="1362"/>
      <c r="K1039" s="1362"/>
      <c r="L1039" s="1362"/>
      <c r="M1039" s="1362"/>
      <c r="N1039" s="1362"/>
      <c r="O1039" s="1362"/>
      <c r="P1039" s="1362"/>
      <c r="Q1039" s="1362"/>
      <c r="R1039" s="1362"/>
      <c r="S1039" s="1362"/>
      <c r="T1039" s="1362"/>
      <c r="U1039" s="1362"/>
      <c r="V1039" s="1362"/>
      <c r="W1039" s="1362"/>
      <c r="X1039" s="1362"/>
      <c r="Y1039" s="1362"/>
      <c r="Z1039" s="1362"/>
      <c r="AA1039" s="1362"/>
      <c r="AB1039" s="1362"/>
      <c r="AC1039" s="1362"/>
      <c r="AD1039" s="1362"/>
      <c r="AE1039" s="1363"/>
      <c r="AF1039" s="73"/>
      <c r="AG1039" s="14"/>
      <c r="AH1039" s="14"/>
      <c r="AI1039" s="83"/>
      <c r="AJ1039" s="1336"/>
      <c r="AK1039" s="1337"/>
      <c r="AL1039" s="1337"/>
      <c r="AM1039" s="1337"/>
      <c r="AN1039" s="1337"/>
      <c r="AO1039" s="1337"/>
      <c r="AP1039" s="1337"/>
      <c r="AQ1039" s="1338"/>
      <c r="AR1039" s="68"/>
      <c r="AS1039" s="68"/>
      <c r="AT1039" s="68"/>
      <c r="AU1039" s="68"/>
      <c r="AV1039" s="68"/>
      <c r="AW1039" s="68"/>
      <c r="AX1039" s="68"/>
      <c r="AY1039" s="68"/>
    </row>
    <row r="1040" spans="1:52" ht="12.95" customHeight="1">
      <c r="A1040" s="14"/>
      <c r="B1040" s="77"/>
      <c r="C1040" s="74"/>
      <c r="D1040" s="1366"/>
      <c r="E1040" s="1367"/>
      <c r="F1040" s="1367"/>
      <c r="G1040" s="1367"/>
      <c r="H1040" s="1367"/>
      <c r="I1040" s="1367"/>
      <c r="J1040" s="1367"/>
      <c r="K1040" s="1367"/>
      <c r="L1040" s="1367"/>
      <c r="M1040" s="1367"/>
      <c r="N1040" s="1367"/>
      <c r="O1040" s="1367"/>
      <c r="P1040" s="1367"/>
      <c r="Q1040" s="1367"/>
      <c r="R1040" s="1367"/>
      <c r="S1040" s="1367"/>
      <c r="T1040" s="1367"/>
      <c r="U1040" s="1367"/>
      <c r="V1040" s="1367"/>
      <c r="W1040" s="1367"/>
      <c r="X1040" s="1367"/>
      <c r="Y1040" s="1367"/>
      <c r="Z1040" s="1367"/>
      <c r="AA1040" s="1367"/>
      <c r="AB1040" s="1367"/>
      <c r="AC1040" s="1367"/>
      <c r="AD1040" s="1367"/>
      <c r="AE1040" s="1368"/>
      <c r="AF1040" s="73"/>
      <c r="AG1040" s="14"/>
      <c r="AH1040" s="14"/>
      <c r="AI1040" s="83"/>
      <c r="AJ1040" s="1339"/>
      <c r="AK1040" s="1340"/>
      <c r="AL1040" s="1340"/>
      <c r="AM1040" s="1340"/>
      <c r="AN1040" s="1340"/>
      <c r="AO1040" s="1340"/>
      <c r="AP1040" s="1340"/>
      <c r="AQ1040" s="1341"/>
      <c r="AR1040" s="68"/>
      <c r="AS1040" s="68"/>
      <c r="AT1040" s="68"/>
      <c r="AU1040" s="68"/>
      <c r="AV1040" s="68"/>
      <c r="AW1040" s="68"/>
      <c r="AX1040" s="68"/>
      <c r="AY1040" s="68"/>
    </row>
    <row r="1041" spans="1:57" ht="12.95" customHeight="1">
      <c r="A1041" s="14"/>
      <c r="B1041" s="73"/>
      <c r="C1041" s="339" t="s">
        <v>687</v>
      </c>
      <c r="D1041" s="1349" t="s">
        <v>1675</v>
      </c>
      <c r="E1041" s="1350"/>
      <c r="F1041" s="1350"/>
      <c r="G1041" s="1350"/>
      <c r="H1041" s="1350"/>
      <c r="I1041" s="1350"/>
      <c r="J1041" s="1350"/>
      <c r="K1041" s="1350"/>
      <c r="L1041" s="1350"/>
      <c r="M1041" s="1350"/>
      <c r="N1041" s="1350"/>
      <c r="O1041" s="1350"/>
      <c r="P1041" s="1350"/>
      <c r="Q1041" s="1350"/>
      <c r="R1041" s="1350"/>
      <c r="S1041" s="1350"/>
      <c r="T1041" s="1350"/>
      <c r="U1041" s="1350"/>
      <c r="V1041" s="1350"/>
      <c r="W1041" s="1350"/>
      <c r="X1041" s="1350"/>
      <c r="Y1041" s="1350"/>
      <c r="Z1041" s="1350"/>
      <c r="AA1041" s="1350"/>
      <c r="AB1041" s="1350"/>
      <c r="AC1041" s="1350"/>
      <c r="AD1041" s="1350"/>
      <c r="AE1041" s="1351"/>
      <c r="AF1041" s="79"/>
      <c r="AG1041" s="1267" t="s">
        <v>669</v>
      </c>
      <c r="AH1041" s="1268"/>
      <c r="AI1041" s="87"/>
      <c r="AJ1041" s="1333">
        <f>ROUND(IF(AG1041="yes",(AJ1001*0.15),0),0)</f>
        <v>0</v>
      </c>
      <c r="AK1041" s="1334"/>
      <c r="AL1041" s="1334"/>
      <c r="AM1041" s="1334"/>
      <c r="AN1041" s="1334"/>
      <c r="AO1041" s="1334"/>
      <c r="AP1041" s="1334"/>
      <c r="AQ1041" s="1335"/>
      <c r="AR1041" s="68"/>
      <c r="AS1041" s="68"/>
      <c r="AT1041" s="68"/>
      <c r="AU1041" s="68"/>
      <c r="AV1041" s="68"/>
      <c r="AW1041" s="68"/>
      <c r="AX1041" s="68"/>
      <c r="AY1041" s="68"/>
    </row>
    <row r="1042" spans="1:57" ht="12.95" customHeight="1">
      <c r="A1042" s="14"/>
      <c r="B1042" s="73"/>
      <c r="C1042" s="74"/>
      <c r="D1042" s="1384" t="s">
        <v>1676</v>
      </c>
      <c r="E1042" s="1385"/>
      <c r="F1042" s="1385"/>
      <c r="G1042" s="1385"/>
      <c r="H1042" s="1385"/>
      <c r="I1042" s="1385"/>
      <c r="J1042" s="1385"/>
      <c r="K1042" s="1385"/>
      <c r="L1042" s="1385"/>
      <c r="M1042" s="1385"/>
      <c r="N1042" s="1385"/>
      <c r="O1042" s="1385"/>
      <c r="P1042" s="1385"/>
      <c r="Q1042" s="1385"/>
      <c r="R1042" s="1385"/>
      <c r="S1042" s="1385"/>
      <c r="T1042" s="1385"/>
      <c r="U1042" s="1385"/>
      <c r="V1042" s="1385"/>
      <c r="W1042" s="1385"/>
      <c r="X1042" s="1385"/>
      <c r="Y1042" s="1385"/>
      <c r="Z1042" s="1385"/>
      <c r="AA1042" s="1385"/>
      <c r="AB1042" s="1385"/>
      <c r="AC1042" s="1385"/>
      <c r="AD1042" s="1385"/>
      <c r="AE1042" s="1386"/>
      <c r="AF1042" s="911"/>
      <c r="AG1042" s="912"/>
      <c r="AH1042" s="912"/>
      <c r="AI1042" s="913"/>
      <c r="AJ1042" s="1336"/>
      <c r="AK1042" s="1337"/>
      <c r="AL1042" s="1337"/>
      <c r="AM1042" s="1337"/>
      <c r="AN1042" s="1337"/>
      <c r="AO1042" s="1337"/>
      <c r="AP1042" s="1337"/>
      <c r="AQ1042" s="1338"/>
      <c r="AR1042" s="68"/>
      <c r="AS1042" s="68"/>
      <c r="AT1042" s="68"/>
      <c r="AU1042" s="68"/>
      <c r="AV1042" s="68"/>
      <c r="AW1042" s="68"/>
      <c r="AX1042" s="68"/>
      <c r="AY1042" s="68"/>
    </row>
    <row r="1043" spans="1:57" ht="12.95" customHeight="1">
      <c r="A1043" s="14"/>
      <c r="B1043" s="73"/>
      <c r="C1043" s="74"/>
      <c r="D1043" s="1384"/>
      <c r="E1043" s="1385"/>
      <c r="F1043" s="1385"/>
      <c r="G1043" s="1385"/>
      <c r="H1043" s="1385"/>
      <c r="I1043" s="1385"/>
      <c r="J1043" s="1385"/>
      <c r="K1043" s="1385"/>
      <c r="L1043" s="1385"/>
      <c r="M1043" s="1385"/>
      <c r="N1043" s="1385"/>
      <c r="O1043" s="1385"/>
      <c r="P1043" s="1385"/>
      <c r="Q1043" s="1385"/>
      <c r="R1043" s="1385"/>
      <c r="S1043" s="1385"/>
      <c r="T1043" s="1385"/>
      <c r="U1043" s="1385"/>
      <c r="V1043" s="1385"/>
      <c r="W1043" s="1385"/>
      <c r="X1043" s="1385"/>
      <c r="Y1043" s="1385"/>
      <c r="Z1043" s="1385"/>
      <c r="AA1043" s="1385"/>
      <c r="AB1043" s="1385"/>
      <c r="AC1043" s="1385"/>
      <c r="AD1043" s="1385"/>
      <c r="AE1043" s="1386"/>
      <c r="AF1043" s="911"/>
      <c r="AG1043" s="912"/>
      <c r="AH1043" s="912"/>
      <c r="AI1043" s="913"/>
      <c r="AJ1043" s="1336"/>
      <c r="AK1043" s="1337"/>
      <c r="AL1043" s="1337"/>
      <c r="AM1043" s="1337"/>
      <c r="AN1043" s="1337"/>
      <c r="AO1043" s="1337"/>
      <c r="AP1043" s="1337"/>
      <c r="AQ1043" s="1338"/>
      <c r="AR1043" s="68"/>
      <c r="AS1043" s="68"/>
      <c r="AT1043" s="68"/>
      <c r="AU1043" s="68"/>
      <c r="AV1043" s="68"/>
      <c r="AW1043" s="68"/>
      <c r="AX1043" s="68"/>
      <c r="AY1043" s="68"/>
    </row>
    <row r="1044" spans="1:57" ht="12.95" customHeight="1">
      <c r="A1044" s="14"/>
      <c r="B1044" s="73"/>
      <c r="C1044" s="74"/>
      <c r="D1044" s="1387"/>
      <c r="E1044" s="1388"/>
      <c r="F1044" s="1388"/>
      <c r="G1044" s="1388"/>
      <c r="H1044" s="1388"/>
      <c r="I1044" s="1388"/>
      <c r="J1044" s="1388"/>
      <c r="K1044" s="1388"/>
      <c r="L1044" s="1388"/>
      <c r="M1044" s="1388"/>
      <c r="N1044" s="1388"/>
      <c r="O1044" s="1388"/>
      <c r="P1044" s="1388"/>
      <c r="Q1044" s="1388"/>
      <c r="R1044" s="1388"/>
      <c r="S1044" s="1388"/>
      <c r="T1044" s="1388"/>
      <c r="U1044" s="1388"/>
      <c r="V1044" s="1388"/>
      <c r="W1044" s="1388"/>
      <c r="X1044" s="1388"/>
      <c r="Y1044" s="1388"/>
      <c r="Z1044" s="1388"/>
      <c r="AA1044" s="1388"/>
      <c r="AB1044" s="1388"/>
      <c r="AC1044" s="1388"/>
      <c r="AD1044" s="1388"/>
      <c r="AE1044" s="1389"/>
      <c r="AF1044" s="914"/>
      <c r="AG1044" s="915"/>
      <c r="AH1044" s="915"/>
      <c r="AI1044" s="916"/>
      <c r="AJ1044" s="1339"/>
      <c r="AK1044" s="1340"/>
      <c r="AL1044" s="1340"/>
      <c r="AM1044" s="1340"/>
      <c r="AN1044" s="1340"/>
      <c r="AO1044" s="1340"/>
      <c r="AP1044" s="1340"/>
      <c r="AQ1044" s="1341"/>
      <c r="AR1044" s="68"/>
      <c r="AS1044" s="68"/>
      <c r="AT1044" s="68"/>
      <c r="AU1044" s="68"/>
      <c r="AV1044" s="68"/>
      <c r="AW1044" s="68"/>
      <c r="AX1044" s="68"/>
      <c r="AY1044" s="68"/>
    </row>
    <row r="1045" spans="1:57" ht="12.95" customHeight="1">
      <c r="A1045" s="14"/>
      <c r="B1045" s="73"/>
      <c r="C1045" s="339" t="s">
        <v>687</v>
      </c>
      <c r="D1045" s="1297" t="s">
        <v>1677</v>
      </c>
      <c r="E1045" s="1298"/>
      <c r="F1045" s="1298"/>
      <c r="G1045" s="1298"/>
      <c r="H1045" s="1298"/>
      <c r="I1045" s="1298"/>
      <c r="J1045" s="1298"/>
      <c r="K1045" s="1298"/>
      <c r="L1045" s="1298"/>
      <c r="M1045" s="1298"/>
      <c r="N1045" s="1298"/>
      <c r="O1045" s="1298"/>
      <c r="P1045" s="1298"/>
      <c r="Q1045" s="1298"/>
      <c r="R1045" s="1298"/>
      <c r="S1045" s="1298"/>
      <c r="T1045" s="1298"/>
      <c r="U1045" s="1298"/>
      <c r="V1045" s="1298"/>
      <c r="W1045" s="1298"/>
      <c r="X1045" s="1298"/>
      <c r="Y1045" s="1298"/>
      <c r="Z1045" s="1298"/>
      <c r="AA1045" s="1298"/>
      <c r="AB1045" s="1298"/>
      <c r="AC1045" s="1298"/>
      <c r="AD1045" s="1298"/>
      <c r="AE1045" s="1299"/>
      <c r="AF1045" s="73"/>
      <c r="AG1045" s="1364" t="s">
        <v>545</v>
      </c>
      <c r="AH1045" s="1365"/>
      <c r="AI1045" s="83"/>
      <c r="AJ1045" s="1333">
        <f>ROUND(IF(AND(AG1045="yes",AJ1041=0),(AJ1001*0.1),0),0)</f>
        <v>3195895</v>
      </c>
      <c r="AK1045" s="1334"/>
      <c r="AL1045" s="1334"/>
      <c r="AM1045" s="1334"/>
      <c r="AN1045" s="1334"/>
      <c r="AO1045" s="1334"/>
      <c r="AP1045" s="1334"/>
      <c r="AQ1045" s="1335"/>
      <c r="AR1045" s="68"/>
      <c r="AS1045" s="68"/>
      <c r="AT1045" s="68"/>
      <c r="AU1045" s="68"/>
      <c r="AV1045" s="68"/>
      <c r="AW1045" s="68"/>
      <c r="AX1045" s="68"/>
      <c r="AY1045" s="68"/>
    </row>
    <row r="1046" spans="1:57" ht="12.95" customHeight="1">
      <c r="A1046" s="14"/>
      <c r="B1046" s="73"/>
      <c r="C1046" s="74"/>
      <c r="D1046" s="1384" t="s">
        <v>1678</v>
      </c>
      <c r="E1046" s="1385"/>
      <c r="F1046" s="1385"/>
      <c r="G1046" s="1385"/>
      <c r="H1046" s="1385"/>
      <c r="I1046" s="1385"/>
      <c r="J1046" s="1385"/>
      <c r="K1046" s="1385"/>
      <c r="L1046" s="1385"/>
      <c r="M1046" s="1385"/>
      <c r="N1046" s="1385"/>
      <c r="O1046" s="1385"/>
      <c r="P1046" s="1385"/>
      <c r="Q1046" s="1385"/>
      <c r="R1046" s="1385"/>
      <c r="S1046" s="1385"/>
      <c r="T1046" s="1385"/>
      <c r="U1046" s="1385"/>
      <c r="V1046" s="1385"/>
      <c r="W1046" s="1385"/>
      <c r="X1046" s="1385"/>
      <c r="Y1046" s="1385"/>
      <c r="Z1046" s="1385"/>
      <c r="AA1046" s="1385"/>
      <c r="AB1046" s="1385"/>
      <c r="AC1046" s="1385"/>
      <c r="AD1046" s="1385"/>
      <c r="AE1046" s="1386"/>
      <c r="AF1046" s="73"/>
      <c r="AG1046" s="14"/>
      <c r="AH1046" s="14"/>
      <c r="AI1046" s="83"/>
      <c r="AJ1046" s="1336"/>
      <c r="AK1046" s="1337"/>
      <c r="AL1046" s="1337"/>
      <c r="AM1046" s="1337"/>
      <c r="AN1046" s="1337"/>
      <c r="AO1046" s="1337"/>
      <c r="AP1046" s="1337"/>
      <c r="AQ1046" s="1338"/>
      <c r="AR1046" s="68"/>
      <c r="AS1046" s="68"/>
      <c r="AT1046" s="68"/>
      <c r="AU1046" s="68"/>
      <c r="AV1046" s="68"/>
      <c r="AW1046" s="68"/>
      <c r="AX1046" s="68"/>
      <c r="AY1046" s="68"/>
    </row>
    <row r="1047" spans="1:57" ht="12.95" customHeight="1">
      <c r="A1047" s="14"/>
      <c r="B1047" s="73"/>
      <c r="C1047" s="74"/>
      <c r="D1047" s="1384"/>
      <c r="E1047" s="1385"/>
      <c r="F1047" s="1385"/>
      <c r="G1047" s="1385"/>
      <c r="H1047" s="1385"/>
      <c r="I1047" s="1385"/>
      <c r="J1047" s="1385"/>
      <c r="K1047" s="1385"/>
      <c r="L1047" s="1385"/>
      <c r="M1047" s="1385"/>
      <c r="N1047" s="1385"/>
      <c r="O1047" s="1385"/>
      <c r="P1047" s="1385"/>
      <c r="Q1047" s="1385"/>
      <c r="R1047" s="1385"/>
      <c r="S1047" s="1385"/>
      <c r="T1047" s="1385"/>
      <c r="U1047" s="1385"/>
      <c r="V1047" s="1385"/>
      <c r="W1047" s="1385"/>
      <c r="X1047" s="1385"/>
      <c r="Y1047" s="1385"/>
      <c r="Z1047" s="1385"/>
      <c r="AA1047" s="1385"/>
      <c r="AB1047" s="1385"/>
      <c r="AC1047" s="1385"/>
      <c r="AD1047" s="1385"/>
      <c r="AE1047" s="1386"/>
      <c r="AF1047" s="73"/>
      <c r="AG1047" s="14"/>
      <c r="AH1047" s="14"/>
      <c r="AI1047" s="83"/>
      <c r="AJ1047" s="1336"/>
      <c r="AK1047" s="1337"/>
      <c r="AL1047" s="1337"/>
      <c r="AM1047" s="1337"/>
      <c r="AN1047" s="1337"/>
      <c r="AO1047" s="1337"/>
      <c r="AP1047" s="1337"/>
      <c r="AQ1047" s="1338"/>
      <c r="AR1047" s="68"/>
      <c r="AS1047" s="68"/>
      <c r="AT1047" s="68"/>
      <c r="AU1047" s="68"/>
      <c r="AV1047" s="68"/>
      <c r="AW1047" s="68"/>
      <c r="AX1047" s="68"/>
      <c r="AY1047" s="68"/>
      <c r="BA1047" s="1176">
        <f>IFERROR(('Sources and Uses Budget'!$C$17+'Sources and Uses Budget'!$C$18+'Sources and Uses Budget'!$C$22)/$AG$446,0)</f>
        <v>0</v>
      </c>
      <c r="BB1047" s="1176" t="s">
        <v>2409</v>
      </c>
      <c r="BC1047" s="1176"/>
      <c r="BD1047" s="1176"/>
      <c r="BE1047" s="1176"/>
    </row>
    <row r="1048" spans="1:57" ht="12.95" customHeight="1">
      <c r="A1048" s="14"/>
      <c r="B1048" s="73"/>
      <c r="C1048" s="74"/>
      <c r="D1048" s="1384"/>
      <c r="E1048" s="1385"/>
      <c r="F1048" s="1385"/>
      <c r="G1048" s="1385"/>
      <c r="H1048" s="1385"/>
      <c r="I1048" s="1385"/>
      <c r="J1048" s="1385"/>
      <c r="K1048" s="1385"/>
      <c r="L1048" s="1385"/>
      <c r="M1048" s="1385"/>
      <c r="N1048" s="1385"/>
      <c r="O1048" s="1385"/>
      <c r="P1048" s="1385"/>
      <c r="Q1048" s="1385"/>
      <c r="R1048" s="1385"/>
      <c r="S1048" s="1385"/>
      <c r="T1048" s="1385"/>
      <c r="U1048" s="1385"/>
      <c r="V1048" s="1385"/>
      <c r="W1048" s="1385"/>
      <c r="X1048" s="1385"/>
      <c r="Y1048" s="1385"/>
      <c r="Z1048" s="1385"/>
      <c r="AA1048" s="1385"/>
      <c r="AB1048" s="1385"/>
      <c r="AC1048" s="1385"/>
      <c r="AD1048" s="1385"/>
      <c r="AE1048" s="1386"/>
      <c r="AF1048" s="73"/>
      <c r="AG1048" s="14"/>
      <c r="AH1048" s="14"/>
      <c r="AI1048" s="83"/>
      <c r="AJ1048" s="1336"/>
      <c r="AK1048" s="1337"/>
      <c r="AL1048" s="1337"/>
      <c r="AM1048" s="1337"/>
      <c r="AN1048" s="1337"/>
      <c r="AO1048" s="1337"/>
      <c r="AP1048" s="1337"/>
      <c r="AQ1048" s="1338"/>
      <c r="AR1048" s="68"/>
      <c r="AS1048" s="68"/>
      <c r="AT1048" s="68"/>
      <c r="AU1048" s="68"/>
      <c r="AV1048" s="68"/>
      <c r="AW1048" s="68"/>
      <c r="AX1048" s="68"/>
      <c r="AY1048" s="68"/>
      <c r="BA1048">
        <f>IFERROR((($CI$761+$CM$761)/$AG$449),0)</f>
        <v>0.32758620689655171</v>
      </c>
      <c r="BB1048" s="3" t="s">
        <v>2413</v>
      </c>
    </row>
    <row r="1049" spans="1:57" ht="12.95" customHeight="1">
      <c r="A1049" s="14"/>
      <c r="B1049" s="73"/>
      <c r="C1049" s="74"/>
      <c r="D1049" s="1387"/>
      <c r="E1049" s="1388"/>
      <c r="F1049" s="1388"/>
      <c r="G1049" s="1388"/>
      <c r="H1049" s="1388"/>
      <c r="I1049" s="1388"/>
      <c r="J1049" s="1388"/>
      <c r="K1049" s="1388"/>
      <c r="L1049" s="1388"/>
      <c r="M1049" s="1388"/>
      <c r="N1049" s="1388"/>
      <c r="O1049" s="1388"/>
      <c r="P1049" s="1388"/>
      <c r="Q1049" s="1388"/>
      <c r="R1049" s="1388"/>
      <c r="S1049" s="1388"/>
      <c r="T1049" s="1388"/>
      <c r="U1049" s="1388"/>
      <c r="V1049" s="1388"/>
      <c r="W1049" s="1388"/>
      <c r="X1049" s="1388"/>
      <c r="Y1049" s="1388"/>
      <c r="Z1049" s="1388"/>
      <c r="AA1049" s="1388"/>
      <c r="AB1049" s="1388"/>
      <c r="AC1049" s="1388"/>
      <c r="AD1049" s="1388"/>
      <c r="AE1049" s="1389"/>
      <c r="AF1049" s="73"/>
      <c r="AG1049" s="14"/>
      <c r="AH1049" s="14"/>
      <c r="AI1049" s="83"/>
      <c r="AJ1049" s="1336"/>
      <c r="AK1049" s="1337"/>
      <c r="AL1049" s="1337"/>
      <c r="AM1049" s="1337"/>
      <c r="AN1049" s="1337"/>
      <c r="AO1049" s="1337"/>
      <c r="AP1049" s="1337"/>
      <c r="AQ1049" s="1338"/>
      <c r="AR1049" s="68"/>
      <c r="AS1049" s="68"/>
      <c r="AT1049" s="68"/>
      <c r="AU1049" s="68"/>
      <c r="AV1049" s="68"/>
      <c r="AW1049" s="68"/>
      <c r="AX1049" s="68"/>
      <c r="AY1049" s="68"/>
      <c r="BA1049" t="b">
        <f>'Points System'!AJ163="Yes"</f>
        <v>1</v>
      </c>
      <c r="BB1049" s="3" t="s">
        <v>2410</v>
      </c>
    </row>
    <row r="1050" spans="1:57" ht="12.95" customHeight="1">
      <c r="A1050" s="14"/>
      <c r="B1050" s="79"/>
      <c r="C1050" s="131" t="s">
        <v>1010</v>
      </c>
      <c r="D1050" s="1349" t="s">
        <v>1296</v>
      </c>
      <c r="E1050" s="1350"/>
      <c r="F1050" s="1350"/>
      <c r="G1050" s="1350"/>
      <c r="H1050" s="1350"/>
      <c r="I1050" s="1350"/>
      <c r="J1050" s="1350"/>
      <c r="K1050" s="1350"/>
      <c r="L1050" s="1350"/>
      <c r="M1050" s="1350"/>
      <c r="N1050" s="1350"/>
      <c r="O1050" s="1350"/>
      <c r="P1050" s="1350"/>
      <c r="Q1050" s="1350"/>
      <c r="R1050" s="1350"/>
      <c r="S1050" s="1350"/>
      <c r="T1050" s="1350"/>
      <c r="U1050" s="1350"/>
      <c r="V1050" s="1350"/>
      <c r="W1050" s="1350"/>
      <c r="X1050" s="1350"/>
      <c r="Y1050" s="1350"/>
      <c r="Z1050" s="1350"/>
      <c r="AA1050" s="1350"/>
      <c r="AB1050" s="1350"/>
      <c r="AC1050" s="1350"/>
      <c r="AD1050" s="1350"/>
      <c r="AE1050" s="1351"/>
      <c r="AF1050" s="79"/>
      <c r="AG1050" s="1267" t="s">
        <v>669</v>
      </c>
      <c r="AH1050" s="1268"/>
      <c r="AI1050" s="87"/>
      <c r="AJ1050" s="1333">
        <f>ROUND(IF(AG1050="yes",(AJ1001*0.1),0),0)</f>
        <v>0</v>
      </c>
      <c r="AK1050" s="1334"/>
      <c r="AL1050" s="1334"/>
      <c r="AM1050" s="1334"/>
      <c r="AN1050" s="1334"/>
      <c r="AO1050" s="1334"/>
      <c r="AP1050" s="1334"/>
      <c r="AQ1050" s="1335"/>
      <c r="AR1050" s="68"/>
      <c r="AS1050" s="68"/>
      <c r="AT1050" s="68"/>
      <c r="AU1050" s="68"/>
      <c r="AV1050" s="68"/>
      <c r="AW1050" s="68"/>
      <c r="AX1050" s="68"/>
      <c r="AY1050" s="68"/>
      <c r="BA1050">
        <f>Q212</f>
        <v>0</v>
      </c>
      <c r="BB1050" s="3" t="s">
        <v>2411</v>
      </c>
    </row>
    <row r="1051" spans="1:57" ht="12.95" customHeight="1">
      <c r="A1051" s="14"/>
      <c r="B1051" s="73"/>
      <c r="C1051" s="74"/>
      <c r="D1051" s="1361" t="s">
        <v>2098</v>
      </c>
      <c r="E1051" s="1362"/>
      <c r="F1051" s="1362"/>
      <c r="G1051" s="1362"/>
      <c r="H1051" s="1362"/>
      <c r="I1051" s="1362"/>
      <c r="J1051" s="1362"/>
      <c r="K1051" s="1362"/>
      <c r="L1051" s="1362"/>
      <c r="M1051" s="1362"/>
      <c r="N1051" s="1362"/>
      <c r="O1051" s="1362"/>
      <c r="P1051" s="1362"/>
      <c r="Q1051" s="1362"/>
      <c r="R1051" s="1362"/>
      <c r="S1051" s="1362"/>
      <c r="T1051" s="1362"/>
      <c r="U1051" s="1362"/>
      <c r="V1051" s="1362"/>
      <c r="W1051" s="1362"/>
      <c r="X1051" s="1362"/>
      <c r="Y1051" s="1362"/>
      <c r="Z1051" s="1362"/>
      <c r="AA1051" s="1362"/>
      <c r="AB1051" s="1362"/>
      <c r="AC1051" s="1362"/>
      <c r="AD1051" s="1362"/>
      <c r="AE1051" s="1363"/>
      <c r="AF1051" s="73"/>
      <c r="AG1051" s="14"/>
      <c r="AH1051" s="14"/>
      <c r="AI1051" s="83"/>
      <c r="AJ1051" s="1336"/>
      <c r="AK1051" s="1337"/>
      <c r="AL1051" s="1337"/>
      <c r="AM1051" s="1337"/>
      <c r="AN1051" s="1337"/>
      <c r="AO1051" s="1337"/>
      <c r="AP1051" s="1337"/>
      <c r="AQ1051" s="1338"/>
      <c r="AR1051" s="68"/>
      <c r="AS1051" s="68"/>
      <c r="AT1051" s="68"/>
      <c r="AU1051" s="68"/>
      <c r="AV1051" s="68"/>
      <c r="AW1051" s="68"/>
      <c r="AX1051" s="68"/>
      <c r="AY1051" s="68"/>
      <c r="BA1051" s="1177">
        <f>T212</f>
        <v>0</v>
      </c>
      <c r="BB1051" s="3" t="s">
        <v>2412</v>
      </c>
    </row>
    <row r="1052" spans="1:57" ht="12.95" customHeight="1">
      <c r="A1052" s="14"/>
      <c r="B1052" s="73"/>
      <c r="C1052" s="74"/>
      <c r="D1052" s="1361"/>
      <c r="E1052" s="1362"/>
      <c r="F1052" s="1362"/>
      <c r="G1052" s="1362"/>
      <c r="H1052" s="1362"/>
      <c r="I1052" s="1362"/>
      <c r="J1052" s="1362"/>
      <c r="K1052" s="1362"/>
      <c r="L1052" s="1362"/>
      <c r="M1052" s="1362"/>
      <c r="N1052" s="1362"/>
      <c r="O1052" s="1362"/>
      <c r="P1052" s="1362"/>
      <c r="Q1052" s="1362"/>
      <c r="R1052" s="1362"/>
      <c r="S1052" s="1362"/>
      <c r="T1052" s="1362"/>
      <c r="U1052" s="1362"/>
      <c r="V1052" s="1362"/>
      <c r="W1052" s="1362"/>
      <c r="X1052" s="1362"/>
      <c r="Y1052" s="1362"/>
      <c r="Z1052" s="1362"/>
      <c r="AA1052" s="1362"/>
      <c r="AB1052" s="1362"/>
      <c r="AC1052" s="1362"/>
      <c r="AD1052" s="1362"/>
      <c r="AE1052" s="1363"/>
      <c r="AF1052" s="73"/>
      <c r="AG1052" s="14"/>
      <c r="AH1052" s="14"/>
      <c r="AI1052" s="83"/>
      <c r="AJ1052" s="1336"/>
      <c r="AK1052" s="1337"/>
      <c r="AL1052" s="1337"/>
      <c r="AM1052" s="1337"/>
      <c r="AN1052" s="1337"/>
      <c r="AO1052" s="1337"/>
      <c r="AP1052" s="1337"/>
      <c r="AQ1052" s="1338"/>
      <c r="AR1052" s="68"/>
      <c r="AS1052" s="68"/>
      <c r="AT1052" s="68"/>
      <c r="AU1052" s="68"/>
      <c r="AV1052" s="68"/>
      <c r="AW1052" s="68"/>
      <c r="AX1052" s="68"/>
      <c r="AY1052" s="68"/>
    </row>
    <row r="1053" spans="1:57" ht="12.95" customHeight="1">
      <c r="A1053" s="14"/>
      <c r="B1053" s="73"/>
      <c r="C1053" s="74"/>
      <c r="D1053" s="1366"/>
      <c r="E1053" s="1367"/>
      <c r="F1053" s="1367"/>
      <c r="G1053" s="1367"/>
      <c r="H1053" s="1367"/>
      <c r="I1053" s="1367"/>
      <c r="J1053" s="1367"/>
      <c r="K1053" s="1367"/>
      <c r="L1053" s="1367"/>
      <c r="M1053" s="1367"/>
      <c r="N1053" s="1367"/>
      <c r="O1053" s="1367"/>
      <c r="P1053" s="1367"/>
      <c r="Q1053" s="1367"/>
      <c r="R1053" s="1367"/>
      <c r="S1053" s="1367"/>
      <c r="T1053" s="1367"/>
      <c r="U1053" s="1367"/>
      <c r="V1053" s="1367"/>
      <c r="W1053" s="1367"/>
      <c r="X1053" s="1367"/>
      <c r="Y1053" s="1367"/>
      <c r="Z1053" s="1367"/>
      <c r="AA1053" s="1367"/>
      <c r="AB1053" s="1367"/>
      <c r="AC1053" s="1367"/>
      <c r="AD1053" s="1367"/>
      <c r="AE1053" s="1368"/>
      <c r="AF1053" s="73"/>
      <c r="AG1053" s="14"/>
      <c r="AH1053" s="14"/>
      <c r="AI1053" s="83"/>
      <c r="AJ1053" s="1339"/>
      <c r="AK1053" s="1340"/>
      <c r="AL1053" s="1340"/>
      <c r="AM1053" s="1340"/>
      <c r="AN1053" s="1340"/>
      <c r="AO1053" s="1340"/>
      <c r="AP1053" s="1340"/>
      <c r="AQ1053" s="1341"/>
      <c r="AR1053" s="68"/>
      <c r="AS1053" s="68"/>
      <c r="AT1053" s="68"/>
      <c r="AU1053" s="68"/>
      <c r="AV1053" s="68"/>
      <c r="AW1053" s="68"/>
      <c r="AX1053" s="68"/>
      <c r="AY1053" s="68"/>
    </row>
    <row r="1054" spans="1:57" ht="12.95" customHeight="1">
      <c r="A1054" s="14"/>
      <c r="B1054" s="79"/>
      <c r="C1054" s="131" t="s">
        <v>1673</v>
      </c>
      <c r="D1054" s="1297" t="s">
        <v>1838</v>
      </c>
      <c r="E1054" s="1298"/>
      <c r="F1054" s="1298"/>
      <c r="G1054" s="1298"/>
      <c r="H1054" s="1298"/>
      <c r="I1054" s="1298"/>
      <c r="J1054" s="1298"/>
      <c r="K1054" s="1298"/>
      <c r="L1054" s="1298"/>
      <c r="M1054" s="1298"/>
      <c r="N1054" s="1298"/>
      <c r="O1054" s="1298"/>
      <c r="P1054" s="1298"/>
      <c r="Q1054" s="1298"/>
      <c r="R1054" s="1298"/>
      <c r="S1054" s="1298"/>
      <c r="T1054" s="1298"/>
      <c r="U1054" s="1298"/>
      <c r="V1054" s="1298"/>
      <c r="W1054" s="1298"/>
      <c r="X1054" s="1298"/>
      <c r="Y1054" s="1298"/>
      <c r="Z1054" s="1298"/>
      <c r="AA1054" s="1298"/>
      <c r="AB1054" s="1298"/>
      <c r="AC1054" s="1298"/>
      <c r="AD1054" s="1298"/>
      <c r="AE1054" s="1299"/>
      <c r="AF1054" s="79"/>
      <c r="AG1054" s="1539" t="str">
        <f>IF(X1057&gt;0,"Yes","No")</f>
        <v>Yes</v>
      </c>
      <c r="AH1054" s="1540"/>
      <c r="AI1054" s="87"/>
      <c r="AJ1054" s="1333">
        <f>IF((X1057=0),0,AY1014*AJ1001)</f>
        <v>4793842.05</v>
      </c>
      <c r="AK1054" s="1334"/>
      <c r="AL1054" s="1334"/>
      <c r="AM1054" s="1334"/>
      <c r="AN1054" s="1334"/>
      <c r="AO1054" s="1334"/>
      <c r="AP1054" s="1334"/>
      <c r="AQ1054" s="1335"/>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2398</v>
      </c>
      <c r="BB1054" s="3"/>
      <c r="BC1054" s="3"/>
      <c r="BD1054" s="3"/>
    </row>
    <row r="1055" spans="1:57" ht="12.95" customHeight="1">
      <c r="A1055" s="14"/>
      <c r="B1055" s="73"/>
      <c r="C1055" s="442"/>
      <c r="D1055" s="1361" t="s">
        <v>1298</v>
      </c>
      <c r="E1055" s="1362"/>
      <c r="F1055" s="1362"/>
      <c r="G1055" s="1362"/>
      <c r="H1055" s="1362"/>
      <c r="I1055" s="1362"/>
      <c r="J1055" s="1362"/>
      <c r="K1055" s="1362"/>
      <c r="L1055" s="1362"/>
      <c r="M1055" s="1362"/>
      <c r="N1055" s="1362"/>
      <c r="O1055" s="1362"/>
      <c r="P1055" s="1362"/>
      <c r="Q1055" s="1362"/>
      <c r="R1055" s="1362"/>
      <c r="S1055" s="1362"/>
      <c r="T1055" s="1362"/>
      <c r="U1055" s="1362"/>
      <c r="V1055" s="1362"/>
      <c r="W1055" s="1362"/>
      <c r="X1055" s="1362"/>
      <c r="Y1055" s="1362"/>
      <c r="Z1055" s="1362"/>
      <c r="AA1055" s="1362"/>
      <c r="AB1055" s="1362"/>
      <c r="AC1055" s="1362"/>
      <c r="AD1055" s="1362"/>
      <c r="AE1055" s="1363"/>
      <c r="AF1055" s="73"/>
      <c r="AG1055" s="443"/>
      <c r="AH1055" s="443"/>
      <c r="AI1055" s="83"/>
      <c r="AJ1055" s="1336"/>
      <c r="AK1055" s="1337"/>
      <c r="AL1055" s="1337"/>
      <c r="AM1055" s="1337"/>
      <c r="AN1055" s="1337"/>
      <c r="AO1055" s="1337"/>
      <c r="AP1055" s="1337"/>
      <c r="AQ1055" s="1338"/>
      <c r="AR1055" s="68"/>
      <c r="AS1055" s="68"/>
      <c r="AT1055" s="68"/>
      <c r="AU1055" s="13"/>
      <c r="AV1055" s="68"/>
      <c r="AW1055" s="68"/>
      <c r="AX1055" s="68"/>
      <c r="AY1055" s="68"/>
      <c r="AZ1055" s="958">
        <f>'Sources and Uses Budget'!S97*BA1055</f>
        <v>3394879.8000000003</v>
      </c>
      <c r="BA1055" s="1175">
        <f>IF(BA1049,20%,15%)</f>
        <v>0.2</v>
      </c>
      <c r="BB1055" s="3" t="s">
        <v>2399</v>
      </c>
      <c r="BC1055" s="3" t="s">
        <v>2400</v>
      </c>
      <c r="BD1055" s="3"/>
    </row>
    <row r="1056" spans="1:57" ht="12.95" customHeight="1">
      <c r="A1056" s="14"/>
      <c r="B1056" s="73"/>
      <c r="C1056" s="442"/>
      <c r="D1056" s="1361"/>
      <c r="E1056" s="1362"/>
      <c r="F1056" s="1362"/>
      <c r="G1056" s="1362"/>
      <c r="H1056" s="1362"/>
      <c r="I1056" s="1362"/>
      <c r="J1056" s="1362"/>
      <c r="K1056" s="1362"/>
      <c r="L1056" s="1362"/>
      <c r="M1056" s="1362"/>
      <c r="N1056" s="1362"/>
      <c r="O1056" s="1362"/>
      <c r="P1056" s="1362"/>
      <c r="Q1056" s="1362"/>
      <c r="R1056" s="1362"/>
      <c r="S1056" s="1362"/>
      <c r="T1056" s="1362"/>
      <c r="U1056" s="1362"/>
      <c r="V1056" s="1362"/>
      <c r="W1056" s="1362"/>
      <c r="X1056" s="1362"/>
      <c r="Y1056" s="1362"/>
      <c r="Z1056" s="1362"/>
      <c r="AA1056" s="1362"/>
      <c r="AB1056" s="1362"/>
      <c r="AC1056" s="1362"/>
      <c r="AD1056" s="1362"/>
      <c r="AE1056" s="1363"/>
      <c r="AF1056" s="73"/>
      <c r="AG1056" s="443"/>
      <c r="AH1056" s="443"/>
      <c r="AI1056" s="83"/>
      <c r="AJ1056" s="1336"/>
      <c r="AK1056" s="1337"/>
      <c r="AL1056" s="1337"/>
      <c r="AM1056" s="1337"/>
      <c r="AN1056" s="1337"/>
      <c r="AO1056" s="1337"/>
      <c r="AP1056" s="1337"/>
      <c r="AQ1056" s="1338"/>
      <c r="AR1056" s="68"/>
      <c r="AS1056" s="68"/>
      <c r="AT1056" s="68"/>
      <c r="AU1056" s="13"/>
      <c r="AV1056" s="68"/>
      <c r="AW1056" s="68"/>
      <c r="AX1056" s="68"/>
      <c r="AY1056" s="68"/>
      <c r="AZ1056" s="958">
        <f>IF(M365="N/A",0,'Sources and Uses Budget'!T97*BA1056)</f>
        <v>0</v>
      </c>
      <c r="BA1056" s="1175">
        <v>0.15</v>
      </c>
      <c r="BB1056" s="3" t="s">
        <v>2399</v>
      </c>
      <c r="BC1056" s="3" t="s">
        <v>2401</v>
      </c>
      <c r="BD1056" s="3"/>
    </row>
    <row r="1057" spans="1:56" ht="12.95" customHeight="1">
      <c r="A1057" s="14"/>
      <c r="B1057" s="77"/>
      <c r="C1057" s="78"/>
      <c r="D1057" s="132" t="s">
        <v>972</v>
      </c>
      <c r="E1057" s="133"/>
      <c r="F1057" s="133"/>
      <c r="G1057" s="133"/>
      <c r="H1057" s="133"/>
      <c r="I1057" s="1555">
        <f>AY1012</f>
        <v>58</v>
      </c>
      <c r="J1057" s="1556"/>
      <c r="K1057" s="7"/>
      <c r="L1057" s="133"/>
      <c r="M1057" s="133"/>
      <c r="N1057" s="133"/>
      <c r="O1057" s="133"/>
      <c r="P1057" s="133"/>
      <c r="Q1057" s="133"/>
      <c r="R1057" s="133"/>
      <c r="S1057" s="133"/>
      <c r="T1057" s="133"/>
      <c r="U1057" s="133"/>
      <c r="V1057" s="134" t="s">
        <v>973</v>
      </c>
      <c r="W1057" s="48"/>
      <c r="X1057" s="1553">
        <f>CI761</f>
        <v>9</v>
      </c>
      <c r="Y1057" s="1554"/>
      <c r="Z1057" s="48"/>
      <c r="AA1057" s="48"/>
      <c r="AB1057" s="48"/>
      <c r="AC1057" s="48"/>
      <c r="AD1057" s="48"/>
      <c r="AE1057" s="49"/>
      <c r="AF1057" s="920"/>
      <c r="AG1057" s="921"/>
      <c r="AH1057" s="921"/>
      <c r="AI1057" s="922"/>
      <c r="AJ1057" s="1339"/>
      <c r="AK1057" s="1340"/>
      <c r="AL1057" s="1340"/>
      <c r="AM1057" s="1340"/>
      <c r="AN1057" s="1340"/>
      <c r="AO1057" s="1340"/>
      <c r="AP1057" s="1340"/>
      <c r="AQ1057" s="1341"/>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2399</v>
      </c>
      <c r="BC1057" s="3" t="s">
        <v>2402</v>
      </c>
      <c r="BD1057" s="3"/>
    </row>
    <row r="1058" spans="1:56" ht="12.95" customHeight="1">
      <c r="A1058" s="14"/>
      <c r="B1058" s="79"/>
      <c r="C1058" s="131" t="s">
        <v>1674</v>
      </c>
      <c r="D1058" s="1349" t="s">
        <v>2124</v>
      </c>
      <c r="E1058" s="1350"/>
      <c r="F1058" s="1350"/>
      <c r="G1058" s="1350"/>
      <c r="H1058" s="1350"/>
      <c r="I1058" s="1350"/>
      <c r="J1058" s="1350"/>
      <c r="K1058" s="1350"/>
      <c r="L1058" s="1350"/>
      <c r="M1058" s="1350"/>
      <c r="N1058" s="1350"/>
      <c r="O1058" s="1350"/>
      <c r="P1058" s="1350"/>
      <c r="Q1058" s="1350"/>
      <c r="R1058" s="1350"/>
      <c r="S1058" s="1350"/>
      <c r="T1058" s="1350"/>
      <c r="U1058" s="1350"/>
      <c r="V1058" s="1350"/>
      <c r="W1058" s="1350"/>
      <c r="X1058" s="1350"/>
      <c r="Y1058" s="1350"/>
      <c r="Z1058" s="1350"/>
      <c r="AA1058" s="1350"/>
      <c r="AB1058" s="1350"/>
      <c r="AC1058" s="1350"/>
      <c r="AD1058" s="1350"/>
      <c r="AE1058" s="1351"/>
      <c r="AF1058" s="73"/>
      <c r="AG1058" s="1539" t="str">
        <f>IF(X1061&gt;0,"Yes","No")</f>
        <v>Yes</v>
      </c>
      <c r="AH1058" s="1540"/>
      <c r="AI1058" s="83"/>
      <c r="AJ1058" s="1333">
        <f>IF((X1061=0),0,(2*AY1015)*AJ1001)</f>
        <v>10866041.98</v>
      </c>
      <c r="AK1058" s="1334"/>
      <c r="AL1058" s="1334"/>
      <c r="AM1058" s="1334"/>
      <c r="AN1058" s="1334"/>
      <c r="AO1058" s="1334"/>
      <c r="AP1058" s="1334"/>
      <c r="AQ1058" s="1335"/>
      <c r="AR1058" s="68"/>
      <c r="AS1058" s="68"/>
      <c r="AT1058" s="68"/>
      <c r="AU1058" s="14"/>
      <c r="AV1058" s="68"/>
      <c r="AW1058" s="68"/>
      <c r="AX1058" s="68"/>
      <c r="AY1058" s="68"/>
      <c r="AZ1058" s="958">
        <f>AZ1054*BA1058</f>
        <v>0</v>
      </c>
      <c r="BA1058" s="1175">
        <v>0.15</v>
      </c>
      <c r="BB1058" s="3" t="s">
        <v>2399</v>
      </c>
      <c r="BC1058" s="3" t="s">
        <v>2403</v>
      </c>
      <c r="BD1058" s="3"/>
    </row>
    <row r="1059" spans="1:56" ht="12.95" customHeight="1">
      <c r="A1059" s="14"/>
      <c r="B1059" s="73"/>
      <c r="C1059" s="442"/>
      <c r="D1059" s="1361" t="s">
        <v>1297</v>
      </c>
      <c r="E1059" s="1362"/>
      <c r="F1059" s="1362"/>
      <c r="G1059" s="1362"/>
      <c r="H1059" s="1362"/>
      <c r="I1059" s="1362"/>
      <c r="J1059" s="1362"/>
      <c r="K1059" s="1362"/>
      <c r="L1059" s="1362"/>
      <c r="M1059" s="1362"/>
      <c r="N1059" s="1362"/>
      <c r="O1059" s="1362"/>
      <c r="P1059" s="1362"/>
      <c r="Q1059" s="1362"/>
      <c r="R1059" s="1362"/>
      <c r="S1059" s="1362"/>
      <c r="T1059" s="1362"/>
      <c r="U1059" s="1362"/>
      <c r="V1059" s="1362"/>
      <c r="W1059" s="1362"/>
      <c r="X1059" s="1362"/>
      <c r="Y1059" s="1362"/>
      <c r="Z1059" s="1362"/>
      <c r="AA1059" s="1362"/>
      <c r="AB1059" s="1362"/>
      <c r="AC1059" s="1362"/>
      <c r="AD1059" s="1362"/>
      <c r="AE1059" s="1363"/>
      <c r="AF1059" s="73"/>
      <c r="AG1059" s="443"/>
      <c r="AH1059" s="443"/>
      <c r="AI1059" s="83"/>
      <c r="AJ1059" s="1336"/>
      <c r="AK1059" s="1337"/>
      <c r="AL1059" s="1337"/>
      <c r="AM1059" s="1337"/>
      <c r="AN1059" s="1337"/>
      <c r="AO1059" s="1337"/>
      <c r="AP1059" s="1337"/>
      <c r="AQ1059" s="1338"/>
      <c r="AR1059" s="68"/>
      <c r="AS1059" s="68"/>
      <c r="AT1059" s="68"/>
      <c r="AU1059" s="68"/>
      <c r="AV1059" s="68"/>
      <c r="AW1059" s="68"/>
      <c r="AX1059" s="68"/>
      <c r="AY1059" s="68"/>
      <c r="AZ1059" s="958"/>
      <c r="BA1059" s="3"/>
      <c r="BB1059" s="3"/>
      <c r="BC1059" s="3"/>
      <c r="BD1059" s="3"/>
    </row>
    <row r="1060" spans="1:56" ht="12.95" customHeight="1">
      <c r="A1060" s="14"/>
      <c r="B1060" s="73"/>
      <c r="C1060" s="83"/>
      <c r="D1060" s="1361"/>
      <c r="E1060" s="1362"/>
      <c r="F1060" s="1362"/>
      <c r="G1060" s="1362"/>
      <c r="H1060" s="1362"/>
      <c r="I1060" s="1362"/>
      <c r="J1060" s="1362"/>
      <c r="K1060" s="1362"/>
      <c r="L1060" s="1362"/>
      <c r="M1060" s="1362"/>
      <c r="N1060" s="1362"/>
      <c r="O1060" s="1362"/>
      <c r="P1060" s="1362"/>
      <c r="Q1060" s="1362"/>
      <c r="R1060" s="1362"/>
      <c r="S1060" s="1362"/>
      <c r="T1060" s="1362"/>
      <c r="U1060" s="1362"/>
      <c r="V1060" s="1362"/>
      <c r="W1060" s="1362"/>
      <c r="X1060" s="1362"/>
      <c r="Y1060" s="1362"/>
      <c r="Z1060" s="1362"/>
      <c r="AA1060" s="1362"/>
      <c r="AB1060" s="1362"/>
      <c r="AC1060" s="1362"/>
      <c r="AD1060" s="1362"/>
      <c r="AE1060" s="1363"/>
      <c r="AF1060" s="917"/>
      <c r="AG1060" s="918"/>
      <c r="AH1060" s="918"/>
      <c r="AI1060" s="919"/>
      <c r="AJ1060" s="1336"/>
      <c r="AK1060" s="1337"/>
      <c r="AL1060" s="1337"/>
      <c r="AM1060" s="1337"/>
      <c r="AN1060" s="1337"/>
      <c r="AO1060" s="1337"/>
      <c r="AP1060" s="1337"/>
      <c r="AQ1060" s="1338"/>
      <c r="AR1060" s="68"/>
      <c r="AS1060" s="68"/>
      <c r="AT1060" s="68"/>
      <c r="AU1060" s="68"/>
      <c r="AV1060" s="68"/>
      <c r="AW1060" s="68"/>
      <c r="AX1060" s="68"/>
      <c r="AY1060" s="68"/>
      <c r="AZ1060" s="958">
        <f>ROUNDDOWN(MIN(SUM(AZ1055,AZ1056,AZ1057,AZ1058),BD1060),0)</f>
        <v>3000000</v>
      </c>
      <c r="BA1060" s="3" t="s">
        <v>2404</v>
      </c>
      <c r="BB1060" s="3"/>
      <c r="BC1060" s="3"/>
      <c r="BD1060" s="3" cm="1">
        <f t="array" ref="BD1060">_xlfn.IFS(BA1049,3000000,AND(BA1050&gt;=25%,BA1051&gt;=15),2800000,TRUE,2500000)</f>
        <v>3000000</v>
      </c>
    </row>
    <row r="1061" spans="1:56" ht="12.95" customHeight="1">
      <c r="A1061" s="14"/>
      <c r="B1061" s="77"/>
      <c r="C1061" s="78"/>
      <c r="D1061" s="132" t="s">
        <v>972</v>
      </c>
      <c r="E1061" s="133"/>
      <c r="F1061" s="133"/>
      <c r="G1061" s="133"/>
      <c r="H1061" s="133"/>
      <c r="I1061" s="1555">
        <f>AY1012</f>
        <v>58</v>
      </c>
      <c r="J1061" s="1556"/>
      <c r="K1061" s="14"/>
      <c r="L1061" s="133"/>
      <c r="M1061" s="133"/>
      <c r="N1061" s="133"/>
      <c r="O1061" s="133"/>
      <c r="P1061" s="133"/>
      <c r="Q1061" s="133"/>
      <c r="R1061" s="133"/>
      <c r="S1061" s="133"/>
      <c r="T1061" s="133"/>
      <c r="U1061" s="133"/>
      <c r="V1061" s="134" t="s">
        <v>974</v>
      </c>
      <c r="X1061" s="1553">
        <f>CM761</f>
        <v>10</v>
      </c>
      <c r="Y1061" s="1554"/>
      <c r="AF1061" s="920"/>
      <c r="AG1061" s="921"/>
      <c r="AH1061" s="921"/>
      <c r="AI1061" s="922"/>
      <c r="AJ1061" s="1339"/>
      <c r="AK1061" s="1340"/>
      <c r="AL1061" s="1340"/>
      <c r="AM1061" s="1340"/>
      <c r="AN1061" s="1340"/>
      <c r="AO1061" s="1340"/>
      <c r="AP1061" s="1340"/>
      <c r="AQ1061" s="1341"/>
      <c r="AR1061" s="68"/>
      <c r="AS1061" s="68"/>
      <c r="AT1061" s="68"/>
      <c r="AU1061" s="68"/>
      <c r="AV1061" s="68"/>
      <c r="AW1061" s="68"/>
      <c r="AX1061" s="68"/>
      <c r="AY1061" s="68"/>
      <c r="AZ1061" s="958">
        <f>ROUNDDOWN(MAX(0,BA1061*(SUM(AG1102,AL1102,AZ1054)-BD1061))+BF1061,0)</f>
        <v>0</v>
      </c>
      <c r="BA1061" s="1175">
        <f>IF(L1051,7%,5%)</f>
        <v>0.05</v>
      </c>
      <c r="BB1061" s="3" t="s">
        <v>2405</v>
      </c>
      <c r="BC1061" s="3"/>
      <c r="BD1061" s="3">
        <v>6666667</v>
      </c>
    </row>
    <row r="1062" spans="1:56" ht="12.95" customHeight="1">
      <c r="A1062" s="14"/>
      <c r="B1062" s="102"/>
      <c r="C1062" s="103"/>
      <c r="D1062" s="1551" t="s">
        <v>513</v>
      </c>
      <c r="E1062" s="1551"/>
      <c r="F1062" s="1551"/>
      <c r="G1062" s="1551"/>
      <c r="H1062" s="1551"/>
      <c r="I1062" s="1551"/>
      <c r="J1062" s="1551"/>
      <c r="K1062" s="1551"/>
      <c r="L1062" s="1551"/>
      <c r="M1062" s="1551"/>
      <c r="N1062" s="1551"/>
      <c r="O1062" s="1551"/>
      <c r="P1062" s="1551"/>
      <c r="Q1062" s="1551"/>
      <c r="R1062" s="1551"/>
      <c r="S1062" s="1551"/>
      <c r="T1062" s="1551"/>
      <c r="U1062" s="1551"/>
      <c r="V1062" s="1551"/>
      <c r="W1062" s="1551"/>
      <c r="X1062" s="1551"/>
      <c r="Y1062" s="1551"/>
      <c r="Z1062" s="1551"/>
      <c r="AA1062" s="1551"/>
      <c r="AB1062" s="1551"/>
      <c r="AC1062" s="1551"/>
      <c r="AD1062" s="1551"/>
      <c r="AE1062" s="1551"/>
      <c r="AF1062" s="1551"/>
      <c r="AG1062" s="1551"/>
      <c r="AH1062" s="1551"/>
      <c r="AI1062" s="1552"/>
      <c r="AJ1062" s="1563">
        <f>SUM(AJ1001:AQ1061)</f>
        <v>50814726.030000001</v>
      </c>
      <c r="AK1062" s="1564"/>
      <c r="AL1062" s="1564"/>
      <c r="AM1062" s="1564"/>
      <c r="AN1062" s="1564"/>
      <c r="AO1062" s="1564"/>
      <c r="AP1062" s="1564"/>
      <c r="AQ1062" s="1565"/>
      <c r="AR1062" s="68"/>
      <c r="AS1062" s="68"/>
      <c r="AT1062" s="68"/>
      <c r="AU1062" s="68"/>
      <c r="AV1062" s="68"/>
      <c r="AW1062" s="68"/>
      <c r="AX1062" s="68"/>
      <c r="AY1062" s="68"/>
      <c r="AZ1062" s="1174">
        <v>6000000</v>
      </c>
      <c r="BA1062" s="3" t="s">
        <v>2406</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3000000</v>
      </c>
      <c r="BB1064" s="3" t="s">
        <v>2407</v>
      </c>
      <c r="BC1064" s="3"/>
      <c r="BD1064" s="3"/>
    </row>
    <row r="1065" spans="1:56" ht="12.95" customHeight="1">
      <c r="A1065" s="14"/>
      <c r="B1065" s="68"/>
      <c r="C1065" s="68"/>
      <c r="D1065" s="68"/>
      <c r="E1065" s="68"/>
      <c r="F1065" s="68"/>
      <c r="G1065" s="1169" t="s">
        <v>2392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788">
        <f>'Sources and Uses Budget'!S107+'Sources and Uses Budget'!T107</f>
        <v>19520558</v>
      </c>
      <c r="AB1065" s="1788"/>
      <c r="AC1065" s="1788"/>
      <c r="AD1065" s="1788"/>
      <c r="AE1065" s="1788"/>
      <c r="AF1065" s="178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3394879.8000000003</v>
      </c>
      <c r="BB1065" s="3" t="s">
        <v>2408</v>
      </c>
      <c r="BC1065" s="3"/>
      <c r="BD1065" s="3"/>
    </row>
    <row r="1066" spans="1:56" ht="12.95" customHeight="1">
      <c r="A1066" s="14"/>
      <c r="B1066" s="68"/>
      <c r="C1066" s="68"/>
      <c r="D1066" s="68"/>
      <c r="E1066" s="68"/>
      <c r="F1066" s="68"/>
      <c r="G1066" s="1169"/>
      <c r="H1066" s="1169" t="s">
        <v>2393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789">
        <f>IFERROR((AA1065-BA1068)/(AJ1062-AJ1054-AJ1058),"")</f>
        <v>0.55527366614249041</v>
      </c>
      <c r="AB1066" s="1790"/>
      <c r="AC1066" s="1790"/>
      <c r="AD1066" s="1790"/>
      <c r="AE1066" s="1790"/>
      <c r="AF1066" s="179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79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2"/>
      <c r="I1067" s="1792"/>
      <c r="J1067" s="1792"/>
      <c r="K1067" s="1792"/>
      <c r="L1067" s="1792"/>
      <c r="M1067" s="1792"/>
      <c r="N1067" s="1792"/>
      <c r="O1067" s="1792"/>
      <c r="P1067" s="1792"/>
      <c r="Q1067" s="1792"/>
      <c r="R1067" s="1792"/>
      <c r="S1067" s="1792"/>
      <c r="T1067" s="1792"/>
      <c r="U1067" s="1792"/>
      <c r="V1067" s="1792"/>
      <c r="W1067" s="1792"/>
      <c r="X1067" s="1792"/>
      <c r="Y1067" s="1792"/>
      <c r="Z1067" s="1792"/>
      <c r="AA1067" s="1792"/>
      <c r="AB1067" s="1792"/>
      <c r="AC1067" s="1792"/>
      <c r="AD1067" s="1792"/>
      <c r="AE1067" s="1792"/>
      <c r="AF1067" s="1792"/>
      <c r="AG1067" s="1792"/>
      <c r="AH1067" s="1792"/>
      <c r="AI1067" s="1792"/>
      <c r="AJ1067" s="1792"/>
      <c r="AK1067" s="1792"/>
      <c r="AL1067" s="1792"/>
      <c r="AM1067" s="1792"/>
      <c r="AN1067" s="1792"/>
      <c r="AO1067" s="68"/>
      <c r="AP1067" s="68"/>
      <c r="AQ1067" s="68"/>
      <c r="AR1067" s="68"/>
      <c r="AS1067" s="68"/>
      <c r="AT1067" s="68"/>
      <c r="AU1067" s="68"/>
      <c r="AV1067" s="14"/>
      <c r="AW1067" s="14"/>
      <c r="AX1067" s="14"/>
      <c r="AY1067" s="14"/>
      <c r="BA1067" s="1178">
        <f>'Sources and Uses Budget'!$S$104+'Sources and Uses Budget'!$T$104</f>
        <v>2546159</v>
      </c>
      <c r="BB1067" s="3" t="s">
        <v>2414</v>
      </c>
    </row>
    <row r="1068" spans="1:56" ht="12.95" customHeight="1">
      <c r="A1068" s="14"/>
      <c r="B1068" s="14"/>
      <c r="C1068" s="208"/>
      <c r="D1068" s="854"/>
      <c r="E1068" s="854"/>
      <c r="F1068" s="854"/>
      <c r="G1068" s="1792"/>
      <c r="H1068" s="1792"/>
      <c r="I1068" s="1792"/>
      <c r="J1068" s="1792"/>
      <c r="K1068" s="1792"/>
      <c r="L1068" s="1792"/>
      <c r="M1068" s="1792"/>
      <c r="N1068" s="1792"/>
      <c r="O1068" s="1792"/>
      <c r="P1068" s="1792"/>
      <c r="Q1068" s="1792"/>
      <c r="R1068" s="1792"/>
      <c r="S1068" s="1792"/>
      <c r="T1068" s="1792"/>
      <c r="U1068" s="1792"/>
      <c r="V1068" s="1792"/>
      <c r="W1068" s="1792"/>
      <c r="X1068" s="1792"/>
      <c r="Y1068" s="1792"/>
      <c r="Z1068" s="1792"/>
      <c r="AA1068" s="1792"/>
      <c r="AB1068" s="1792"/>
      <c r="AC1068" s="1792"/>
      <c r="AD1068" s="1792"/>
      <c r="AE1068" s="1792"/>
      <c r="AF1068" s="1792"/>
      <c r="AG1068" s="1792"/>
      <c r="AH1068" s="1792"/>
      <c r="AI1068" s="1792"/>
      <c r="AJ1068" s="1792"/>
      <c r="AK1068" s="1792"/>
      <c r="AL1068" s="1792"/>
      <c r="AM1068" s="1792"/>
      <c r="AN1068" s="1792"/>
      <c r="AO1068" s="68"/>
      <c r="AP1068" s="68"/>
      <c r="AQ1068" s="68"/>
      <c r="AR1068" s="68"/>
      <c r="AS1068" s="68"/>
      <c r="AT1068" s="68"/>
      <c r="AU1068" s="68"/>
      <c r="AV1068" s="14"/>
      <c r="AW1068" s="14"/>
      <c r="AX1068" s="14"/>
      <c r="AY1068" s="14"/>
      <c r="BA1068" s="1179">
        <f>MAX($BA$1067-$BA$1064,0)</f>
        <v>0</v>
      </c>
      <c r="BB1068" s="3" t="s">
        <v>2415</v>
      </c>
    </row>
    <row r="1069" spans="1:56" ht="12.95" customHeight="1">
      <c r="A1069" s="88"/>
      <c r="B1069" s="1165"/>
      <c r="C1069" s="1165"/>
      <c r="D1069" s="1165"/>
      <c r="E1069" s="1165"/>
      <c r="F1069" s="1165"/>
      <c r="G1069" s="1792"/>
      <c r="H1069" s="1792"/>
      <c r="I1069" s="1792"/>
      <c r="J1069" s="1792"/>
      <c r="K1069" s="1792"/>
      <c r="L1069" s="1792"/>
      <c r="M1069" s="1792"/>
      <c r="N1069" s="1792"/>
      <c r="O1069" s="1792"/>
      <c r="P1069" s="1792"/>
      <c r="Q1069" s="1792"/>
      <c r="R1069" s="1792"/>
      <c r="S1069" s="1792"/>
      <c r="T1069" s="1792"/>
      <c r="U1069" s="1792"/>
      <c r="V1069" s="1792"/>
      <c r="W1069" s="1792"/>
      <c r="X1069" s="1792"/>
      <c r="Y1069" s="1792"/>
      <c r="Z1069" s="1792"/>
      <c r="AA1069" s="1792"/>
      <c r="AB1069" s="1792"/>
      <c r="AC1069" s="1792"/>
      <c r="AD1069" s="1792"/>
      <c r="AE1069" s="1792"/>
      <c r="AF1069" s="1792"/>
      <c r="AG1069" s="1792"/>
      <c r="AH1069" s="1792"/>
      <c r="AI1069" s="1792"/>
      <c r="AJ1069" s="1792"/>
      <c r="AK1069" s="1792"/>
      <c r="AL1069" s="1792"/>
      <c r="AM1069" s="1792"/>
      <c r="AN1069" s="1792"/>
      <c r="AO1069" s="1165"/>
      <c r="AP1069" s="1165"/>
      <c r="AQ1069" s="68"/>
      <c r="AR1069" s="68"/>
      <c r="AS1069" s="68"/>
      <c r="AT1069" s="68"/>
      <c r="AU1069" s="68"/>
      <c r="AV1069" s="68"/>
      <c r="AW1069" s="68"/>
      <c r="AX1069" s="68"/>
      <c r="AY1069" s="68"/>
    </row>
    <row r="1070" spans="1:56" ht="12.95" customHeight="1">
      <c r="A1070" s="1319" t="s">
        <v>794</v>
      </c>
      <c r="B1070" s="1319"/>
      <c r="C1070" s="1319"/>
      <c r="D1070" s="1319"/>
      <c r="E1070" s="1319"/>
      <c r="F1070" s="1319"/>
      <c r="G1070" s="1319"/>
      <c r="H1070" s="1319"/>
      <c r="I1070" s="1319"/>
      <c r="J1070" s="1319"/>
      <c r="K1070" s="1319"/>
      <c r="L1070" s="1319"/>
      <c r="M1070" s="1319"/>
      <c r="N1070" s="1319"/>
      <c r="O1070" s="1319"/>
      <c r="P1070" s="1319"/>
      <c r="Q1070" s="1319"/>
      <c r="R1070" s="1319"/>
      <c r="S1070" s="1319"/>
      <c r="T1070" s="1319"/>
      <c r="U1070" s="1319"/>
      <c r="V1070" s="1319"/>
      <c r="W1070" s="1319"/>
      <c r="X1070" s="1319"/>
      <c r="Y1070" s="1319"/>
      <c r="Z1070" s="1319"/>
      <c r="AA1070" s="1319"/>
      <c r="AB1070" s="1319"/>
      <c r="AC1070" s="1319"/>
      <c r="AD1070" s="1319"/>
      <c r="AE1070" s="1319"/>
      <c r="AF1070" s="1319"/>
      <c r="AG1070" s="1319"/>
      <c r="AH1070" s="1319"/>
      <c r="AI1070" s="1319"/>
      <c r="AJ1070" s="1319"/>
      <c r="AK1070" s="1319"/>
      <c r="AL1070" s="1319"/>
      <c r="AM1070" s="1319"/>
      <c r="AN1070" s="1319"/>
      <c r="AO1070" s="1319"/>
      <c r="AP1070" s="1319"/>
      <c r="AQ1070" s="1319"/>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266" t="s">
        <v>591</v>
      </c>
      <c r="B1074" s="1266"/>
      <c r="C1074" s="1269">
        <v>1</v>
      </c>
      <c r="D1074" s="1269"/>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269"/>
      <c r="D1075" s="1269"/>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266" t="s">
        <v>591</v>
      </c>
      <c r="B1076" s="1266"/>
      <c r="C1076" s="1269">
        <v>2</v>
      </c>
      <c r="D1076" s="1269"/>
      <c r="E1076" s="1272" t="s">
        <v>2191</v>
      </c>
      <c r="F1076" s="1272"/>
      <c r="G1076" s="1272"/>
      <c r="H1076" s="1272"/>
      <c r="I1076" s="1272"/>
      <c r="J1076" s="1272"/>
      <c r="K1076" s="1272"/>
      <c r="L1076" s="1272"/>
      <c r="M1076" s="1272"/>
      <c r="N1076" s="1272"/>
      <c r="O1076" s="1272"/>
      <c r="P1076" s="1272"/>
      <c r="Q1076" s="1272"/>
      <c r="R1076" s="1272"/>
      <c r="S1076" s="1272"/>
      <c r="T1076" s="1272"/>
      <c r="U1076" s="1272"/>
      <c r="V1076" s="1272"/>
      <c r="W1076" s="1272"/>
      <c r="X1076" s="1272"/>
      <c r="Y1076" s="1272"/>
      <c r="Z1076" s="1272"/>
      <c r="AA1076" s="1272"/>
      <c r="AB1076" s="1272"/>
      <c r="AC1076" s="1272"/>
      <c r="AD1076" s="1272"/>
      <c r="AE1076" s="1272"/>
      <c r="AF1076" s="1272"/>
      <c r="AG1076" s="1272"/>
      <c r="AH1076" s="1272"/>
      <c r="AI1076" s="1272"/>
      <c r="AJ1076" s="1272"/>
      <c r="AK1076" s="1272"/>
      <c r="AL1076" s="1272"/>
      <c r="AM1076" s="1272"/>
      <c r="AN1076" s="1272"/>
      <c r="AO1076" s="1272"/>
      <c r="AP1076" s="1272"/>
      <c r="AQ1076" s="1272"/>
      <c r="AR1076" s="1272"/>
      <c r="AS1076" s="14"/>
      <c r="AT1076" s="14"/>
      <c r="AV1076" s="68"/>
      <c r="AW1076" s="68"/>
      <c r="AX1076" s="68"/>
      <c r="AY1076" s="68"/>
    </row>
    <row r="1077" spans="1:51" ht="12.95" customHeight="1">
      <c r="A1077" s="198"/>
      <c r="B1077" s="67"/>
      <c r="C1077" s="1269"/>
      <c r="D1077" s="1269"/>
      <c r="E1077" s="1272"/>
      <c r="F1077" s="1272"/>
      <c r="G1077" s="1272"/>
      <c r="H1077" s="1272"/>
      <c r="I1077" s="1272"/>
      <c r="J1077" s="1272"/>
      <c r="K1077" s="1272"/>
      <c r="L1077" s="1272"/>
      <c r="M1077" s="1272"/>
      <c r="N1077" s="1272"/>
      <c r="O1077" s="1272"/>
      <c r="P1077" s="1272"/>
      <c r="Q1077" s="1272"/>
      <c r="R1077" s="1272"/>
      <c r="S1077" s="1272"/>
      <c r="T1077" s="1272"/>
      <c r="U1077" s="1272"/>
      <c r="V1077" s="1272"/>
      <c r="W1077" s="1272"/>
      <c r="X1077" s="1272"/>
      <c r="Y1077" s="1272"/>
      <c r="Z1077" s="1272"/>
      <c r="AA1077" s="1272"/>
      <c r="AB1077" s="1272"/>
      <c r="AC1077" s="1272"/>
      <c r="AD1077" s="1272"/>
      <c r="AE1077" s="1272"/>
      <c r="AF1077" s="1272"/>
      <c r="AG1077" s="1272"/>
      <c r="AH1077" s="1272"/>
      <c r="AI1077" s="1272"/>
      <c r="AJ1077" s="1272"/>
      <c r="AK1077" s="1272"/>
      <c r="AL1077" s="1272"/>
      <c r="AM1077" s="1272"/>
      <c r="AN1077" s="1272"/>
      <c r="AO1077" s="1272"/>
      <c r="AP1077" s="1272"/>
      <c r="AQ1077" s="1272"/>
      <c r="AR1077" s="1272"/>
      <c r="AS1077" s="14"/>
      <c r="AT1077" s="14"/>
      <c r="AV1077" s="68"/>
      <c r="AW1077" s="68"/>
      <c r="AX1077" s="68"/>
      <c r="AY1077" s="68"/>
    </row>
    <row r="1078" spans="1:51" ht="12.95" customHeight="1">
      <c r="A1078" s="198"/>
      <c r="B1078" s="67"/>
      <c r="C1078" s="1269"/>
      <c r="D1078" s="1269"/>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266" t="s">
        <v>591</v>
      </c>
      <c r="B1079" s="1266"/>
      <c r="C1079" s="1271">
        <v>3</v>
      </c>
      <c r="D1079" s="1271"/>
      <c r="E1079" s="1273" t="s">
        <v>1080</v>
      </c>
      <c r="F1079" s="1273"/>
      <c r="G1079" s="1273"/>
      <c r="H1079" s="1273"/>
      <c r="I1079" s="1273"/>
      <c r="J1079" s="1273"/>
      <c r="K1079" s="1273"/>
      <c r="L1079" s="1273"/>
      <c r="M1079" s="1273"/>
      <c r="N1079" s="1273"/>
      <c r="O1079" s="1273"/>
      <c r="P1079" s="1273"/>
      <c r="Q1079" s="1273"/>
      <c r="R1079" s="1273"/>
      <c r="S1079" s="1273"/>
      <c r="T1079" s="1273"/>
      <c r="U1079" s="1273"/>
      <c r="V1079" s="1273"/>
      <c r="W1079" s="1273"/>
      <c r="X1079" s="1273"/>
      <c r="Y1079" s="1273"/>
      <c r="Z1079" s="1273"/>
      <c r="AA1079" s="1273"/>
      <c r="AB1079" s="1273"/>
      <c r="AC1079" s="1273"/>
      <c r="AD1079" s="1273"/>
      <c r="AE1079" s="1273"/>
      <c r="AF1079" s="1273"/>
      <c r="AG1079" s="1273"/>
      <c r="AH1079" s="1273"/>
      <c r="AI1079" s="1273"/>
      <c r="AJ1079" s="1273"/>
      <c r="AK1079" s="1273"/>
      <c r="AL1079" s="1273"/>
      <c r="AM1079" s="1273"/>
      <c r="AN1079" s="1273"/>
      <c r="AO1079" s="1273"/>
      <c r="AP1079" s="1273"/>
      <c r="AQ1079" s="1273"/>
      <c r="AR1079" s="1273"/>
      <c r="AS1079" s="14"/>
      <c r="AT1079" s="68"/>
      <c r="AV1079" s="68"/>
      <c r="AW1079" s="68"/>
      <c r="AX1079" s="68"/>
      <c r="AY1079" s="68"/>
    </row>
    <row r="1080" spans="1:51" ht="12.95" customHeight="1">
      <c r="A1080" s="1"/>
      <c r="B1080" s="1"/>
      <c r="C1080" s="1271"/>
      <c r="D1080" s="1271"/>
      <c r="E1080" s="1273"/>
      <c r="F1080" s="1273"/>
      <c r="G1080" s="1273"/>
      <c r="H1080" s="1273"/>
      <c r="I1080" s="1273"/>
      <c r="J1080" s="1273"/>
      <c r="K1080" s="1273"/>
      <c r="L1080" s="1273"/>
      <c r="M1080" s="1273"/>
      <c r="N1080" s="1273"/>
      <c r="O1080" s="1273"/>
      <c r="P1080" s="1273"/>
      <c r="Q1080" s="1273"/>
      <c r="R1080" s="1273"/>
      <c r="S1080" s="1273"/>
      <c r="T1080" s="1273"/>
      <c r="U1080" s="1273"/>
      <c r="V1080" s="1273"/>
      <c r="W1080" s="1273"/>
      <c r="X1080" s="1273"/>
      <c r="Y1080" s="1273"/>
      <c r="Z1080" s="1273"/>
      <c r="AA1080" s="1273"/>
      <c r="AB1080" s="1273"/>
      <c r="AC1080" s="1273"/>
      <c r="AD1080" s="1273"/>
      <c r="AE1080" s="1273"/>
      <c r="AF1080" s="1273"/>
      <c r="AG1080" s="1273"/>
      <c r="AH1080" s="1273"/>
      <c r="AI1080" s="1273"/>
      <c r="AJ1080" s="1273"/>
      <c r="AK1080" s="1273"/>
      <c r="AL1080" s="1273"/>
      <c r="AM1080" s="1273"/>
      <c r="AN1080" s="1273"/>
      <c r="AO1080" s="1273"/>
      <c r="AP1080" s="1273"/>
      <c r="AQ1080" s="1273"/>
      <c r="AR1080" s="1273"/>
      <c r="AS1080" s="14"/>
      <c r="AT1080" s="68"/>
      <c r="AV1080" s="68"/>
      <c r="AW1080" s="68"/>
      <c r="AX1080" s="68"/>
      <c r="AY1080" s="68"/>
    </row>
    <row r="1081" spans="1:51" ht="12.95" customHeight="1">
      <c r="A1081" s="1"/>
      <c r="B1081" s="1"/>
      <c r="C1081" s="1271"/>
      <c r="D1081" s="1271"/>
      <c r="E1081" s="1273"/>
      <c r="F1081" s="1273"/>
      <c r="G1081" s="1273"/>
      <c r="H1081" s="1273"/>
      <c r="I1081" s="1273"/>
      <c r="J1081" s="1273"/>
      <c r="K1081" s="1273"/>
      <c r="L1081" s="1273"/>
      <c r="M1081" s="1273"/>
      <c r="N1081" s="1273"/>
      <c r="O1081" s="1273"/>
      <c r="P1081" s="1273"/>
      <c r="Q1081" s="1273"/>
      <c r="R1081" s="1273"/>
      <c r="S1081" s="1273"/>
      <c r="T1081" s="1273"/>
      <c r="U1081" s="1273"/>
      <c r="V1081" s="1273"/>
      <c r="W1081" s="1273"/>
      <c r="X1081" s="1273"/>
      <c r="Y1081" s="1273"/>
      <c r="Z1081" s="1273"/>
      <c r="AA1081" s="1273"/>
      <c r="AB1081" s="1273"/>
      <c r="AC1081" s="1273"/>
      <c r="AD1081" s="1273"/>
      <c r="AE1081" s="1273"/>
      <c r="AF1081" s="1273"/>
      <c r="AG1081" s="1273"/>
      <c r="AH1081" s="1273"/>
      <c r="AI1081" s="1273"/>
      <c r="AJ1081" s="1273"/>
      <c r="AK1081" s="1273"/>
      <c r="AL1081" s="1273"/>
      <c r="AM1081" s="1273"/>
      <c r="AN1081" s="1273"/>
      <c r="AO1081" s="1273"/>
      <c r="AP1081" s="1273"/>
      <c r="AQ1081" s="1273"/>
      <c r="AR1081" s="1273"/>
      <c r="AS1081" s="14"/>
      <c r="AT1081" s="68"/>
      <c r="AV1081" s="68"/>
      <c r="AW1081" s="68"/>
      <c r="AX1081" s="68"/>
      <c r="AY1081" s="68"/>
    </row>
    <row r="1082" spans="1:51" ht="12.95" customHeight="1">
      <c r="A1082" s="1"/>
      <c r="B1082" s="1"/>
      <c r="C1082" s="1271"/>
      <c r="D1082" s="1271"/>
      <c r="E1082" s="1273"/>
      <c r="F1082" s="1273"/>
      <c r="G1082" s="1273"/>
      <c r="H1082" s="1273"/>
      <c r="I1082" s="1273"/>
      <c r="J1082" s="1273"/>
      <c r="K1082" s="1273"/>
      <c r="L1082" s="1273"/>
      <c r="M1082" s="1273"/>
      <c r="N1082" s="1273"/>
      <c r="O1082" s="1273"/>
      <c r="P1082" s="1273"/>
      <c r="Q1082" s="1273"/>
      <c r="R1082" s="1273"/>
      <c r="S1082" s="1273"/>
      <c r="T1082" s="1273"/>
      <c r="U1082" s="1273"/>
      <c r="V1082" s="1273"/>
      <c r="W1082" s="1273"/>
      <c r="X1082" s="1273"/>
      <c r="Y1082" s="1273"/>
      <c r="Z1082" s="1273"/>
      <c r="AA1082" s="1273"/>
      <c r="AB1082" s="1273"/>
      <c r="AC1082" s="1273"/>
      <c r="AD1082" s="1273"/>
      <c r="AE1082" s="1273"/>
      <c r="AF1082" s="1273"/>
      <c r="AG1082" s="1273"/>
      <c r="AH1082" s="1273"/>
      <c r="AI1082" s="1273"/>
      <c r="AJ1082" s="1273"/>
      <c r="AK1082" s="1273"/>
      <c r="AL1082" s="1273"/>
      <c r="AM1082" s="1273"/>
      <c r="AN1082" s="1273"/>
      <c r="AO1082" s="1273"/>
      <c r="AP1082" s="1273"/>
      <c r="AQ1082" s="1273"/>
      <c r="AR1082" s="1273"/>
      <c r="AS1082" s="14"/>
      <c r="AT1082" s="68"/>
      <c r="AV1082" s="68"/>
      <c r="AW1082" s="68"/>
      <c r="AX1082" s="68"/>
      <c r="AY1082" s="68"/>
    </row>
    <row r="1083" spans="1:51" ht="12.95" customHeight="1">
      <c r="A1083" s="2"/>
      <c r="B1083" s="25"/>
      <c r="C1083" s="1271"/>
      <c r="D1083" s="127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266" t="s">
        <v>591</v>
      </c>
      <c r="B1084" s="1266"/>
      <c r="C1084" s="1271">
        <v>4</v>
      </c>
      <c r="D1084" s="1271"/>
      <c r="E1084" s="1273" t="s">
        <v>1079</v>
      </c>
      <c r="F1084" s="1273"/>
      <c r="G1084" s="1273"/>
      <c r="H1084" s="1273"/>
      <c r="I1084" s="1273"/>
      <c r="J1084" s="1273"/>
      <c r="K1084" s="1273"/>
      <c r="L1084" s="1273"/>
      <c r="M1084" s="1273"/>
      <c r="N1084" s="1273"/>
      <c r="O1084" s="1273"/>
      <c r="P1084" s="1273"/>
      <c r="Q1084" s="1273"/>
      <c r="R1084" s="1273"/>
      <c r="S1084" s="1273"/>
      <c r="T1084" s="1273"/>
      <c r="U1084" s="1273"/>
      <c r="V1084" s="1273"/>
      <c r="W1084" s="1273"/>
      <c r="X1084" s="1273"/>
      <c r="Y1084" s="1273"/>
      <c r="Z1084" s="1273"/>
      <c r="AA1084" s="1273"/>
      <c r="AB1084" s="1273"/>
      <c r="AC1084" s="1273"/>
      <c r="AD1084" s="1273"/>
      <c r="AE1084" s="1273"/>
      <c r="AF1084" s="1273"/>
      <c r="AG1084" s="1273"/>
      <c r="AH1084" s="1273"/>
      <c r="AI1084" s="1273"/>
      <c r="AJ1084" s="1273"/>
      <c r="AK1084" s="1273"/>
      <c r="AL1084" s="1273"/>
      <c r="AM1084" s="1273"/>
      <c r="AN1084" s="1273"/>
      <c r="AO1084" s="1273"/>
      <c r="AP1084" s="1273"/>
      <c r="AQ1084" s="1273"/>
      <c r="AR1084" s="1273"/>
      <c r="AS1084" s="14"/>
      <c r="AT1084" s="68"/>
    </row>
    <row r="1085" spans="1:51" ht="12.95" customHeight="1">
      <c r="A1085" s="1"/>
      <c r="B1085" s="1"/>
      <c r="C1085" s="1271"/>
      <c r="D1085" s="1271"/>
      <c r="E1085" s="1273"/>
      <c r="F1085" s="1273"/>
      <c r="G1085" s="1273"/>
      <c r="H1085" s="1273"/>
      <c r="I1085" s="1273"/>
      <c r="J1085" s="1273"/>
      <c r="K1085" s="1273"/>
      <c r="L1085" s="1273"/>
      <c r="M1085" s="1273"/>
      <c r="N1085" s="1273"/>
      <c r="O1085" s="1273"/>
      <c r="P1085" s="1273"/>
      <c r="Q1085" s="1273"/>
      <c r="R1085" s="1273"/>
      <c r="S1085" s="1273"/>
      <c r="T1085" s="1273"/>
      <c r="U1085" s="1273"/>
      <c r="V1085" s="1273"/>
      <c r="W1085" s="1273"/>
      <c r="X1085" s="1273"/>
      <c r="Y1085" s="1273"/>
      <c r="Z1085" s="1273"/>
      <c r="AA1085" s="1273"/>
      <c r="AB1085" s="1273"/>
      <c r="AC1085" s="1273"/>
      <c r="AD1085" s="1273"/>
      <c r="AE1085" s="1273"/>
      <c r="AF1085" s="1273"/>
      <c r="AG1085" s="1273"/>
      <c r="AH1085" s="1273"/>
      <c r="AI1085" s="1273"/>
      <c r="AJ1085" s="1273"/>
      <c r="AK1085" s="1273"/>
      <c r="AL1085" s="1273"/>
      <c r="AM1085" s="1273"/>
      <c r="AN1085" s="1273"/>
      <c r="AO1085" s="1273"/>
      <c r="AP1085" s="1273"/>
      <c r="AQ1085" s="1273"/>
      <c r="AR1085" s="1273"/>
      <c r="AS1085" s="14"/>
      <c r="AT1085" s="68"/>
    </row>
    <row r="1086" spans="1:51" ht="12.95" customHeight="1">
      <c r="A1086" s="1"/>
      <c r="B1086" s="1"/>
      <c r="C1086" s="1271"/>
      <c r="D1086" s="1271"/>
      <c r="E1086" s="1273"/>
      <c r="F1086" s="1273"/>
      <c r="G1086" s="1273"/>
      <c r="H1086" s="1273"/>
      <c r="I1086" s="1273"/>
      <c r="J1086" s="1273"/>
      <c r="K1086" s="1273"/>
      <c r="L1086" s="1273"/>
      <c r="M1086" s="1273"/>
      <c r="N1086" s="1273"/>
      <c r="O1086" s="1273"/>
      <c r="P1086" s="1273"/>
      <c r="Q1086" s="1273"/>
      <c r="R1086" s="1273"/>
      <c r="S1086" s="1273"/>
      <c r="T1086" s="1273"/>
      <c r="U1086" s="1273"/>
      <c r="V1086" s="1273"/>
      <c r="W1086" s="1273"/>
      <c r="X1086" s="1273"/>
      <c r="Y1086" s="1273"/>
      <c r="Z1086" s="1273"/>
      <c r="AA1086" s="1273"/>
      <c r="AB1086" s="1273"/>
      <c r="AC1086" s="1273"/>
      <c r="AD1086" s="1273"/>
      <c r="AE1086" s="1273"/>
      <c r="AF1086" s="1273"/>
      <c r="AG1086" s="1273"/>
      <c r="AH1086" s="1273"/>
      <c r="AI1086" s="1273"/>
      <c r="AJ1086" s="1273"/>
      <c r="AK1086" s="1273"/>
      <c r="AL1086" s="1273"/>
      <c r="AM1086" s="1273"/>
      <c r="AN1086" s="1273"/>
      <c r="AO1086" s="1273"/>
      <c r="AP1086" s="1273"/>
      <c r="AQ1086" s="1273"/>
      <c r="AR1086" s="1273"/>
      <c r="AS1086" s="14"/>
      <c r="AT1086" s="68"/>
    </row>
    <row r="1087" spans="1:51" ht="12.95" customHeight="1">
      <c r="A1087" s="1"/>
      <c r="B1087" s="1"/>
      <c r="C1087" s="1271"/>
      <c r="D1087" s="1271"/>
      <c r="E1087" s="1273"/>
      <c r="F1087" s="1273"/>
      <c r="G1087" s="1273"/>
      <c r="H1087" s="1273"/>
      <c r="I1087" s="1273"/>
      <c r="J1087" s="1273"/>
      <c r="K1087" s="1273"/>
      <c r="L1087" s="1273"/>
      <c r="M1087" s="1273"/>
      <c r="N1087" s="1273"/>
      <c r="O1087" s="1273"/>
      <c r="P1087" s="1273"/>
      <c r="Q1087" s="1273"/>
      <c r="R1087" s="1273"/>
      <c r="S1087" s="1273"/>
      <c r="T1087" s="1273"/>
      <c r="U1087" s="1273"/>
      <c r="V1087" s="1273"/>
      <c r="W1087" s="1273"/>
      <c r="X1087" s="1273"/>
      <c r="Y1087" s="1273"/>
      <c r="Z1087" s="1273"/>
      <c r="AA1087" s="1273"/>
      <c r="AB1087" s="1273"/>
      <c r="AC1087" s="1273"/>
      <c r="AD1087" s="1273"/>
      <c r="AE1087" s="1273"/>
      <c r="AF1087" s="1273"/>
      <c r="AG1087" s="1273"/>
      <c r="AH1087" s="1273"/>
      <c r="AI1087" s="1273"/>
      <c r="AJ1087" s="1273"/>
      <c r="AK1087" s="1273"/>
      <c r="AL1087" s="1273"/>
      <c r="AM1087" s="1273"/>
      <c r="AN1087" s="1273"/>
      <c r="AO1087" s="1273"/>
      <c r="AP1087" s="1273"/>
      <c r="AQ1087" s="1273"/>
      <c r="AR1087" s="1273"/>
      <c r="AS1087" s="14"/>
      <c r="AT1087" s="68"/>
    </row>
    <row r="1088" spans="1:51" ht="12.95" customHeight="1">
      <c r="A1088" s="1"/>
      <c r="B1088" s="1"/>
      <c r="C1088" s="1271"/>
      <c r="D1088" s="1271"/>
      <c r="E1088" s="1273"/>
      <c r="F1088" s="1273"/>
      <c r="G1088" s="1273"/>
      <c r="H1088" s="1273"/>
      <c r="I1088" s="1273"/>
      <c r="J1088" s="1273"/>
      <c r="K1088" s="1273"/>
      <c r="L1088" s="1273"/>
      <c r="M1088" s="1273"/>
      <c r="N1088" s="1273"/>
      <c r="O1088" s="1273"/>
      <c r="P1088" s="1273"/>
      <c r="Q1088" s="1273"/>
      <c r="R1088" s="1273"/>
      <c r="S1088" s="1273"/>
      <c r="T1088" s="1273"/>
      <c r="U1088" s="1273"/>
      <c r="V1088" s="1273"/>
      <c r="W1088" s="1273"/>
      <c r="X1088" s="1273"/>
      <c r="Y1088" s="1273"/>
      <c r="Z1088" s="1273"/>
      <c r="AA1088" s="1273"/>
      <c r="AB1088" s="1273"/>
      <c r="AC1088" s="1273"/>
      <c r="AD1088" s="1273"/>
      <c r="AE1088" s="1273"/>
      <c r="AF1088" s="1273"/>
      <c r="AG1088" s="1273"/>
      <c r="AH1088" s="1273"/>
      <c r="AI1088" s="1273"/>
      <c r="AJ1088" s="1273"/>
      <c r="AK1088" s="1273"/>
      <c r="AL1088" s="1273"/>
      <c r="AM1088" s="1273"/>
      <c r="AN1088" s="1273"/>
      <c r="AO1088" s="1273"/>
      <c r="AP1088" s="1273"/>
      <c r="AQ1088" s="1273"/>
      <c r="AR1088" s="1273"/>
      <c r="AS1088" s="14"/>
      <c r="AT1088" s="68"/>
    </row>
    <row r="1089" spans="1:45" ht="12.95" customHeight="1">
      <c r="A1089" s="1"/>
      <c r="B1089" s="1"/>
      <c r="C1089" s="1271"/>
      <c r="D1089" s="127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266" t="s">
        <v>591</v>
      </c>
      <c r="B1090" s="1266"/>
      <c r="C1090" s="1271">
        <v>5</v>
      </c>
      <c r="D1090" s="1271"/>
      <c r="E1090" s="1273" t="s">
        <v>2194</v>
      </c>
      <c r="F1090" s="1273"/>
      <c r="G1090" s="1273"/>
      <c r="H1090" s="1273"/>
      <c r="I1090" s="1273"/>
      <c r="J1090" s="1273"/>
      <c r="K1090" s="1273"/>
      <c r="L1090" s="1273"/>
      <c r="M1090" s="1273"/>
      <c r="N1090" s="1273"/>
      <c r="O1090" s="1273"/>
      <c r="P1090" s="1273"/>
      <c r="Q1090" s="1273"/>
      <c r="R1090" s="1273"/>
      <c r="S1090" s="1273"/>
      <c r="T1090" s="1273"/>
      <c r="U1090" s="1273"/>
      <c r="V1090" s="1273"/>
      <c r="W1090" s="1273"/>
      <c r="X1090" s="1273"/>
      <c r="Y1090" s="1273"/>
      <c r="Z1090" s="1273"/>
      <c r="AA1090" s="1273"/>
      <c r="AB1090" s="1273"/>
      <c r="AC1090" s="1273"/>
      <c r="AD1090" s="1273"/>
      <c r="AE1090" s="1273"/>
      <c r="AF1090" s="1273"/>
      <c r="AG1090" s="1273"/>
      <c r="AH1090" s="1273"/>
      <c r="AI1090" s="1273"/>
      <c r="AJ1090" s="1273"/>
      <c r="AK1090" s="1273"/>
      <c r="AL1090" s="1273"/>
      <c r="AM1090" s="1273"/>
      <c r="AN1090" s="1273"/>
      <c r="AO1090" s="1273"/>
      <c r="AP1090" s="1273"/>
      <c r="AQ1090" s="1273"/>
      <c r="AR1090" s="1273"/>
      <c r="AS1090" s="14"/>
    </row>
    <row r="1091" spans="1:45" ht="12.95" customHeight="1">
      <c r="A1091" s="4"/>
      <c r="B1091" s="4"/>
      <c r="C1091" s="1271"/>
      <c r="D1091" s="1271"/>
      <c r="E1091" s="1273"/>
      <c r="F1091" s="1273"/>
      <c r="G1091" s="1273"/>
      <c r="H1091" s="1273"/>
      <c r="I1091" s="1273"/>
      <c r="J1091" s="1273"/>
      <c r="K1091" s="1273"/>
      <c r="L1091" s="1273"/>
      <c r="M1091" s="1273"/>
      <c r="N1091" s="1273"/>
      <c r="O1091" s="1273"/>
      <c r="P1091" s="1273"/>
      <c r="Q1091" s="1273"/>
      <c r="R1091" s="1273"/>
      <c r="S1091" s="1273"/>
      <c r="T1091" s="1273"/>
      <c r="U1091" s="1273"/>
      <c r="V1091" s="1273"/>
      <c r="W1091" s="1273"/>
      <c r="X1091" s="1273"/>
      <c r="Y1091" s="1273"/>
      <c r="Z1091" s="1273"/>
      <c r="AA1091" s="1273"/>
      <c r="AB1091" s="1273"/>
      <c r="AC1091" s="1273"/>
      <c r="AD1091" s="1273"/>
      <c r="AE1091" s="1273"/>
      <c r="AF1091" s="1273"/>
      <c r="AG1091" s="1273"/>
      <c r="AH1091" s="1273"/>
      <c r="AI1091" s="1273"/>
      <c r="AJ1091" s="1273"/>
      <c r="AK1091" s="1273"/>
      <c r="AL1091" s="1273"/>
      <c r="AM1091" s="1273"/>
      <c r="AN1091" s="1273"/>
      <c r="AO1091" s="1273"/>
      <c r="AP1091" s="1273"/>
      <c r="AQ1091" s="1273"/>
      <c r="AR1091" s="1273"/>
      <c r="AS1091" s="14"/>
    </row>
    <row r="1092" spans="1:45" ht="12.95" customHeight="1">
      <c r="A1092" s="4"/>
      <c r="B1092" s="4"/>
      <c r="C1092" s="1271"/>
      <c r="D1092" s="1271"/>
      <c r="E1092" s="1273"/>
      <c r="F1092" s="1273"/>
      <c r="G1092" s="1273"/>
      <c r="H1092" s="1273"/>
      <c r="I1092" s="1273"/>
      <c r="J1092" s="1273"/>
      <c r="K1092" s="1273"/>
      <c r="L1092" s="1273"/>
      <c r="M1092" s="1273"/>
      <c r="N1092" s="1273"/>
      <c r="O1092" s="1273"/>
      <c r="P1092" s="1273"/>
      <c r="Q1092" s="1273"/>
      <c r="R1092" s="1273"/>
      <c r="S1092" s="1273"/>
      <c r="T1092" s="1273"/>
      <c r="U1092" s="1273"/>
      <c r="V1092" s="1273"/>
      <c r="W1092" s="1273"/>
      <c r="X1092" s="1273"/>
      <c r="Y1092" s="1273"/>
      <c r="Z1092" s="1273"/>
      <c r="AA1092" s="1273"/>
      <c r="AB1092" s="1273"/>
      <c r="AC1092" s="1273"/>
      <c r="AD1092" s="1273"/>
      <c r="AE1092" s="1273"/>
      <c r="AF1092" s="1273"/>
      <c r="AG1092" s="1273"/>
      <c r="AH1092" s="1273"/>
      <c r="AI1092" s="1273"/>
      <c r="AJ1092" s="1273"/>
      <c r="AK1092" s="1273"/>
      <c r="AL1092" s="1273"/>
      <c r="AM1092" s="1273"/>
      <c r="AN1092" s="1273"/>
      <c r="AO1092" s="1273"/>
      <c r="AP1092" s="1273"/>
      <c r="AQ1092" s="1273"/>
      <c r="AR1092" s="1273"/>
      <c r="AS1092" s="14"/>
    </row>
    <row r="1093" spans="1:45" ht="12.95" customHeight="1">
      <c r="A1093" s="35"/>
      <c r="B1093" s="25"/>
      <c r="C1093" s="1271"/>
      <c r="D1093" s="127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266" t="s">
        <v>591</v>
      </c>
      <c r="B1094" s="1266"/>
      <c r="C1094" s="1271">
        <v>6</v>
      </c>
      <c r="D1094" s="1271"/>
      <c r="E1094" s="1273" t="s">
        <v>2195</v>
      </c>
      <c r="F1094" s="1273"/>
      <c r="G1094" s="1273"/>
      <c r="H1094" s="1273"/>
      <c r="I1094" s="1273"/>
      <c r="J1094" s="1273"/>
      <c r="K1094" s="1273"/>
      <c r="L1094" s="1273"/>
      <c r="M1094" s="1273"/>
      <c r="N1094" s="1273"/>
      <c r="O1094" s="1273"/>
      <c r="P1094" s="1273"/>
      <c r="Q1094" s="1273"/>
      <c r="R1094" s="1273"/>
      <c r="S1094" s="1273"/>
      <c r="T1094" s="1273"/>
      <c r="U1094" s="1273"/>
      <c r="V1094" s="1273"/>
      <c r="W1094" s="1273"/>
      <c r="X1094" s="1273"/>
      <c r="Y1094" s="1273"/>
      <c r="Z1094" s="1273"/>
      <c r="AA1094" s="1273"/>
      <c r="AB1094" s="1273"/>
      <c r="AC1094" s="1273"/>
      <c r="AD1094" s="1273"/>
      <c r="AE1094" s="1273"/>
      <c r="AF1094" s="1273"/>
      <c r="AG1094" s="1273"/>
      <c r="AH1094" s="1273"/>
      <c r="AI1094" s="1273"/>
      <c r="AJ1094" s="1273"/>
      <c r="AK1094" s="1273"/>
      <c r="AL1094" s="1273"/>
      <c r="AM1094" s="1273"/>
      <c r="AN1094" s="1273"/>
      <c r="AO1094" s="1273"/>
      <c r="AP1094" s="1273"/>
      <c r="AQ1094" s="1273"/>
      <c r="AR1094" s="1273"/>
      <c r="AS1094" s="14"/>
    </row>
    <row r="1095" spans="1:45" ht="12.95" customHeight="1">
      <c r="A1095" s="1"/>
      <c r="B1095" s="1"/>
      <c r="C1095" s="1"/>
      <c r="D1095" s="1"/>
      <c r="E1095" s="1273"/>
      <c r="F1095" s="1273"/>
      <c r="G1095" s="1273"/>
      <c r="H1095" s="1273"/>
      <c r="I1095" s="1273"/>
      <c r="J1095" s="1273"/>
      <c r="K1095" s="1273"/>
      <c r="L1095" s="1273"/>
      <c r="M1095" s="1273"/>
      <c r="N1095" s="1273"/>
      <c r="O1095" s="1273"/>
      <c r="P1095" s="1273"/>
      <c r="Q1095" s="1273"/>
      <c r="R1095" s="1273"/>
      <c r="S1095" s="1273"/>
      <c r="T1095" s="1273"/>
      <c r="U1095" s="1273"/>
      <c r="V1095" s="1273"/>
      <c r="W1095" s="1273"/>
      <c r="X1095" s="1273"/>
      <c r="Y1095" s="1273"/>
      <c r="Z1095" s="1273"/>
      <c r="AA1095" s="1273"/>
      <c r="AB1095" s="1273"/>
      <c r="AC1095" s="1273"/>
      <c r="AD1095" s="1273"/>
      <c r="AE1095" s="1273"/>
      <c r="AF1095" s="1273"/>
      <c r="AG1095" s="1273"/>
      <c r="AH1095" s="1273"/>
      <c r="AI1095" s="1273"/>
      <c r="AJ1095" s="1273"/>
      <c r="AK1095" s="1273"/>
      <c r="AL1095" s="1273"/>
      <c r="AM1095" s="1273"/>
      <c r="AN1095" s="1273"/>
      <c r="AO1095" s="1273"/>
      <c r="AP1095" s="1273"/>
      <c r="AQ1095" s="1273"/>
      <c r="AR1095" s="1273"/>
      <c r="AS1095" s="14"/>
    </row>
    <row r="1096" spans="1:45" ht="12.95" customHeight="1">
      <c r="A1096" s="1"/>
      <c r="B1096" s="1"/>
      <c r="C1096" s="1271"/>
      <c r="D1096" s="1271"/>
      <c r="E1096" s="1273"/>
      <c r="F1096" s="1273"/>
      <c r="G1096" s="1273"/>
      <c r="H1096" s="1273"/>
      <c r="I1096" s="1273"/>
      <c r="J1096" s="1273"/>
      <c r="K1096" s="1273"/>
      <c r="L1096" s="1273"/>
      <c r="M1096" s="1273"/>
      <c r="N1096" s="1273"/>
      <c r="O1096" s="1273"/>
      <c r="P1096" s="1273"/>
      <c r="Q1096" s="1273"/>
      <c r="R1096" s="1273"/>
      <c r="S1096" s="1273"/>
      <c r="T1096" s="1273"/>
      <c r="U1096" s="1273"/>
      <c r="V1096" s="1273"/>
      <c r="W1096" s="1273"/>
      <c r="X1096" s="1273"/>
      <c r="Y1096" s="1273"/>
      <c r="Z1096" s="1273"/>
      <c r="AA1096" s="1273"/>
      <c r="AB1096" s="1273"/>
      <c r="AC1096" s="1273"/>
      <c r="AD1096" s="1273"/>
      <c r="AE1096" s="1273"/>
      <c r="AF1096" s="1273"/>
      <c r="AG1096" s="1273"/>
      <c r="AH1096" s="1273"/>
      <c r="AI1096" s="1273"/>
      <c r="AJ1096" s="1273"/>
      <c r="AK1096" s="1273"/>
      <c r="AL1096" s="1273"/>
      <c r="AM1096" s="1273"/>
      <c r="AN1096" s="1273"/>
      <c r="AO1096" s="1273"/>
      <c r="AP1096" s="1273"/>
      <c r="AQ1096" s="1273"/>
      <c r="AR1096" s="1273"/>
      <c r="AS1096" s="14"/>
    </row>
    <row r="1097" spans="1:45" ht="12.95" customHeight="1">
      <c r="A1097" s="35"/>
      <c r="B1097" s="25"/>
      <c r="C1097" s="1271"/>
      <c r="D1097" s="127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266" t="s">
        <v>591</v>
      </c>
      <c r="B1098" s="1266"/>
      <c r="C1098" s="1271">
        <v>7</v>
      </c>
      <c r="D1098" s="1271"/>
      <c r="E1098" s="1273" t="s">
        <v>2093</v>
      </c>
      <c r="F1098" s="1273"/>
      <c r="G1098" s="1273"/>
      <c r="H1098" s="1273"/>
      <c r="I1098" s="1273"/>
      <c r="J1098" s="1273"/>
      <c r="K1098" s="1273"/>
      <c r="L1098" s="1273"/>
      <c r="M1098" s="1273"/>
      <c r="N1098" s="1273"/>
      <c r="O1098" s="1273"/>
      <c r="P1098" s="1273"/>
      <c r="Q1098" s="1273"/>
      <c r="R1098" s="1273"/>
      <c r="S1098" s="1273"/>
      <c r="T1098" s="1273"/>
      <c r="U1098" s="1273"/>
      <c r="V1098" s="1273"/>
      <c r="W1098" s="1273"/>
      <c r="X1098" s="1273"/>
      <c r="Y1098" s="1273"/>
      <c r="Z1098" s="1273"/>
      <c r="AA1098" s="1273"/>
      <c r="AB1098" s="1273"/>
      <c r="AC1098" s="1273"/>
      <c r="AD1098" s="1273"/>
      <c r="AE1098" s="1273"/>
      <c r="AF1098" s="1273"/>
      <c r="AG1098" s="1273"/>
      <c r="AH1098" s="1273"/>
      <c r="AI1098" s="1273"/>
      <c r="AJ1098" s="1273"/>
      <c r="AK1098" s="1273"/>
      <c r="AL1098" s="1273"/>
      <c r="AM1098" s="1273"/>
      <c r="AN1098" s="1273"/>
      <c r="AO1098" s="1273"/>
      <c r="AP1098" s="1273"/>
      <c r="AQ1098" s="1273"/>
      <c r="AR1098" s="1273"/>
      <c r="AS1098" s="14"/>
    </row>
    <row r="1099" spans="1:45" ht="12.95" customHeight="1">
      <c r="A1099" s="1"/>
      <c r="B1099" s="1"/>
      <c r="C1099" s="1271"/>
      <c r="D1099" s="1271"/>
      <c r="E1099" s="1273"/>
      <c r="F1099" s="1273"/>
      <c r="G1099" s="1273"/>
      <c r="H1099" s="1273"/>
      <c r="I1099" s="1273"/>
      <c r="J1099" s="1273"/>
      <c r="K1099" s="1273"/>
      <c r="L1099" s="1273"/>
      <c r="M1099" s="1273"/>
      <c r="N1099" s="1273"/>
      <c r="O1099" s="1273"/>
      <c r="P1099" s="1273"/>
      <c r="Q1099" s="1273"/>
      <c r="R1099" s="1273"/>
      <c r="S1099" s="1273"/>
      <c r="T1099" s="1273"/>
      <c r="U1099" s="1273"/>
      <c r="V1099" s="1273"/>
      <c r="W1099" s="1273"/>
      <c r="X1099" s="1273"/>
      <c r="Y1099" s="1273"/>
      <c r="Z1099" s="1273"/>
      <c r="AA1099" s="1273"/>
      <c r="AB1099" s="1273"/>
      <c r="AC1099" s="1273"/>
      <c r="AD1099" s="1273"/>
      <c r="AE1099" s="1273"/>
      <c r="AF1099" s="1273"/>
      <c r="AG1099" s="1273"/>
      <c r="AH1099" s="1273"/>
      <c r="AI1099" s="1273"/>
      <c r="AJ1099" s="1273"/>
      <c r="AK1099" s="1273"/>
      <c r="AL1099" s="1273"/>
      <c r="AM1099" s="1273"/>
      <c r="AN1099" s="1273"/>
      <c r="AO1099" s="1273"/>
      <c r="AP1099" s="1273"/>
      <c r="AQ1099" s="1273"/>
      <c r="AR1099" s="1273"/>
      <c r="AS1099" s="14"/>
    </row>
    <row r="1100" spans="1:45" ht="12.95" customHeight="1">
      <c r="A1100" s="1"/>
      <c r="B1100" s="1"/>
      <c r="C1100" s="1271"/>
      <c r="D1100" s="1271"/>
      <c r="E1100" s="1273"/>
      <c r="F1100" s="1273"/>
      <c r="G1100" s="1273"/>
      <c r="H1100" s="1273"/>
      <c r="I1100" s="1273"/>
      <c r="J1100" s="1273"/>
      <c r="K1100" s="1273"/>
      <c r="L1100" s="1273"/>
      <c r="M1100" s="1273"/>
      <c r="N1100" s="1273"/>
      <c r="O1100" s="1273"/>
      <c r="P1100" s="1273"/>
      <c r="Q1100" s="1273"/>
      <c r="R1100" s="1273"/>
      <c r="S1100" s="1273"/>
      <c r="T1100" s="1273"/>
      <c r="U1100" s="1273"/>
      <c r="V1100" s="1273"/>
      <c r="W1100" s="1273"/>
      <c r="X1100" s="1273"/>
      <c r="Y1100" s="1273"/>
      <c r="Z1100" s="1273"/>
      <c r="AA1100" s="1273"/>
      <c r="AB1100" s="1273"/>
      <c r="AC1100" s="1273"/>
      <c r="AD1100" s="1273"/>
      <c r="AE1100" s="1273"/>
      <c r="AF1100" s="1273"/>
      <c r="AG1100" s="1273"/>
      <c r="AH1100" s="1273"/>
      <c r="AI1100" s="1273"/>
      <c r="AJ1100" s="1273"/>
      <c r="AK1100" s="1273"/>
      <c r="AL1100" s="1273"/>
      <c r="AM1100" s="1273"/>
      <c r="AN1100" s="1273"/>
      <c r="AO1100" s="1273"/>
      <c r="AP1100" s="1273"/>
      <c r="AQ1100" s="1273"/>
      <c r="AR1100" s="1273"/>
      <c r="AS1100" s="14"/>
    </row>
    <row r="1101" spans="1:45" ht="12.95" customHeight="1">
      <c r="A1101" s="1"/>
      <c r="B1101" s="1"/>
      <c r="C1101" s="1271"/>
      <c r="D1101" s="127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271"/>
      <c r="D1102" s="127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266" t="s">
        <v>591</v>
      </c>
      <c r="B1103" s="1266"/>
      <c r="C1103" s="1271">
        <v>8</v>
      </c>
      <c r="D1103" s="1271"/>
      <c r="E1103" s="1273" t="s">
        <v>1073</v>
      </c>
      <c r="F1103" s="1273"/>
      <c r="G1103" s="1273"/>
      <c r="H1103" s="1273"/>
      <c r="I1103" s="1273"/>
      <c r="J1103" s="1273"/>
      <c r="K1103" s="1273"/>
      <c r="L1103" s="1273"/>
      <c r="M1103" s="1273"/>
      <c r="N1103" s="1273"/>
      <c r="O1103" s="1273"/>
      <c r="P1103" s="1273"/>
      <c r="Q1103" s="1273"/>
      <c r="R1103" s="1273"/>
      <c r="S1103" s="1273"/>
      <c r="T1103" s="1273"/>
      <c r="U1103" s="1273"/>
      <c r="V1103" s="1273"/>
      <c r="W1103" s="1273"/>
      <c r="X1103" s="1273"/>
      <c r="Y1103" s="1273"/>
      <c r="Z1103" s="1273"/>
      <c r="AA1103" s="1273"/>
      <c r="AB1103" s="1273"/>
      <c r="AC1103" s="1273"/>
      <c r="AD1103" s="1273"/>
      <c r="AE1103" s="1273"/>
      <c r="AF1103" s="1273"/>
      <c r="AG1103" s="1273"/>
      <c r="AH1103" s="1273"/>
      <c r="AI1103" s="1273"/>
      <c r="AJ1103" s="1273"/>
      <c r="AK1103" s="1273"/>
      <c r="AL1103" s="1273"/>
      <c r="AM1103" s="1273"/>
      <c r="AN1103" s="1273"/>
      <c r="AO1103" s="1273"/>
      <c r="AP1103" s="1273"/>
      <c r="AQ1103" s="1273"/>
      <c r="AR1103" s="1273"/>
    </row>
    <row r="1104" spans="1:45" ht="12.95" customHeight="1">
      <c r="A1104" s="35"/>
      <c r="B1104" s="25"/>
      <c r="C1104" s="1271"/>
      <c r="D1104" s="1271"/>
      <c r="E1104" s="1273"/>
      <c r="F1104" s="1273"/>
      <c r="G1104" s="1273"/>
      <c r="H1104" s="1273"/>
      <c r="I1104" s="1273"/>
      <c r="J1104" s="1273"/>
      <c r="K1104" s="1273"/>
      <c r="L1104" s="1273"/>
      <c r="M1104" s="1273"/>
      <c r="N1104" s="1273"/>
      <c r="O1104" s="1273"/>
      <c r="P1104" s="1273"/>
      <c r="Q1104" s="1273"/>
      <c r="R1104" s="1273"/>
      <c r="S1104" s="1273"/>
      <c r="T1104" s="1273"/>
      <c r="U1104" s="1273"/>
      <c r="V1104" s="1273"/>
      <c r="W1104" s="1273"/>
      <c r="X1104" s="1273"/>
      <c r="Y1104" s="1273"/>
      <c r="Z1104" s="1273"/>
      <c r="AA1104" s="1273"/>
      <c r="AB1104" s="1273"/>
      <c r="AC1104" s="1273"/>
      <c r="AD1104" s="1273"/>
      <c r="AE1104" s="1273"/>
      <c r="AF1104" s="1273"/>
      <c r="AG1104" s="1273"/>
      <c r="AH1104" s="1273"/>
      <c r="AI1104" s="1273"/>
      <c r="AJ1104" s="1273"/>
      <c r="AK1104" s="1273"/>
      <c r="AL1104" s="1273"/>
      <c r="AM1104" s="1273"/>
      <c r="AN1104" s="1273"/>
      <c r="AO1104" s="1273"/>
      <c r="AP1104" s="1273"/>
      <c r="AQ1104" s="1273"/>
      <c r="AR1104" s="1273"/>
    </row>
    <row r="1105" spans="1:44" ht="12.95" customHeight="1">
      <c r="A1105" s="35"/>
      <c r="B1105" s="25"/>
      <c r="C1105" s="1271"/>
      <c r="D1105" s="127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266" t="s">
        <v>591</v>
      </c>
      <c r="B1106" s="1266"/>
      <c r="C1106" s="1269">
        <v>9</v>
      </c>
      <c r="D1106" s="1269"/>
      <c r="E1106" s="1273" t="s">
        <v>1075</v>
      </c>
      <c r="F1106" s="1273"/>
      <c r="G1106" s="1273"/>
      <c r="H1106" s="1273"/>
      <c r="I1106" s="1273"/>
      <c r="J1106" s="1273"/>
      <c r="K1106" s="1273"/>
      <c r="L1106" s="1273"/>
      <c r="M1106" s="1273"/>
      <c r="N1106" s="1273"/>
      <c r="O1106" s="1273"/>
      <c r="P1106" s="1273"/>
      <c r="Q1106" s="1273"/>
      <c r="R1106" s="1273"/>
      <c r="S1106" s="1273"/>
      <c r="T1106" s="1273"/>
      <c r="U1106" s="1273"/>
      <c r="V1106" s="1273"/>
      <c r="W1106" s="1273"/>
      <c r="X1106" s="1273"/>
      <c r="Y1106" s="1273"/>
      <c r="Z1106" s="1273"/>
      <c r="AA1106" s="1273"/>
      <c r="AB1106" s="1273"/>
      <c r="AC1106" s="1273"/>
      <c r="AD1106" s="1273"/>
      <c r="AE1106" s="1273"/>
      <c r="AF1106" s="1273"/>
      <c r="AG1106" s="1273"/>
      <c r="AH1106" s="1273"/>
      <c r="AI1106" s="1273"/>
      <c r="AJ1106" s="1273"/>
      <c r="AK1106" s="1273"/>
      <c r="AL1106" s="1273"/>
      <c r="AM1106" s="1273"/>
      <c r="AN1106" s="1273"/>
      <c r="AO1106" s="1273"/>
      <c r="AP1106" s="1273"/>
      <c r="AQ1106" s="1273"/>
      <c r="AR1106" s="1273"/>
    </row>
    <row r="1107" spans="1:44" ht="12.95" customHeight="1">
      <c r="A1107" s="1"/>
      <c r="B1107" s="1"/>
      <c r="C1107" s="1269"/>
      <c r="D1107" s="1269"/>
      <c r="E1107" s="1273"/>
      <c r="F1107" s="1273"/>
      <c r="G1107" s="1273"/>
      <c r="H1107" s="1273"/>
      <c r="I1107" s="1273"/>
      <c r="J1107" s="1273"/>
      <c r="K1107" s="1273"/>
      <c r="L1107" s="1273"/>
      <c r="M1107" s="1273"/>
      <c r="N1107" s="1273"/>
      <c r="O1107" s="1273"/>
      <c r="P1107" s="1273"/>
      <c r="Q1107" s="1273"/>
      <c r="R1107" s="1273"/>
      <c r="S1107" s="1273"/>
      <c r="T1107" s="1273"/>
      <c r="U1107" s="1273"/>
      <c r="V1107" s="1273"/>
      <c r="W1107" s="1273"/>
      <c r="X1107" s="1273"/>
      <c r="Y1107" s="1273"/>
      <c r="Z1107" s="1273"/>
      <c r="AA1107" s="1273"/>
      <c r="AB1107" s="1273"/>
      <c r="AC1107" s="1273"/>
      <c r="AD1107" s="1273"/>
      <c r="AE1107" s="1273"/>
      <c r="AF1107" s="1273"/>
      <c r="AG1107" s="1273"/>
      <c r="AH1107" s="1273"/>
      <c r="AI1107" s="1273"/>
      <c r="AJ1107" s="1273"/>
      <c r="AK1107" s="1273"/>
      <c r="AL1107" s="1273"/>
      <c r="AM1107" s="1273"/>
      <c r="AN1107" s="1273"/>
      <c r="AO1107" s="1273"/>
      <c r="AP1107" s="1273"/>
      <c r="AQ1107" s="1273"/>
      <c r="AR1107" s="1273"/>
    </row>
    <row r="1108" spans="1:44" ht="12.95" customHeight="1">
      <c r="A1108" s="35"/>
      <c r="B1108" s="25"/>
      <c r="C1108" s="1269"/>
      <c r="D1108" s="1269"/>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266" t="s">
        <v>591</v>
      </c>
      <c r="B1109" s="1266"/>
      <c r="C1109" s="1269">
        <v>10</v>
      </c>
      <c r="D1109" s="1269"/>
      <c r="E1109" s="1270" t="s">
        <v>2192</v>
      </c>
      <c r="F1109" s="1270"/>
      <c r="G1109" s="1270"/>
      <c r="H1109" s="1270"/>
      <c r="I1109" s="1270"/>
      <c r="J1109" s="1270"/>
      <c r="K1109" s="1270"/>
      <c r="L1109" s="1270"/>
      <c r="M1109" s="1270"/>
      <c r="N1109" s="1270"/>
      <c r="O1109" s="1270"/>
      <c r="P1109" s="1270"/>
      <c r="Q1109" s="1270"/>
      <c r="R1109" s="1270"/>
      <c r="S1109" s="1270"/>
      <c r="T1109" s="1270"/>
      <c r="U1109" s="1270"/>
      <c r="V1109" s="1270"/>
      <c r="W1109" s="1270"/>
      <c r="X1109" s="1270"/>
      <c r="Y1109" s="1270"/>
      <c r="Z1109" s="1270"/>
      <c r="AA1109" s="1270"/>
      <c r="AB1109" s="1270"/>
      <c r="AC1109" s="1270"/>
      <c r="AD1109" s="1270"/>
      <c r="AE1109" s="1270"/>
      <c r="AF1109" s="1270"/>
      <c r="AG1109" s="1270"/>
      <c r="AH1109" s="1270"/>
      <c r="AI1109" s="1270"/>
      <c r="AJ1109" s="1270"/>
      <c r="AK1109" s="1270"/>
      <c r="AL1109" s="1270"/>
      <c r="AM1109" s="1270"/>
      <c r="AN1109" s="1270"/>
      <c r="AO1109" s="1270"/>
      <c r="AP1109" s="1270"/>
      <c r="AQ1109" s="1270"/>
      <c r="AR1109" s="1270"/>
    </row>
    <row r="1110" spans="1:44" ht="12.95" customHeight="1">
      <c r="A1110" s="1"/>
      <c r="B1110" s="1"/>
      <c r="C1110" s="199"/>
      <c r="D1110" s="1154"/>
      <c r="E1110" s="1270"/>
      <c r="F1110" s="1270"/>
      <c r="G1110" s="1270"/>
      <c r="H1110" s="1270"/>
      <c r="I1110" s="1270"/>
      <c r="J1110" s="1270"/>
      <c r="K1110" s="1270"/>
      <c r="L1110" s="1270"/>
      <c r="M1110" s="1270"/>
      <c r="N1110" s="1270"/>
      <c r="O1110" s="1270"/>
      <c r="P1110" s="1270"/>
      <c r="Q1110" s="1270"/>
      <c r="R1110" s="1270"/>
      <c r="S1110" s="1270"/>
      <c r="T1110" s="1270"/>
      <c r="U1110" s="1270"/>
      <c r="V1110" s="1270"/>
      <c r="W1110" s="1270"/>
      <c r="X1110" s="1270"/>
      <c r="Y1110" s="1270"/>
      <c r="Z1110" s="1270"/>
      <c r="AA1110" s="1270"/>
      <c r="AB1110" s="1270"/>
      <c r="AC1110" s="1270"/>
      <c r="AD1110" s="1270"/>
      <c r="AE1110" s="1270"/>
      <c r="AF1110" s="1270"/>
      <c r="AG1110" s="1270"/>
      <c r="AH1110" s="1270"/>
      <c r="AI1110" s="1270"/>
      <c r="AJ1110" s="1270"/>
      <c r="AK1110" s="1270"/>
      <c r="AL1110" s="1270"/>
      <c r="AM1110" s="1270"/>
      <c r="AN1110" s="1270"/>
      <c r="AO1110" s="1270"/>
      <c r="AP1110" s="1270"/>
      <c r="AQ1110" s="1270"/>
      <c r="AR1110" s="1270"/>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266" t="s">
        <v>591</v>
      </c>
      <c r="B1112" s="1266"/>
      <c r="C1112" s="1269">
        <v>11</v>
      </c>
      <c r="D1112" s="1269"/>
      <c r="E1112" s="1270" t="s">
        <v>2193</v>
      </c>
      <c r="F1112" s="1270"/>
      <c r="G1112" s="1270"/>
      <c r="H1112" s="1270"/>
      <c r="I1112" s="1270"/>
      <c r="J1112" s="1270"/>
      <c r="K1112" s="1270"/>
      <c r="L1112" s="1270"/>
      <c r="M1112" s="1270"/>
      <c r="N1112" s="1270"/>
      <c r="O1112" s="1270"/>
      <c r="P1112" s="1270"/>
      <c r="Q1112" s="1270"/>
      <c r="R1112" s="1270"/>
      <c r="S1112" s="1270"/>
      <c r="T1112" s="1270"/>
      <c r="U1112" s="1270"/>
      <c r="V1112" s="1270"/>
      <c r="W1112" s="1270"/>
      <c r="X1112" s="1270"/>
      <c r="Y1112" s="1270"/>
      <c r="Z1112" s="1270"/>
      <c r="AA1112" s="1270"/>
      <c r="AB1112" s="1270"/>
      <c r="AC1112" s="1270"/>
      <c r="AD1112" s="1270"/>
      <c r="AE1112" s="1270"/>
      <c r="AF1112" s="1270"/>
      <c r="AG1112" s="1270"/>
      <c r="AH1112" s="1270"/>
      <c r="AI1112" s="1270"/>
      <c r="AJ1112" s="1270"/>
      <c r="AK1112" s="1270"/>
      <c r="AL1112" s="1270"/>
      <c r="AM1112" s="1270"/>
      <c r="AN1112" s="1270"/>
      <c r="AO1112" s="1270"/>
      <c r="AP1112" s="1270"/>
      <c r="AQ1112" s="1270"/>
      <c r="AR1112" s="1270"/>
    </row>
    <row r="1113" spans="1:44" ht="12.95" customHeight="1">
      <c r="A1113" s="1"/>
      <c r="B1113" s="1"/>
      <c r="C1113" s="199"/>
      <c r="D1113" s="1154"/>
      <c r="E1113" s="1270"/>
      <c r="F1113" s="1270"/>
      <c r="G1113" s="1270"/>
      <c r="H1113" s="1270"/>
      <c r="I1113" s="1270"/>
      <c r="J1113" s="1270"/>
      <c r="K1113" s="1270"/>
      <c r="L1113" s="1270"/>
      <c r="M1113" s="1270"/>
      <c r="N1113" s="1270"/>
      <c r="O1113" s="1270"/>
      <c r="P1113" s="1270"/>
      <c r="Q1113" s="1270"/>
      <c r="R1113" s="1270"/>
      <c r="S1113" s="1270"/>
      <c r="T1113" s="1270"/>
      <c r="U1113" s="1270"/>
      <c r="V1113" s="1270"/>
      <c r="W1113" s="1270"/>
      <c r="X1113" s="1270"/>
      <c r="Y1113" s="1270"/>
      <c r="Z1113" s="1270"/>
      <c r="AA1113" s="1270"/>
      <c r="AB1113" s="1270"/>
      <c r="AC1113" s="1270"/>
      <c r="AD1113" s="1270"/>
      <c r="AE1113" s="1270"/>
      <c r="AF1113" s="1270"/>
      <c r="AG1113" s="1270"/>
      <c r="AH1113" s="1270"/>
      <c r="AI1113" s="1270"/>
      <c r="AJ1113" s="1270"/>
      <c r="AK1113" s="1270"/>
      <c r="AL1113" s="1270"/>
      <c r="AM1113" s="1270"/>
      <c r="AN1113" s="1270"/>
      <c r="AO1113" s="1270"/>
      <c r="AP1113" s="1270"/>
      <c r="AQ1113" s="1270"/>
      <c r="AR1113" s="1270"/>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266" t="s">
        <v>591</v>
      </c>
      <c r="B1134" s="1266"/>
      <c r="C1134" s="199">
        <v>9</v>
      </c>
      <c r="D1134" s="1456" t="s">
        <v>1074</v>
      </c>
      <c r="E1134" s="1456"/>
      <c r="F1134" s="1456"/>
      <c r="G1134" s="1456"/>
      <c r="H1134" s="1456"/>
      <c r="I1134" s="1456"/>
      <c r="J1134" s="1456"/>
      <c r="K1134" s="1456"/>
      <c r="L1134" s="1456"/>
      <c r="M1134" s="1456"/>
      <c r="N1134" s="1456"/>
      <c r="O1134" s="1456"/>
      <c r="P1134" s="1456"/>
      <c r="Q1134" s="1456"/>
      <c r="R1134" s="1456"/>
      <c r="S1134" s="1456"/>
      <c r="T1134" s="1456"/>
      <c r="U1134" s="1456"/>
      <c r="V1134" s="1456"/>
      <c r="W1134" s="1456"/>
      <c r="X1134" s="1456"/>
      <c r="Y1134" s="1456"/>
      <c r="Z1134" s="1456"/>
      <c r="AA1134" s="1456"/>
      <c r="AB1134" s="1456"/>
      <c r="AC1134" s="1456"/>
      <c r="AD1134" s="1456"/>
      <c r="AE1134" s="1456"/>
      <c r="AF1134" s="1456"/>
      <c r="AG1134" s="1456"/>
      <c r="AH1134" s="1456"/>
      <c r="AI1134" s="1456"/>
      <c r="AJ1134" s="1456"/>
      <c r="AK1134" s="1456"/>
    </row>
    <row r="1135" spans="1:37" ht="0" hidden="1" customHeight="1">
      <c r="A1135" s="35"/>
      <c r="B1135" s="25"/>
      <c r="C1135" s="199"/>
      <c r="D1135" s="1456"/>
      <c r="E1135" s="1456"/>
      <c r="F1135" s="1456"/>
      <c r="G1135" s="1456"/>
      <c r="H1135" s="1456"/>
      <c r="I1135" s="1456"/>
      <c r="J1135" s="1456"/>
      <c r="K1135" s="1456"/>
      <c r="L1135" s="1456"/>
      <c r="M1135" s="1456"/>
      <c r="N1135" s="1456"/>
      <c r="O1135" s="1456"/>
      <c r="P1135" s="1456"/>
      <c r="Q1135" s="1456"/>
      <c r="R1135" s="1456"/>
      <c r="S1135" s="1456"/>
      <c r="T1135" s="1456"/>
      <c r="U1135" s="1456"/>
      <c r="V1135" s="1456"/>
      <c r="W1135" s="1456"/>
      <c r="X1135" s="1456"/>
      <c r="Y1135" s="1456"/>
      <c r="Z1135" s="1456"/>
      <c r="AA1135" s="1456"/>
      <c r="AB1135" s="1456"/>
      <c r="AC1135" s="1456"/>
      <c r="AD1135" s="1456"/>
      <c r="AE1135" s="1456"/>
      <c r="AF1135" s="1456"/>
      <c r="AG1135" s="1456"/>
      <c r="AH1135" s="1456"/>
      <c r="AI1135" s="1456"/>
      <c r="AJ1135" s="1456"/>
      <c r="AK1135" s="1456"/>
    </row>
    <row r="1136" spans="1:37" ht="0" hidden="1" customHeight="1">
      <c r="D1136" s="1456"/>
      <c r="E1136" s="1456"/>
      <c r="F1136" s="1456"/>
      <c r="G1136" s="1456"/>
      <c r="H1136" s="1456"/>
      <c r="I1136" s="1456"/>
      <c r="J1136" s="1456"/>
      <c r="K1136" s="1456"/>
      <c r="L1136" s="1456"/>
      <c r="M1136" s="1456"/>
      <c r="N1136" s="1456"/>
      <c r="O1136" s="1456"/>
      <c r="P1136" s="1456"/>
      <c r="Q1136" s="1456"/>
      <c r="R1136" s="1456"/>
      <c r="S1136" s="1456"/>
      <c r="T1136" s="1456"/>
      <c r="U1136" s="1456"/>
      <c r="V1136" s="1456"/>
      <c r="W1136" s="1456"/>
      <c r="X1136" s="1456"/>
      <c r="Y1136" s="1456"/>
      <c r="Z1136" s="1456"/>
      <c r="AA1136" s="1456"/>
      <c r="AB1136" s="1456"/>
      <c r="AC1136" s="1456"/>
      <c r="AD1136" s="1456"/>
      <c r="AE1136" s="1456"/>
      <c r="AF1136" s="1456"/>
      <c r="AG1136" s="1456"/>
      <c r="AH1136" s="1456"/>
      <c r="AI1136" s="1456"/>
      <c r="AJ1136" s="1456"/>
      <c r="AK1136" s="1456"/>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CI758:CJ758"/>
    <mergeCell ref="DZ801:ED801"/>
    <mergeCell ref="DZ805:ED805"/>
    <mergeCell ref="DJ798:DN798"/>
    <mergeCell ref="DJ799:DN799"/>
    <mergeCell ref="DJ800:DN800"/>
    <mergeCell ref="DJ801:DN801"/>
    <mergeCell ref="DJ802:DN802"/>
    <mergeCell ref="DO800:DS800"/>
    <mergeCell ref="EO804:ES804"/>
    <mergeCell ref="DU805:DY805"/>
    <mergeCell ref="DU804:DY804"/>
    <mergeCell ref="DJ805:DN805"/>
    <mergeCell ref="DO802:DS802"/>
    <mergeCell ref="DO803:DS803"/>
    <mergeCell ref="DO804:DS804"/>
    <mergeCell ref="DO805:DS805"/>
    <mergeCell ref="DU797:DY797"/>
    <mergeCell ref="DU798:DY798"/>
    <mergeCell ref="DU799:DY799"/>
    <mergeCell ref="DU800:DY800"/>
    <mergeCell ref="DU801:DY801"/>
    <mergeCell ref="DU802:DY802"/>
    <mergeCell ref="DO797:DS797"/>
    <mergeCell ref="DO798:DS798"/>
    <mergeCell ref="DO799:DS799"/>
    <mergeCell ref="DO801:DS801"/>
    <mergeCell ref="DZ802:ED802"/>
    <mergeCell ref="DZ803:ED803"/>
    <mergeCell ref="DZ804:ED804"/>
    <mergeCell ref="CU758:CY758"/>
    <mergeCell ref="CK754:CL754"/>
    <mergeCell ref="CZ752:DD752"/>
    <mergeCell ref="CU795:CY795"/>
    <mergeCell ref="CZ758:DD758"/>
    <mergeCell ref="CK756:CL756"/>
    <mergeCell ref="CM756:CN756"/>
    <mergeCell ref="CP759:CT759"/>
    <mergeCell ref="CM759:CN759"/>
    <mergeCell ref="DJ803:DN803"/>
    <mergeCell ref="CZ797:DD797"/>
    <mergeCell ref="CZ798:DD798"/>
    <mergeCell ref="CU802:CY802"/>
    <mergeCell ref="CU803:CY803"/>
    <mergeCell ref="DJ757:DN757"/>
    <mergeCell ref="DE797:DI797"/>
    <mergeCell ref="EJ796:EN796"/>
    <mergeCell ref="EJ797:EN797"/>
    <mergeCell ref="EJ798:EN798"/>
    <mergeCell ref="EJ799:EN799"/>
    <mergeCell ref="EJ800:EN800"/>
    <mergeCell ref="EJ801:EN801"/>
    <mergeCell ref="EJ802:EN802"/>
    <mergeCell ref="EJ803:EN803"/>
    <mergeCell ref="CZ781:DD781"/>
    <mergeCell ref="DE796:DI796"/>
    <mergeCell ref="H346:R346"/>
    <mergeCell ref="H347:R347"/>
    <mergeCell ref="H348:M348"/>
    <mergeCell ref="H350:R350"/>
    <mergeCell ref="CU796:CY796"/>
    <mergeCell ref="DO795:DS795"/>
    <mergeCell ref="DO796:DS796"/>
    <mergeCell ref="AA322:AK322"/>
    <mergeCell ref="CU797:CY797"/>
    <mergeCell ref="DJ804:DN804"/>
    <mergeCell ref="CZ801:DD801"/>
    <mergeCell ref="CZ799:DD799"/>
    <mergeCell ref="CK758:CL758"/>
    <mergeCell ref="CK745:CL745"/>
    <mergeCell ref="CK741:CL741"/>
    <mergeCell ref="CU752:CY752"/>
    <mergeCell ref="CK730:CL730"/>
    <mergeCell ref="CK733:CL733"/>
    <mergeCell ref="CU749:CY749"/>
    <mergeCell ref="CZ747:DD747"/>
    <mergeCell ref="CK742:CL742"/>
    <mergeCell ref="CM742:CN742"/>
    <mergeCell ref="CK746:CL746"/>
    <mergeCell ref="CP736:CT736"/>
    <mergeCell ref="CU736:CY736"/>
    <mergeCell ref="CZ800:DD800"/>
    <mergeCell ref="DE801:DI801"/>
    <mergeCell ref="DE802:DI802"/>
    <mergeCell ref="DJ795:DN795"/>
    <mergeCell ref="DJ796:DN796"/>
    <mergeCell ref="DJ797:DN797"/>
    <mergeCell ref="CI760:CJ760"/>
    <mergeCell ref="EJ804:EN804"/>
    <mergeCell ref="EJ805:EN805"/>
    <mergeCell ref="EO795:ES795"/>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805:ES805"/>
    <mergeCell ref="DZ795:ED795"/>
    <mergeCell ref="DZ796:ED796"/>
    <mergeCell ref="DZ797:ED797"/>
    <mergeCell ref="DZ798:ED798"/>
    <mergeCell ref="DZ799:ED799"/>
    <mergeCell ref="DZ800:ED800"/>
    <mergeCell ref="EO797:ES797"/>
    <mergeCell ref="EO798:ES798"/>
    <mergeCell ref="EO799:ES799"/>
    <mergeCell ref="EO800:ES800"/>
    <mergeCell ref="EO801:ES801"/>
    <mergeCell ref="EO802:ES802"/>
    <mergeCell ref="EO803:ES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CZ803:DD803"/>
    <mergeCell ref="CZ804:DD804"/>
    <mergeCell ref="CZ805:DD805"/>
    <mergeCell ref="DE805:DI805"/>
    <mergeCell ref="CU804:CY804"/>
    <mergeCell ref="CU805:CY805"/>
    <mergeCell ref="CZ802:DD802"/>
    <mergeCell ref="CU798:CY798"/>
    <mergeCell ref="C838:H838"/>
    <mergeCell ref="CP805:CT805"/>
    <mergeCell ref="DE800:DI800"/>
    <mergeCell ref="CZ795:DD795"/>
    <mergeCell ref="CZ796:DD796"/>
    <mergeCell ref="CG757:CH757"/>
    <mergeCell ref="CP754:CT754"/>
    <mergeCell ref="CU754:CY754"/>
    <mergeCell ref="CP753:CT753"/>
    <mergeCell ref="CZ759:DD759"/>
    <mergeCell ref="CP756:CT756"/>
    <mergeCell ref="CM761:CN761"/>
    <mergeCell ref="CU799:CY799"/>
    <mergeCell ref="CU800:CY800"/>
    <mergeCell ref="CG756:CH756"/>
    <mergeCell ref="CI756:CJ756"/>
    <mergeCell ref="CI759:CJ759"/>
    <mergeCell ref="CI757:CJ757"/>
    <mergeCell ref="CK757:CL757"/>
    <mergeCell ref="CU755:CY755"/>
    <mergeCell ref="CZ783:DD783"/>
    <mergeCell ref="CZ784:DD784"/>
    <mergeCell ref="CP785:CT785"/>
    <mergeCell ref="CI753:CJ753"/>
    <mergeCell ref="CP757:CT757"/>
    <mergeCell ref="CP755:CT755"/>
    <mergeCell ref="DE803:DI803"/>
    <mergeCell ref="CI754:CJ754"/>
    <mergeCell ref="CP795:CT795"/>
    <mergeCell ref="DE795:DI795"/>
    <mergeCell ref="CP797:CT797"/>
    <mergeCell ref="CP781:CT781"/>
    <mergeCell ref="CP758:CT758"/>
    <mergeCell ref="CI761:CJ761"/>
    <mergeCell ref="CK759:CL759"/>
    <mergeCell ref="CP783:CT783"/>
    <mergeCell ref="CP784:CT784"/>
    <mergeCell ref="CU781:CY781"/>
    <mergeCell ref="CP746:CT746"/>
    <mergeCell ref="CK753:CL753"/>
    <mergeCell ref="CG752:CH752"/>
    <mergeCell ref="CI752:CJ752"/>
    <mergeCell ref="CG758:CH758"/>
    <mergeCell ref="CM754:CN754"/>
    <mergeCell ref="DE756:DI756"/>
    <mergeCell ref="CK752:CL752"/>
    <mergeCell ref="CM752:CN752"/>
    <mergeCell ref="CK747:CL747"/>
    <mergeCell ref="CU756:CY756"/>
    <mergeCell ref="CG755:CH755"/>
    <mergeCell ref="CI755:CJ755"/>
    <mergeCell ref="CG746:CH746"/>
    <mergeCell ref="CG748:CH748"/>
    <mergeCell ref="DE784:DI784"/>
    <mergeCell ref="CG751:CH751"/>
    <mergeCell ref="CK760:CL760"/>
    <mergeCell ref="DE750:DI750"/>
    <mergeCell ref="DE755:DI755"/>
    <mergeCell ref="CU759:CY759"/>
    <mergeCell ref="CZ755:DD755"/>
    <mergeCell ref="CZ782:DD782"/>
    <mergeCell ref="CK755:CL755"/>
    <mergeCell ref="CM755:CN755"/>
    <mergeCell ref="CP750:CT750"/>
    <mergeCell ref="CU784:CY784"/>
    <mergeCell ref="CM750:CN750"/>
    <mergeCell ref="CZ748:DD748"/>
    <mergeCell ref="CU753:CY753"/>
    <mergeCell ref="CZ745:DD745"/>
    <mergeCell ref="CU743:CY743"/>
    <mergeCell ref="CI741:CJ741"/>
    <mergeCell ref="CP743:CT743"/>
    <mergeCell ref="CP741:CT741"/>
    <mergeCell ref="CM748:CN748"/>
    <mergeCell ref="CG753:CH753"/>
    <mergeCell ref="CG744:CH744"/>
    <mergeCell ref="CI748:CJ748"/>
    <mergeCell ref="CP745:CT745"/>
    <mergeCell ref="CZ742:DD742"/>
    <mergeCell ref="CP749:CT749"/>
    <mergeCell ref="CP751:CT751"/>
    <mergeCell ref="CZ746:DD746"/>
    <mergeCell ref="CZ743:DD743"/>
    <mergeCell ref="CU742:CY742"/>
    <mergeCell ref="CK751:CL751"/>
    <mergeCell ref="CP752:CT752"/>
    <mergeCell ref="FT735:FX735"/>
    <mergeCell ref="FJ734:FN734"/>
    <mergeCell ref="FO734:FS734"/>
    <mergeCell ref="FT734:FX734"/>
    <mergeCell ref="ET761:EX761"/>
    <mergeCell ref="FO759:FS759"/>
    <mergeCell ref="FE761:FI761"/>
    <mergeCell ref="CZ753:DD753"/>
    <mergeCell ref="ET757:EX757"/>
    <mergeCell ref="DO756:DS756"/>
    <mergeCell ref="FJ757:FN757"/>
    <mergeCell ref="DJ751:DN751"/>
    <mergeCell ref="DO751:DS751"/>
    <mergeCell ref="DO752:DS752"/>
    <mergeCell ref="DJ759:DN759"/>
    <mergeCell ref="DO758:DS758"/>
    <mergeCell ref="DJ753:DN753"/>
    <mergeCell ref="DO753:DS753"/>
    <mergeCell ref="EO755:ES755"/>
    <mergeCell ref="ET755:EX755"/>
    <mergeCell ref="DU756:DY756"/>
    <mergeCell ref="DZ756:ED756"/>
    <mergeCell ref="EE756:EI756"/>
    <mergeCell ref="EJ756:EN756"/>
    <mergeCell ref="EO756:ES756"/>
    <mergeCell ref="ET756:EX756"/>
    <mergeCell ref="FE759:FI759"/>
    <mergeCell ref="FJ759:FN759"/>
    <mergeCell ref="CZ761:DD761"/>
    <mergeCell ref="EE759:EI759"/>
    <mergeCell ref="DU759:DY759"/>
    <mergeCell ref="CZ749:DD749"/>
    <mergeCell ref="FY761:GC761"/>
    <mergeCell ref="FO761:FS761"/>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M667:EQ667"/>
    <mergeCell ref="ER667:EV667"/>
    <mergeCell ref="EJ753:EN753"/>
    <mergeCell ref="DU753:DY753"/>
    <mergeCell ref="DZ753:ED753"/>
    <mergeCell ref="FE756:FI756"/>
    <mergeCell ref="FY755:GC755"/>
    <mergeCell ref="EE757:EI757"/>
    <mergeCell ref="EJ757:EN757"/>
    <mergeCell ref="EO757:ES757"/>
    <mergeCell ref="EE755:EI755"/>
    <mergeCell ref="EJ755:EN755"/>
    <mergeCell ref="FO749:FS749"/>
    <mergeCell ref="FT725:FX725"/>
    <mergeCell ref="FY725:GC725"/>
    <mergeCell ref="FY758:GC758"/>
    <mergeCell ref="FJ761:FN761"/>
    <mergeCell ref="CU757:CY757"/>
    <mergeCell ref="CZ757:DD757"/>
    <mergeCell ref="DE757:DI757"/>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60:EX760"/>
    <mergeCell ref="EO759:ES759"/>
    <mergeCell ref="CZ760:DD760"/>
    <mergeCell ref="EZ760:FD760"/>
    <mergeCell ref="FE760:FI760"/>
    <mergeCell ref="FJ760:FN760"/>
    <mergeCell ref="FO760:FS760"/>
    <mergeCell ref="FT760:FX760"/>
    <mergeCell ref="EZ759:FD759"/>
    <mergeCell ref="FY754:GC754"/>
    <mergeCell ref="FT753:FX753"/>
    <mergeCell ref="FY759:GC759"/>
    <mergeCell ref="FT761:FX761"/>
    <mergeCell ref="FE755:FI755"/>
    <mergeCell ref="FT759:FX759"/>
    <mergeCell ref="FY756:GC756"/>
    <mergeCell ref="EJ754:EN754"/>
    <mergeCell ref="EO754:ES754"/>
    <mergeCell ref="ET754:EX754"/>
    <mergeCell ref="DU755:DY755"/>
    <mergeCell ref="FY757:GC757"/>
    <mergeCell ref="FE754:FI754"/>
    <mergeCell ref="FJ754:FN754"/>
    <mergeCell ref="FO754:FS754"/>
    <mergeCell ref="FT754:FX754"/>
    <mergeCell ref="ET751:EX751"/>
    <mergeCell ref="FE749:FI749"/>
    <mergeCell ref="FJ749:FN749"/>
    <mergeCell ref="FE750:FI750"/>
    <mergeCell ref="FJ750:FN750"/>
    <mergeCell ref="DJ750:DN750"/>
    <mergeCell ref="DU750:DY750"/>
    <mergeCell ref="FO757:FS757"/>
    <mergeCell ref="FY753:GC753"/>
    <mergeCell ref="EZ754:FD754"/>
    <mergeCell ref="FT756:FX756"/>
    <mergeCell ref="FT757:FX757"/>
    <mergeCell ref="FY749:GC749"/>
    <mergeCell ref="DO749:DS749"/>
    <mergeCell ref="DJ755:DN755"/>
    <mergeCell ref="FE757:FI757"/>
    <mergeCell ref="EJ752:EN752"/>
    <mergeCell ref="EO752:ES752"/>
    <mergeCell ref="ET752:EX752"/>
    <mergeCell ref="EE750:EI750"/>
    <mergeCell ref="EJ750:EN750"/>
    <mergeCell ref="ET753:EX753"/>
    <mergeCell ref="CZ741:DD741"/>
    <mergeCell ref="DE726:DI726"/>
    <mergeCell ref="CK726:CL726"/>
    <mergeCell ref="AI564:AL564"/>
    <mergeCell ref="EO750:ES750"/>
    <mergeCell ref="DJ749:DN749"/>
    <mergeCell ref="CU748:CY748"/>
    <mergeCell ref="AK751:AO751"/>
    <mergeCell ref="AI565:AL565"/>
    <mergeCell ref="CG742:CH742"/>
    <mergeCell ref="CP747:CT747"/>
    <mergeCell ref="CM746:CN746"/>
    <mergeCell ref="CG749:CH749"/>
    <mergeCell ref="CU744:CY744"/>
    <mergeCell ref="CU735:CY735"/>
    <mergeCell ref="CK732:CL732"/>
    <mergeCell ref="EW666:FA666"/>
    <mergeCell ref="EW675:FA675"/>
    <mergeCell ref="EM669:EQ669"/>
    <mergeCell ref="CI749:CJ749"/>
    <mergeCell ref="CI750:CJ750"/>
    <mergeCell ref="AK750:AO750"/>
    <mergeCell ref="AO640:AS640"/>
    <mergeCell ref="DX666:EB666"/>
    <mergeCell ref="EC666:EG666"/>
    <mergeCell ref="CG741:CH741"/>
    <mergeCell ref="CI742:CJ742"/>
    <mergeCell ref="CG747:CH747"/>
    <mergeCell ref="CK743:CL743"/>
    <mergeCell ref="CM744:CN744"/>
    <mergeCell ref="CI746:CJ746"/>
    <mergeCell ref="CK750:CL750"/>
    <mergeCell ref="ET749:EX749"/>
    <mergeCell ref="Z613:AE613"/>
    <mergeCell ref="CU737:CY737"/>
    <mergeCell ref="CK744:CL744"/>
    <mergeCell ref="T732:W732"/>
    <mergeCell ref="AM559:AS561"/>
    <mergeCell ref="AH730:AJ730"/>
    <mergeCell ref="Z595:AK595"/>
    <mergeCell ref="M562:P562"/>
    <mergeCell ref="AI580:AK580"/>
    <mergeCell ref="CM741:CN741"/>
    <mergeCell ref="CM743:CN743"/>
    <mergeCell ref="CK749:CL749"/>
    <mergeCell ref="CM747:CN747"/>
    <mergeCell ref="EW644:FA644"/>
    <mergeCell ref="ER645:EV645"/>
    <mergeCell ref="AI559:AL561"/>
    <mergeCell ref="AA590:AK590"/>
    <mergeCell ref="H581:R581"/>
    <mergeCell ref="ER673:EV673"/>
    <mergeCell ref="AE568:AH568"/>
    <mergeCell ref="DX643:EB643"/>
    <mergeCell ref="DX646:EB646"/>
    <mergeCell ref="Q562:S562"/>
    <mergeCell ref="Z636:AB636"/>
    <mergeCell ref="AM568:AS568"/>
    <mergeCell ref="CI737:CJ737"/>
    <mergeCell ref="CG735:CH735"/>
    <mergeCell ref="CZ736:DD736"/>
    <mergeCell ref="Z578:AK578"/>
    <mergeCell ref="AM565:AS565"/>
    <mergeCell ref="Z643:AB643"/>
    <mergeCell ref="AH540:AK540"/>
    <mergeCell ref="AC530:AF530"/>
    <mergeCell ref="T562:V562"/>
    <mergeCell ref="AC532:AF532"/>
    <mergeCell ref="AH514:AK514"/>
    <mergeCell ref="AH516:AK516"/>
    <mergeCell ref="AC548:AF548"/>
    <mergeCell ref="B497:P498"/>
    <mergeCell ref="AH545:AK545"/>
    <mergeCell ref="AC542:AF542"/>
    <mergeCell ref="AH515:AK515"/>
    <mergeCell ref="AG459:AJ459"/>
    <mergeCell ref="D475:V475"/>
    <mergeCell ref="C562:L562"/>
    <mergeCell ref="D454:AF454"/>
    <mergeCell ref="AH524:AK524"/>
    <mergeCell ref="AH538:AK538"/>
    <mergeCell ref="Z562:AD562"/>
    <mergeCell ref="AH546:AK546"/>
    <mergeCell ref="AH525:AK525"/>
    <mergeCell ref="AC511:AF511"/>
    <mergeCell ref="AC521:AF521"/>
    <mergeCell ref="AC526:AF526"/>
    <mergeCell ref="AH512:AK512"/>
    <mergeCell ref="AH520:AK520"/>
    <mergeCell ref="AH528:AK528"/>
    <mergeCell ref="AC534:AF534"/>
    <mergeCell ref="A552:AT553"/>
    <mergeCell ref="AH544:AK544"/>
    <mergeCell ref="AH541:AK541"/>
    <mergeCell ref="Z559:AD561"/>
    <mergeCell ref="AC549:AF549"/>
    <mergeCell ref="Y373:Z373"/>
    <mergeCell ref="N387:P387"/>
    <mergeCell ref="W427:Y427"/>
    <mergeCell ref="AG448:AJ448"/>
    <mergeCell ref="AE433:AF433"/>
    <mergeCell ref="N380:Q380"/>
    <mergeCell ref="V391:W391"/>
    <mergeCell ref="AC543:AF543"/>
    <mergeCell ref="AC520:AF520"/>
    <mergeCell ref="AC550:AF550"/>
    <mergeCell ref="AC512:AF512"/>
    <mergeCell ref="AC515:AF515"/>
    <mergeCell ref="AC541:AF541"/>
    <mergeCell ref="AC538:AF538"/>
    <mergeCell ref="AC525:AF525"/>
    <mergeCell ref="AH549:AK549"/>
    <mergeCell ref="D460:AJ461"/>
    <mergeCell ref="AC379:AF379"/>
    <mergeCell ref="AE411:AJ411"/>
    <mergeCell ref="AG400:AJ400"/>
    <mergeCell ref="S401:U401"/>
    <mergeCell ref="AG399:AJ399"/>
    <mergeCell ref="Q400:U400"/>
    <mergeCell ref="N381:Q381"/>
    <mergeCell ref="AC513:AF513"/>
    <mergeCell ref="AC510:AF510"/>
    <mergeCell ref="W478:Y478"/>
    <mergeCell ref="O528:AA528"/>
    <mergeCell ref="AH526:AK526"/>
    <mergeCell ref="AH521:AK521"/>
    <mergeCell ref="AC527:AF527"/>
    <mergeCell ref="AC531:AF531"/>
    <mergeCell ref="Z576:AK576"/>
    <mergeCell ref="Z579:AK579"/>
    <mergeCell ref="Z640:AB640"/>
    <mergeCell ref="AM563:AS563"/>
    <mergeCell ref="AM573:AS573"/>
    <mergeCell ref="AF635:AJ635"/>
    <mergeCell ref="AA622:AK622"/>
    <mergeCell ref="AC632:AE634"/>
    <mergeCell ref="AG623:AH623"/>
    <mergeCell ref="Z570:AD570"/>
    <mergeCell ref="B574:AL574"/>
    <mergeCell ref="M565:P565"/>
    <mergeCell ref="AI567:AL567"/>
    <mergeCell ref="Q632:S634"/>
    <mergeCell ref="N583:O583"/>
    <mergeCell ref="T567:V567"/>
    <mergeCell ref="Z577:AK577"/>
    <mergeCell ref="W565:Y565"/>
    <mergeCell ref="AE565:AH565"/>
    <mergeCell ref="T570:V570"/>
    <mergeCell ref="AI566:AL566"/>
    <mergeCell ref="AE563:AH563"/>
    <mergeCell ref="Z564:AD564"/>
    <mergeCell ref="M566:P566"/>
    <mergeCell ref="G579:R579"/>
    <mergeCell ref="Q567:S567"/>
    <mergeCell ref="C635:L635"/>
    <mergeCell ref="Q568:S568"/>
    <mergeCell ref="G586:R586"/>
    <mergeCell ref="Z586:AK586"/>
    <mergeCell ref="T559:V561"/>
    <mergeCell ref="AC546:AF546"/>
    <mergeCell ref="AC744:AG744"/>
    <mergeCell ref="AC741:AG741"/>
    <mergeCell ref="X731:AB731"/>
    <mergeCell ref="CZ729:DD729"/>
    <mergeCell ref="CI747:CJ747"/>
    <mergeCell ref="X739:AB739"/>
    <mergeCell ref="X754:AB754"/>
    <mergeCell ref="AM562:AS562"/>
    <mergeCell ref="AO647:AS647"/>
    <mergeCell ref="AO637:AS637"/>
    <mergeCell ref="AO646:AS646"/>
    <mergeCell ref="K413:AJ413"/>
    <mergeCell ref="AH530:AK530"/>
    <mergeCell ref="AC514:AF514"/>
    <mergeCell ref="Q497:R498"/>
    <mergeCell ref="D478:V478"/>
    <mergeCell ref="B522:H524"/>
    <mergeCell ref="B525:H527"/>
    <mergeCell ref="AH535:AK535"/>
    <mergeCell ref="O531:AA531"/>
    <mergeCell ref="D458:AF458"/>
    <mergeCell ref="D415:AJ416"/>
    <mergeCell ref="AH532:AK532"/>
    <mergeCell ref="AH533:AK533"/>
    <mergeCell ref="AG447:AJ447"/>
    <mergeCell ref="I419:AE419"/>
    <mergeCell ref="AF638:AJ638"/>
    <mergeCell ref="AH537:AK537"/>
    <mergeCell ref="AH542:AK542"/>
    <mergeCell ref="AI568:AL568"/>
    <mergeCell ref="AI401:AJ401"/>
    <mergeCell ref="AG403:AJ403"/>
    <mergeCell ref="AC395:AJ395"/>
    <mergeCell ref="CZ744:DD744"/>
    <mergeCell ref="CK727:CL727"/>
    <mergeCell ref="CU745:CY745"/>
    <mergeCell ref="CI740:CJ740"/>
    <mergeCell ref="CG737:CH737"/>
    <mergeCell ref="CG731:CH731"/>
    <mergeCell ref="CG728:CH728"/>
    <mergeCell ref="CU741:CY741"/>
    <mergeCell ref="CU751:CY751"/>
    <mergeCell ref="CM758:CN758"/>
    <mergeCell ref="CM749:CN749"/>
    <mergeCell ref="CU750:CY750"/>
    <mergeCell ref="CZ750:DD750"/>
    <mergeCell ref="CG743:CH743"/>
    <mergeCell ref="CM729:CN729"/>
    <mergeCell ref="CZ751:DD751"/>
    <mergeCell ref="CI730:CJ730"/>
    <mergeCell ref="CG739:CH739"/>
    <mergeCell ref="CK734:CL734"/>
    <mergeCell ref="CP730:CT730"/>
    <mergeCell ref="CI732:CJ732"/>
    <mergeCell ref="CP740:CT740"/>
    <mergeCell ref="CM737:CN737"/>
    <mergeCell ref="CK738:CL738"/>
    <mergeCell ref="CM736:CN736"/>
    <mergeCell ref="Z660:AK660"/>
    <mergeCell ref="AG446:AJ446"/>
    <mergeCell ref="AC523:AF523"/>
    <mergeCell ref="AC529:AF529"/>
    <mergeCell ref="Q559:S561"/>
    <mergeCell ref="T728:W728"/>
    <mergeCell ref="K722:N725"/>
    <mergeCell ref="H423:AE424"/>
    <mergeCell ref="AC518:AF518"/>
    <mergeCell ref="AH522:AK522"/>
    <mergeCell ref="Q563:S563"/>
    <mergeCell ref="M559:P561"/>
    <mergeCell ref="AC544:AF544"/>
    <mergeCell ref="D476:V476"/>
    <mergeCell ref="AI562:AL562"/>
    <mergeCell ref="AG454:AJ454"/>
    <mergeCell ref="AH539:AK539"/>
    <mergeCell ref="AH548:AK548"/>
    <mergeCell ref="AC516:AF516"/>
    <mergeCell ref="D480:V480"/>
    <mergeCell ref="W480:Y480"/>
    <mergeCell ref="AH518:AK518"/>
    <mergeCell ref="Q496:AK496"/>
    <mergeCell ref="AF439:AG439"/>
    <mergeCell ref="AH547:AK547"/>
    <mergeCell ref="AE559:AH561"/>
    <mergeCell ref="W477:Y477"/>
    <mergeCell ref="Q500:AK500"/>
    <mergeCell ref="AF427:AH427"/>
    <mergeCell ref="AC536:AF536"/>
    <mergeCell ref="D455:AF455"/>
    <mergeCell ref="AG450:AJ450"/>
    <mergeCell ref="Q502:AK502"/>
    <mergeCell ref="AC464:AF464"/>
    <mergeCell ref="D474:V474"/>
    <mergeCell ref="Q499:AK499"/>
    <mergeCell ref="J397:U397"/>
    <mergeCell ref="AG458:AJ458"/>
    <mergeCell ref="Z563:AD563"/>
    <mergeCell ref="O543:AA543"/>
    <mergeCell ref="AH531:AK531"/>
    <mergeCell ref="AE562:AH562"/>
    <mergeCell ref="W474:Y474"/>
    <mergeCell ref="AG455:AJ455"/>
    <mergeCell ref="W475:Y475"/>
    <mergeCell ref="J376:K376"/>
    <mergeCell ref="AG388:AH388"/>
    <mergeCell ref="T566:V566"/>
    <mergeCell ref="C566:L566"/>
    <mergeCell ref="O540:AA540"/>
    <mergeCell ref="T573:V573"/>
    <mergeCell ref="C568:L568"/>
    <mergeCell ref="Z568:AD568"/>
    <mergeCell ref="Z567:AD567"/>
    <mergeCell ref="T565:V565"/>
    <mergeCell ref="W564:Y564"/>
    <mergeCell ref="AG404:AJ404"/>
    <mergeCell ref="S414:AJ414"/>
    <mergeCell ref="V386:W386"/>
    <mergeCell ref="K412:AJ412"/>
    <mergeCell ref="AH543:AK543"/>
    <mergeCell ref="AC540:AF540"/>
    <mergeCell ref="AC539:AF539"/>
    <mergeCell ref="AC547:AF547"/>
    <mergeCell ref="L516:AB516"/>
    <mergeCell ref="AI398:AJ398"/>
    <mergeCell ref="AH508:AK508"/>
    <mergeCell ref="D481:V481"/>
    <mergeCell ref="P355:AE355"/>
    <mergeCell ref="Q399:U399"/>
    <mergeCell ref="Q569:S569"/>
    <mergeCell ref="N591:O591"/>
    <mergeCell ref="Q565:S565"/>
    <mergeCell ref="C564:L564"/>
    <mergeCell ref="M564:P564"/>
    <mergeCell ref="C567:L567"/>
    <mergeCell ref="B559:L561"/>
    <mergeCell ref="W570:Y570"/>
    <mergeCell ref="Q438:R438"/>
    <mergeCell ref="D457:AF457"/>
    <mergeCell ref="M563:P563"/>
    <mergeCell ref="C563:L563"/>
    <mergeCell ref="T564:V564"/>
    <mergeCell ref="W559:Y561"/>
    <mergeCell ref="Z565:AD565"/>
    <mergeCell ref="Q570:S570"/>
    <mergeCell ref="S386:T386"/>
    <mergeCell ref="D446:AF446"/>
    <mergeCell ref="D451:AF451"/>
    <mergeCell ref="R421:S421"/>
    <mergeCell ref="I430:K430"/>
    <mergeCell ref="P427:R427"/>
    <mergeCell ref="M503:P503"/>
    <mergeCell ref="AC509:AF509"/>
    <mergeCell ref="B509:H510"/>
    <mergeCell ref="E429:AJ429"/>
    <mergeCell ref="W473:Y473"/>
    <mergeCell ref="AH529:AK529"/>
    <mergeCell ref="AH509:AK509"/>
    <mergeCell ref="G482:V482"/>
    <mergeCell ref="P348:R348"/>
    <mergeCell ref="AA350:AK350"/>
    <mergeCell ref="S497:AK498"/>
    <mergeCell ref="Q501:AK501"/>
    <mergeCell ref="Q564:S564"/>
    <mergeCell ref="E377:AH378"/>
    <mergeCell ref="Q374:AG374"/>
    <mergeCell ref="H349:M349"/>
    <mergeCell ref="AJ365:AK365"/>
    <mergeCell ref="AD386:AE386"/>
    <mergeCell ref="AC380:AF380"/>
    <mergeCell ref="O537:AA537"/>
    <mergeCell ref="B528:H550"/>
    <mergeCell ref="Z441:AA441"/>
    <mergeCell ref="Q495:AK495"/>
    <mergeCell ref="Q494:AK494"/>
    <mergeCell ref="AH510:AK510"/>
    <mergeCell ref="AC507:AK507"/>
    <mergeCell ref="W476:Y476"/>
    <mergeCell ref="B511:H516"/>
    <mergeCell ref="AH550:AK550"/>
    <mergeCell ref="M365:N365"/>
    <mergeCell ref="P356:Z356"/>
    <mergeCell ref="D479:V479"/>
    <mergeCell ref="P433:Q433"/>
    <mergeCell ref="N379:Q379"/>
    <mergeCell ref="V390:W390"/>
    <mergeCell ref="W479:Y479"/>
    <mergeCell ref="AD421:AE421"/>
    <mergeCell ref="AE434:AF434"/>
    <mergeCell ref="AC528:AF528"/>
    <mergeCell ref="AC535:AF535"/>
    <mergeCell ref="U245:W245"/>
    <mergeCell ref="T189:AE189"/>
    <mergeCell ref="T212:U212"/>
    <mergeCell ref="AA247:AK247"/>
    <mergeCell ref="M248:AE248"/>
    <mergeCell ref="M252:AE252"/>
    <mergeCell ref="M247:T247"/>
    <mergeCell ref="W262:X262"/>
    <mergeCell ref="M261:AE261"/>
    <mergeCell ref="H337:R337"/>
    <mergeCell ref="AI332:AK332"/>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D208:M208"/>
    <mergeCell ref="X180:Y180"/>
    <mergeCell ref="AP205:AQ205"/>
    <mergeCell ref="I185:AE185"/>
    <mergeCell ref="O159:T159"/>
    <mergeCell ref="O161:AH161"/>
    <mergeCell ref="A86:AT87"/>
    <mergeCell ref="Y120:AK120"/>
    <mergeCell ref="AA312:AK312"/>
    <mergeCell ref="D279:H279"/>
    <mergeCell ref="X279:AC279"/>
    <mergeCell ref="H320:R320"/>
    <mergeCell ref="H317:M317"/>
    <mergeCell ref="P316:R316"/>
    <mergeCell ref="H314:R314"/>
    <mergeCell ref="AA297:AK297"/>
    <mergeCell ref="U264:W264"/>
    <mergeCell ref="P308:R308"/>
    <mergeCell ref="M273:AE273"/>
    <mergeCell ref="AB285:AD285"/>
    <mergeCell ref="Y287:AD287"/>
    <mergeCell ref="AA304:AK304"/>
    <mergeCell ref="T193:AI193"/>
    <mergeCell ref="AI236:AJ236"/>
    <mergeCell ref="M246:AE246"/>
    <mergeCell ref="AF268:AK268"/>
    <mergeCell ref="AC270:AE270"/>
    <mergeCell ref="AF252:AK252"/>
    <mergeCell ref="M243:T243"/>
    <mergeCell ref="W243:X243"/>
    <mergeCell ref="M242:AE242"/>
    <mergeCell ref="V226:W226"/>
    <mergeCell ref="V227:W227"/>
    <mergeCell ref="V228:W228"/>
    <mergeCell ref="V229:W229"/>
    <mergeCell ref="AA307:AK307"/>
    <mergeCell ref="AF260:AK260"/>
    <mergeCell ref="O153:AH153"/>
    <mergeCell ref="O154:AH154"/>
    <mergeCell ref="O156:AH156"/>
    <mergeCell ref="O160:T160"/>
    <mergeCell ref="A75:AT77"/>
    <mergeCell ref="A79:AT81"/>
    <mergeCell ref="AB215:AL215"/>
    <mergeCell ref="T198:U198"/>
    <mergeCell ref="Q212:R212"/>
    <mergeCell ref="D214:Z214"/>
    <mergeCell ref="AB216:AL216"/>
    <mergeCell ref="M245:R245"/>
    <mergeCell ref="Z245:AE245"/>
    <mergeCell ref="G113:H113"/>
    <mergeCell ref="C115:K115"/>
    <mergeCell ref="D164:AH164"/>
    <mergeCell ref="P204:U204"/>
    <mergeCell ref="AH195:AI195"/>
    <mergeCell ref="AH196:AI196"/>
    <mergeCell ref="U176:V176"/>
    <mergeCell ref="A83:AT84"/>
    <mergeCell ref="T199:U199"/>
    <mergeCell ref="AC243:AE243"/>
    <mergeCell ref="AF178:AG178"/>
    <mergeCell ref="I190:N190"/>
    <mergeCell ref="X176:Y176"/>
    <mergeCell ref="D211:M211"/>
    <mergeCell ref="AI237:AJ237"/>
    <mergeCell ref="M244:AE244"/>
    <mergeCell ref="AI238:AJ238"/>
    <mergeCell ref="U175:V175"/>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P205:U205"/>
    <mergeCell ref="AA258:AK258"/>
    <mergeCell ref="AI235:AJ235"/>
    <mergeCell ref="P113:S113"/>
    <mergeCell ref="F150:T150"/>
    <mergeCell ref="AI178:AK178"/>
    <mergeCell ref="AH255:AK255"/>
    <mergeCell ref="Y123:AK123"/>
    <mergeCell ref="J173:S173"/>
    <mergeCell ref="N191:AE192"/>
    <mergeCell ref="R177:S177"/>
    <mergeCell ref="D204:M204"/>
    <mergeCell ref="T197:U197"/>
    <mergeCell ref="O155:AH155"/>
    <mergeCell ref="M253:AE253"/>
    <mergeCell ref="M256:R256"/>
    <mergeCell ref="M254:T254"/>
    <mergeCell ref="M255:AE255"/>
    <mergeCell ref="AC254:AE254"/>
    <mergeCell ref="L288:AD288"/>
    <mergeCell ref="M260:AE260"/>
    <mergeCell ref="M257:AE257"/>
    <mergeCell ref="M271:AE271"/>
    <mergeCell ref="AA308:AF308"/>
    <mergeCell ref="AI308:AK308"/>
    <mergeCell ref="H306:R306"/>
    <mergeCell ref="AA309:AF309"/>
    <mergeCell ref="W270:X270"/>
    <mergeCell ref="U272:W272"/>
    <mergeCell ref="M266:T266"/>
    <mergeCell ref="M265:AE265"/>
    <mergeCell ref="L289:AD289"/>
    <mergeCell ref="L284:AD284"/>
    <mergeCell ref="V285:W285"/>
    <mergeCell ref="AA302:AK302"/>
    <mergeCell ref="M272:R272"/>
    <mergeCell ref="M274:T274"/>
    <mergeCell ref="AA306:AK306"/>
    <mergeCell ref="Z264:AE264"/>
    <mergeCell ref="M264:R264"/>
    <mergeCell ref="AC262:AE262"/>
    <mergeCell ref="M262:T262"/>
    <mergeCell ref="L283:AJ283"/>
    <mergeCell ref="H308:M308"/>
    <mergeCell ref="H309:M309"/>
    <mergeCell ref="H302:R302"/>
    <mergeCell ref="AA266:AK266"/>
    <mergeCell ref="M269:AE269"/>
    <mergeCell ref="AA274:AK274"/>
    <mergeCell ref="H304:R304"/>
    <mergeCell ref="M270:T270"/>
    <mergeCell ref="H307:R307"/>
    <mergeCell ref="H312:R312"/>
    <mergeCell ref="H316:M316"/>
    <mergeCell ref="M263:AE263"/>
    <mergeCell ref="AA299:AK299"/>
    <mergeCell ref="AH271:AK271"/>
    <mergeCell ref="T276:X276"/>
    <mergeCell ref="AA300:AF300"/>
    <mergeCell ref="AI300:AK300"/>
    <mergeCell ref="H305:R305"/>
    <mergeCell ref="AA315:AK315"/>
    <mergeCell ref="M268:AE268"/>
    <mergeCell ref="AA301:AF301"/>
    <mergeCell ref="AH263:AK263"/>
    <mergeCell ref="A291:AT292"/>
    <mergeCell ref="AA314:AK314"/>
    <mergeCell ref="H297:R297"/>
    <mergeCell ref="H296:R296"/>
    <mergeCell ref="H298:R298"/>
    <mergeCell ref="H299:R299"/>
    <mergeCell ref="H300:M300"/>
    <mergeCell ref="T287:V287"/>
    <mergeCell ref="P300:R300"/>
    <mergeCell ref="AA296:AK296"/>
    <mergeCell ref="H328:R328"/>
    <mergeCell ref="AA325:AF325"/>
    <mergeCell ref="AA317:AF317"/>
    <mergeCell ref="P354:AE354"/>
    <mergeCell ref="AA323:AK323"/>
    <mergeCell ref="AA321:AK321"/>
    <mergeCell ref="AA320:AK320"/>
    <mergeCell ref="AA334:AK334"/>
    <mergeCell ref="H324:M324"/>
    <mergeCell ref="H330:R330"/>
    <mergeCell ref="AA310:AK310"/>
    <mergeCell ref="AA305:AK305"/>
    <mergeCell ref="H310:R310"/>
    <mergeCell ref="L286:AD286"/>
    <mergeCell ref="Z272:AE272"/>
    <mergeCell ref="AA340:AF340"/>
    <mergeCell ref="P324:R324"/>
    <mergeCell ref="AA328:AK328"/>
    <mergeCell ref="AA324:AF324"/>
    <mergeCell ref="AA332:AF332"/>
    <mergeCell ref="H329:R329"/>
    <mergeCell ref="AA347:AK347"/>
    <mergeCell ref="AA349:AF349"/>
    <mergeCell ref="P353:AE353"/>
    <mergeCell ref="H345:R345"/>
    <mergeCell ref="H344:R344"/>
    <mergeCell ref="AA346:AK346"/>
    <mergeCell ref="H336:R336"/>
    <mergeCell ref="H315:R315"/>
    <mergeCell ref="AA313:AK313"/>
    <mergeCell ref="AA318:AK318"/>
    <mergeCell ref="AA316:AF316"/>
    <mergeCell ref="AA326:AK326"/>
    <mergeCell ref="AA341:AF341"/>
    <mergeCell ref="AA337:AK337"/>
    <mergeCell ref="AA336:AK336"/>
    <mergeCell ref="H341:M341"/>
    <mergeCell ref="AI324:AK324"/>
    <mergeCell ref="AA338:AK338"/>
    <mergeCell ref="AA330:AK330"/>
    <mergeCell ref="AA348:AF348"/>
    <mergeCell ref="AA329:AK329"/>
    <mergeCell ref="H326:R326"/>
    <mergeCell ref="P332:R332"/>
    <mergeCell ref="AA331:AK331"/>
    <mergeCell ref="H331:R331"/>
    <mergeCell ref="L285:S285"/>
    <mergeCell ref="L287:Q287"/>
    <mergeCell ref="AA298:AK298"/>
    <mergeCell ref="H323:R323"/>
    <mergeCell ref="H325:M325"/>
    <mergeCell ref="H334:R334"/>
    <mergeCell ref="H321:R321"/>
    <mergeCell ref="AI316:AK316"/>
    <mergeCell ref="H313:R313"/>
    <mergeCell ref="H338:R338"/>
    <mergeCell ref="H339:R339"/>
    <mergeCell ref="P340:R340"/>
    <mergeCell ref="AA333:AF333"/>
    <mergeCell ref="AA345:AK345"/>
    <mergeCell ref="H342:R342"/>
    <mergeCell ref="H301:M301"/>
    <mergeCell ref="H318:R318"/>
    <mergeCell ref="H332:M332"/>
    <mergeCell ref="AA339:AK339"/>
    <mergeCell ref="H333:M333"/>
    <mergeCell ref="H340:M340"/>
    <mergeCell ref="AA342:AK342"/>
    <mergeCell ref="D450:AF450"/>
    <mergeCell ref="AJ366:AK366"/>
    <mergeCell ref="D453:AF453"/>
    <mergeCell ref="R420:S420"/>
    <mergeCell ref="M367:N367"/>
    <mergeCell ref="AH527:AK527"/>
    <mergeCell ref="AG457:AJ457"/>
    <mergeCell ref="AH536:AK536"/>
    <mergeCell ref="D447:AF447"/>
    <mergeCell ref="T407:AJ407"/>
    <mergeCell ref="AG449:AJ449"/>
    <mergeCell ref="S410:U410"/>
    <mergeCell ref="AG410:AJ410"/>
    <mergeCell ref="AC396:AJ396"/>
    <mergeCell ref="V397:AJ397"/>
    <mergeCell ref="D452:AF452"/>
    <mergeCell ref="AC394:AJ394"/>
    <mergeCell ref="S411:U411"/>
    <mergeCell ref="D456:AF456"/>
    <mergeCell ref="AH513:AK513"/>
    <mergeCell ref="J394:U394"/>
    <mergeCell ref="I427:K427"/>
    <mergeCell ref="Z443:AA443"/>
    <mergeCell ref="AG456:AJ456"/>
    <mergeCell ref="N372:O372"/>
    <mergeCell ref="S422:T422"/>
    <mergeCell ref="AG402:AJ402"/>
    <mergeCell ref="J395:U395"/>
    <mergeCell ref="AH503:AK503"/>
    <mergeCell ref="D473:V473"/>
    <mergeCell ref="AC517:AF517"/>
    <mergeCell ref="Q493:AK493"/>
    <mergeCell ref="AC533:AF533"/>
    <mergeCell ref="W482:Y482"/>
    <mergeCell ref="AC522:AF522"/>
    <mergeCell ref="AC463:AF463"/>
    <mergeCell ref="P434:Q434"/>
    <mergeCell ref="D459:AF459"/>
    <mergeCell ref="AH523:AK523"/>
    <mergeCell ref="AG452:AJ452"/>
    <mergeCell ref="AG453:AJ453"/>
    <mergeCell ref="D449:AF449"/>
    <mergeCell ref="A488:AT489"/>
    <mergeCell ref="AH511:AK511"/>
    <mergeCell ref="AC508:AF508"/>
    <mergeCell ref="G693:R693"/>
    <mergeCell ref="M643:P643"/>
    <mergeCell ref="G654:R654"/>
    <mergeCell ref="K732:N732"/>
    <mergeCell ref="AH732:AJ732"/>
    <mergeCell ref="Z602:AK602"/>
    <mergeCell ref="G729:J729"/>
    <mergeCell ref="AG697:AH697"/>
    <mergeCell ref="AK642:AN642"/>
    <mergeCell ref="AK643:AN643"/>
    <mergeCell ref="AE703:AI703"/>
    <mergeCell ref="Z652:AK652"/>
    <mergeCell ref="AE702:AF702"/>
    <mergeCell ref="AK644:AN644"/>
    <mergeCell ref="Z684:AK684"/>
    <mergeCell ref="C646:L646"/>
    <mergeCell ref="M645:P645"/>
    <mergeCell ref="G659:R659"/>
    <mergeCell ref="AI663:AK663"/>
    <mergeCell ref="G685:R685"/>
    <mergeCell ref="G695:L695"/>
    <mergeCell ref="P613:R613"/>
    <mergeCell ref="Z611:AK611"/>
    <mergeCell ref="AC645:AE645"/>
    <mergeCell ref="G671:L671"/>
    <mergeCell ref="G675:R675"/>
    <mergeCell ref="G678:R678"/>
    <mergeCell ref="P621:R621"/>
    <mergeCell ref="B632:L634"/>
    <mergeCell ref="C637:L637"/>
    <mergeCell ref="N623:O623"/>
    <mergeCell ref="Z663:AE663"/>
    <mergeCell ref="P430:R430"/>
    <mergeCell ref="D477:V477"/>
    <mergeCell ref="Z585:AK585"/>
    <mergeCell ref="W481:Y481"/>
    <mergeCell ref="P589:R589"/>
    <mergeCell ref="Q566:S566"/>
    <mergeCell ref="Q403:U403"/>
    <mergeCell ref="Q398:U398"/>
    <mergeCell ref="AK747:AO747"/>
    <mergeCell ref="AK739:AO739"/>
    <mergeCell ref="K749:N749"/>
    <mergeCell ref="AH747:AJ747"/>
    <mergeCell ref="AH755:AJ755"/>
    <mergeCell ref="AH756:AJ756"/>
    <mergeCell ref="X751:AB751"/>
    <mergeCell ref="X752:AB752"/>
    <mergeCell ref="AH751:AJ751"/>
    <mergeCell ref="AH752:AJ752"/>
    <mergeCell ref="G728:J728"/>
    <mergeCell ref="B729:F729"/>
    <mergeCell ref="AH741:AJ741"/>
    <mergeCell ref="C645:L645"/>
    <mergeCell ref="T727:W727"/>
    <mergeCell ref="O732:S732"/>
    <mergeCell ref="T733:W733"/>
    <mergeCell ref="G732:J732"/>
    <mergeCell ref="T730:W730"/>
    <mergeCell ref="N697:O697"/>
    <mergeCell ref="AA696:AK696"/>
    <mergeCell ref="AE710:AF710"/>
    <mergeCell ref="O733:S733"/>
    <mergeCell ref="AG607:AH607"/>
    <mergeCell ref="G676:R676"/>
    <mergeCell ref="O737:S737"/>
    <mergeCell ref="P695:R695"/>
    <mergeCell ref="B749:F749"/>
    <mergeCell ref="O753:S753"/>
    <mergeCell ref="B730:F730"/>
    <mergeCell ref="J777:N780"/>
    <mergeCell ref="AC747:AG747"/>
    <mergeCell ref="AC749:AG749"/>
    <mergeCell ref="AC745:AG745"/>
    <mergeCell ref="X744:AB744"/>
    <mergeCell ref="AK735:AO735"/>
    <mergeCell ref="AH734:AJ734"/>
    <mergeCell ref="AH761:AJ761"/>
    <mergeCell ref="AK730:AO730"/>
    <mergeCell ref="AH727:AJ727"/>
    <mergeCell ref="G691:R691"/>
    <mergeCell ref="AK731:AO731"/>
    <mergeCell ref="AC758:AG758"/>
    <mergeCell ref="T756:W756"/>
    <mergeCell ref="X755:AB755"/>
    <mergeCell ref="K746:N746"/>
    <mergeCell ref="T752:W752"/>
    <mergeCell ref="T749:W749"/>
    <mergeCell ref="T742:W742"/>
    <mergeCell ref="AK746:AO746"/>
    <mergeCell ref="AK745:AO745"/>
    <mergeCell ref="O743:S743"/>
    <mergeCell ref="O747:S747"/>
    <mergeCell ref="X750:AB750"/>
    <mergeCell ref="AH750:AJ750"/>
    <mergeCell ref="X748:AB748"/>
    <mergeCell ref="G722:J725"/>
    <mergeCell ref="K734:N734"/>
    <mergeCell ref="B741:F741"/>
    <mergeCell ref="AK748:AO748"/>
    <mergeCell ref="AK749:AO749"/>
    <mergeCell ref="AK760:AO760"/>
    <mergeCell ref="AK754:AO754"/>
    <mergeCell ref="AK744:AO744"/>
    <mergeCell ref="K748:N748"/>
    <mergeCell ref="G739:J739"/>
    <mergeCell ref="AK737:AO737"/>
    <mergeCell ref="B760:F760"/>
    <mergeCell ref="B742:F742"/>
    <mergeCell ref="B726:F726"/>
    <mergeCell ref="K760:N760"/>
    <mergeCell ref="X759:AB759"/>
    <mergeCell ref="X735:AB735"/>
    <mergeCell ref="AH749:AJ749"/>
    <mergeCell ref="AH757:AJ757"/>
    <mergeCell ref="AH758:AJ758"/>
    <mergeCell ref="T743:W743"/>
    <mergeCell ref="X746:AB746"/>
    <mergeCell ref="AK755:AO755"/>
    <mergeCell ref="AK752:AO752"/>
    <mergeCell ref="AK756:AO756"/>
    <mergeCell ref="AH748:AJ748"/>
    <mergeCell ref="AK740:AO740"/>
    <mergeCell ref="AK741:AO741"/>
    <mergeCell ref="AK742:AO742"/>
    <mergeCell ref="AK743:AO743"/>
    <mergeCell ref="B744:F744"/>
    <mergeCell ref="K739:N739"/>
    <mergeCell ref="G737:J737"/>
    <mergeCell ref="T740:W740"/>
    <mergeCell ref="T739:W739"/>
    <mergeCell ref="T758:W758"/>
    <mergeCell ref="G744:J744"/>
    <mergeCell ref="K754:N754"/>
    <mergeCell ref="T754:W754"/>
    <mergeCell ref="K755:N755"/>
    <mergeCell ref="B737:F737"/>
    <mergeCell ref="B739:F739"/>
    <mergeCell ref="B758:F758"/>
    <mergeCell ref="O734:S734"/>
    <mergeCell ref="B735:F735"/>
    <mergeCell ref="T746:W746"/>
    <mergeCell ref="G750:J750"/>
    <mergeCell ref="G751:J751"/>
    <mergeCell ref="G752:J752"/>
    <mergeCell ref="G753:J753"/>
    <mergeCell ref="G754:J754"/>
    <mergeCell ref="G755:J755"/>
    <mergeCell ref="G756:J756"/>
    <mergeCell ref="G757:J757"/>
    <mergeCell ref="G758:J758"/>
    <mergeCell ref="K750:N750"/>
    <mergeCell ref="B752:F752"/>
    <mergeCell ref="T750:W750"/>
    <mergeCell ref="O744:S744"/>
    <mergeCell ref="O735:S735"/>
    <mergeCell ref="T745:W745"/>
    <mergeCell ref="U834:X834"/>
    <mergeCell ref="M833:P833"/>
    <mergeCell ref="Z815:AE815"/>
    <mergeCell ref="B761:F761"/>
    <mergeCell ref="B731:F731"/>
    <mergeCell ref="O739:S739"/>
    <mergeCell ref="O730:S730"/>
    <mergeCell ref="O736:S736"/>
    <mergeCell ref="K738:N738"/>
    <mergeCell ref="X733:AB733"/>
    <mergeCell ref="B733:F733"/>
    <mergeCell ref="G760:J760"/>
    <mergeCell ref="AC837:AF837"/>
    <mergeCell ref="J797:N797"/>
    <mergeCell ref="X803:AB803"/>
    <mergeCell ref="O800:S800"/>
    <mergeCell ref="J799:N799"/>
    <mergeCell ref="X800:AB800"/>
    <mergeCell ref="X802:AB802"/>
    <mergeCell ref="AC801:AG801"/>
    <mergeCell ref="AG831:AJ832"/>
    <mergeCell ref="Q834:T834"/>
    <mergeCell ref="Y831:AB832"/>
    <mergeCell ref="T755:W755"/>
    <mergeCell ref="AC756:AG756"/>
    <mergeCell ref="K745:N745"/>
    <mergeCell ref="O760:S760"/>
    <mergeCell ref="B734:F734"/>
    <mergeCell ref="B759:F759"/>
    <mergeCell ref="B750:F750"/>
    <mergeCell ref="U835:X835"/>
    <mergeCell ref="B751:F751"/>
    <mergeCell ref="BD913:BE913"/>
    <mergeCell ref="BD915:BF915"/>
    <mergeCell ref="BD914:BF914"/>
    <mergeCell ref="BD919:BE919"/>
    <mergeCell ref="BD912:BE912"/>
    <mergeCell ref="AC898:AH898"/>
    <mergeCell ref="W880:AC880"/>
    <mergeCell ref="E894:AB894"/>
    <mergeCell ref="AC893:AH893"/>
    <mergeCell ref="W886:AC886"/>
    <mergeCell ref="AC897:AH897"/>
    <mergeCell ref="AC901:AH901"/>
    <mergeCell ref="Z909:AE909"/>
    <mergeCell ref="U929:Z929"/>
    <mergeCell ref="C901:AB901"/>
    <mergeCell ref="M836:P836"/>
    <mergeCell ref="M835:P835"/>
    <mergeCell ref="BD911:BE911"/>
    <mergeCell ref="BD909:BE909"/>
    <mergeCell ref="AC902:AH902"/>
    <mergeCell ref="AC903:AH903"/>
    <mergeCell ref="Z908:AE908"/>
    <mergeCell ref="BD908:BE908"/>
    <mergeCell ref="BD910:BE910"/>
    <mergeCell ref="AZ859:BA859"/>
    <mergeCell ref="AC899:AH899"/>
    <mergeCell ref="M884:V884"/>
    <mergeCell ref="AG838:AJ838"/>
    <mergeCell ref="Q838:T838"/>
    <mergeCell ref="M837:P837"/>
    <mergeCell ref="M883:V883"/>
    <mergeCell ref="C845:AJ845"/>
    <mergeCell ref="C835:H835"/>
    <mergeCell ref="AC835:AF835"/>
    <mergeCell ref="Q835:T835"/>
    <mergeCell ref="AW927:AY927"/>
    <mergeCell ref="AA935:AF935"/>
    <mergeCell ref="AC895:AH895"/>
    <mergeCell ref="U936:Z936"/>
    <mergeCell ref="AA936:AF936"/>
    <mergeCell ref="W850:AC850"/>
    <mergeCell ref="W855:AC855"/>
    <mergeCell ref="W885:AC885"/>
    <mergeCell ref="M869:V869"/>
    <mergeCell ref="W853:AC853"/>
    <mergeCell ref="M854:V854"/>
    <mergeCell ref="J857:V857"/>
    <mergeCell ref="W854:AC854"/>
    <mergeCell ref="AA932:AF932"/>
    <mergeCell ref="W884:AC884"/>
    <mergeCell ref="M885:V885"/>
    <mergeCell ref="W877:AC877"/>
    <mergeCell ref="W876:AC876"/>
    <mergeCell ref="W875:AC875"/>
    <mergeCell ref="W859:AC859"/>
    <mergeCell ref="W863:AC863"/>
    <mergeCell ref="W860:AC860"/>
    <mergeCell ref="C840:L840"/>
    <mergeCell ref="F839:L839"/>
    <mergeCell ref="AC839:AF839"/>
    <mergeCell ref="C837:H837"/>
    <mergeCell ref="Q837:T837"/>
    <mergeCell ref="U837:X837"/>
    <mergeCell ref="AA931:AF931"/>
    <mergeCell ref="AC831:AF832"/>
    <mergeCell ref="Z824:AE824"/>
    <mergeCell ref="Z825:AE825"/>
    <mergeCell ref="Y833:AB833"/>
    <mergeCell ref="AH759:AJ759"/>
    <mergeCell ref="T799:W799"/>
    <mergeCell ref="T795:W795"/>
    <mergeCell ref="T796:W796"/>
    <mergeCell ref="T797:W797"/>
    <mergeCell ref="T784:W784"/>
    <mergeCell ref="AC800:AG800"/>
    <mergeCell ref="O795:S795"/>
    <mergeCell ref="X782:AB782"/>
    <mergeCell ref="T803:W803"/>
    <mergeCell ref="T802:W802"/>
    <mergeCell ref="T800:W800"/>
    <mergeCell ref="O802:S802"/>
    <mergeCell ref="Y808:AC808"/>
    <mergeCell ref="Q831:T832"/>
    <mergeCell ref="P824:Y824"/>
    <mergeCell ref="T791:W794"/>
    <mergeCell ref="X781:AB781"/>
    <mergeCell ref="AC761:AG761"/>
    <mergeCell ref="AG833:AJ833"/>
    <mergeCell ref="Z814:AE814"/>
    <mergeCell ref="C771:AR773"/>
    <mergeCell ref="AC760:AG760"/>
    <mergeCell ref="U833:X833"/>
    <mergeCell ref="K759:N759"/>
    <mergeCell ref="O759:S759"/>
    <mergeCell ref="J783:N783"/>
    <mergeCell ref="O796:S796"/>
    <mergeCell ref="X785:AB785"/>
    <mergeCell ref="O798:S798"/>
    <mergeCell ref="AH735:AJ735"/>
    <mergeCell ref="AC782:AG782"/>
    <mergeCell ref="J795:N795"/>
    <mergeCell ref="AC785:AG785"/>
    <mergeCell ref="O785:S785"/>
    <mergeCell ref="O782:S782"/>
    <mergeCell ref="X777:AB780"/>
    <mergeCell ref="T777:W780"/>
    <mergeCell ref="AC750:AG750"/>
    <mergeCell ref="AC796:AG796"/>
    <mergeCell ref="AC795:AG795"/>
    <mergeCell ref="X797:AB797"/>
    <mergeCell ref="T782:W782"/>
    <mergeCell ref="AG764:AJ764"/>
    <mergeCell ref="O791:S794"/>
    <mergeCell ref="AC784:AG784"/>
    <mergeCell ref="O797:S797"/>
    <mergeCell ref="X758:AB758"/>
    <mergeCell ref="AC757:AG757"/>
    <mergeCell ref="T748:W748"/>
    <mergeCell ref="X760:AB760"/>
    <mergeCell ref="T760:W760"/>
    <mergeCell ref="AC746:AG746"/>
    <mergeCell ref="AH760:AJ760"/>
    <mergeCell ref="G759:J759"/>
    <mergeCell ref="AH740:AJ740"/>
    <mergeCell ref="G736:J736"/>
    <mergeCell ref="T735:W735"/>
    <mergeCell ref="CU738:CY738"/>
    <mergeCell ref="CG738:CH738"/>
    <mergeCell ref="O722:S725"/>
    <mergeCell ref="O726:S726"/>
    <mergeCell ref="AC722:AG725"/>
    <mergeCell ref="X722:AB725"/>
    <mergeCell ref="CU725:CY725"/>
    <mergeCell ref="DE735:DI735"/>
    <mergeCell ref="CP731:CT731"/>
    <mergeCell ref="AC735:AG735"/>
    <mergeCell ref="CI734:CJ734"/>
    <mergeCell ref="CU734:CY734"/>
    <mergeCell ref="CU727:CY727"/>
    <mergeCell ref="CG726:CH726"/>
    <mergeCell ref="CM731:CN731"/>
    <mergeCell ref="CZ734:DD734"/>
    <mergeCell ref="CK736:CL736"/>
    <mergeCell ref="CG736:CH736"/>
    <mergeCell ref="CK735:CL735"/>
    <mergeCell ref="CP732:CT732"/>
    <mergeCell ref="T729:W729"/>
    <mergeCell ref="CZ725:DD725"/>
    <mergeCell ref="CK728:CL728"/>
    <mergeCell ref="CP726:CT726"/>
    <mergeCell ref="CI726:CJ726"/>
    <mergeCell ref="O731:S731"/>
    <mergeCell ref="AH722:AJ725"/>
    <mergeCell ref="AH733:AJ733"/>
    <mergeCell ref="AC733:AG733"/>
    <mergeCell ref="W571:Y571"/>
    <mergeCell ref="W572:Y572"/>
    <mergeCell ref="W573:Y573"/>
    <mergeCell ref="Z694:AK694"/>
    <mergeCell ref="Z683:AK683"/>
    <mergeCell ref="C638:L638"/>
    <mergeCell ref="T637:V637"/>
    <mergeCell ref="K728:N728"/>
    <mergeCell ref="AC727:AG727"/>
    <mergeCell ref="CI727:CJ727"/>
    <mergeCell ref="X729:AB729"/>
    <mergeCell ref="G687:L687"/>
    <mergeCell ref="O727:S727"/>
    <mergeCell ref="N657:O657"/>
    <mergeCell ref="CI728:CJ728"/>
    <mergeCell ref="G730:J730"/>
    <mergeCell ref="Z692:AK692"/>
    <mergeCell ref="Q637:S637"/>
    <mergeCell ref="T646:V646"/>
    <mergeCell ref="M637:P637"/>
    <mergeCell ref="W632:Y634"/>
    <mergeCell ref="N689:O689"/>
    <mergeCell ref="P671:R671"/>
    <mergeCell ref="W644:Y644"/>
    <mergeCell ref="G684:R684"/>
    <mergeCell ref="Z619:AK619"/>
    <mergeCell ref="C639:L639"/>
    <mergeCell ref="C641:L641"/>
    <mergeCell ref="J713:O713"/>
    <mergeCell ref="G603:R603"/>
    <mergeCell ref="G604:R604"/>
    <mergeCell ref="AC643:AE643"/>
    <mergeCell ref="AG599:AH599"/>
    <mergeCell ref="G580:L580"/>
    <mergeCell ref="Z687:AE687"/>
    <mergeCell ref="Z678:AK678"/>
    <mergeCell ref="G683:R683"/>
    <mergeCell ref="AG673:AH673"/>
    <mergeCell ref="Z685:AK685"/>
    <mergeCell ref="AA614:AK614"/>
    <mergeCell ref="G621:L621"/>
    <mergeCell ref="G613:L613"/>
    <mergeCell ref="H614:R614"/>
    <mergeCell ref="AA672:AK672"/>
    <mergeCell ref="AF582:AK582"/>
    <mergeCell ref="Z593:AK593"/>
    <mergeCell ref="G588:R588"/>
    <mergeCell ref="H606:R606"/>
    <mergeCell ref="G589:L589"/>
    <mergeCell ref="AI605:AK605"/>
    <mergeCell ref="AI613:AK613"/>
    <mergeCell ref="G612:R612"/>
    <mergeCell ref="G585:R585"/>
    <mergeCell ref="H598:R598"/>
    <mergeCell ref="G595:R595"/>
    <mergeCell ref="G596:R596"/>
    <mergeCell ref="Z588:AK588"/>
    <mergeCell ref="Z675:AK675"/>
    <mergeCell ref="M644:P644"/>
    <mergeCell ref="M646:P646"/>
    <mergeCell ref="C643:L643"/>
    <mergeCell ref="C640:L640"/>
    <mergeCell ref="AC639:AE639"/>
    <mergeCell ref="AC642:AE642"/>
    <mergeCell ref="M567:P567"/>
    <mergeCell ref="C572:L572"/>
    <mergeCell ref="M572:P572"/>
    <mergeCell ref="M570:P570"/>
    <mergeCell ref="M571:P571"/>
    <mergeCell ref="AI569:AL569"/>
    <mergeCell ref="Q572:S572"/>
    <mergeCell ref="AE569:AH569"/>
    <mergeCell ref="M582:R582"/>
    <mergeCell ref="AE570:AH570"/>
    <mergeCell ref="M632:P634"/>
    <mergeCell ref="AK635:AN635"/>
    <mergeCell ref="G692:R692"/>
    <mergeCell ref="Z612:AK612"/>
    <mergeCell ref="M568:P568"/>
    <mergeCell ref="Q571:S571"/>
    <mergeCell ref="AI573:AL573"/>
    <mergeCell ref="AG591:AH591"/>
    <mergeCell ref="Z686:AK686"/>
    <mergeCell ref="M635:P635"/>
    <mergeCell ref="C571:L571"/>
    <mergeCell ref="AE573:AH573"/>
    <mergeCell ref="W636:Y636"/>
    <mergeCell ref="W568:Y568"/>
    <mergeCell ref="AK646:AN646"/>
    <mergeCell ref="AF644:AJ644"/>
    <mergeCell ref="C569:L569"/>
    <mergeCell ref="C570:L570"/>
    <mergeCell ref="T632:V634"/>
    <mergeCell ref="T572:V572"/>
    <mergeCell ref="AF646:AJ646"/>
    <mergeCell ref="AC646:AE646"/>
    <mergeCell ref="G576:R576"/>
    <mergeCell ref="P580:R580"/>
    <mergeCell ref="Z668:AK668"/>
    <mergeCell ref="Z661:AK661"/>
    <mergeCell ref="AO645:AS645"/>
    <mergeCell ref="DX647:EB647"/>
    <mergeCell ref="M573:P573"/>
    <mergeCell ref="Z605:AE605"/>
    <mergeCell ref="Z573:AD573"/>
    <mergeCell ref="Z580:AE580"/>
    <mergeCell ref="P597:R597"/>
    <mergeCell ref="N599:O599"/>
    <mergeCell ref="G594:R594"/>
    <mergeCell ref="G587:R587"/>
    <mergeCell ref="M638:P638"/>
    <mergeCell ref="Z601:AK601"/>
    <mergeCell ref="N615:O615"/>
    <mergeCell ref="G602:R602"/>
    <mergeCell ref="AO641:AS641"/>
    <mergeCell ref="AO648:AS648"/>
    <mergeCell ref="AF645:AJ645"/>
    <mergeCell ref="AC644:AE644"/>
    <mergeCell ref="G611:R611"/>
    <mergeCell ref="G617:R617"/>
    <mergeCell ref="Q639:S639"/>
    <mergeCell ref="Q640:S640"/>
    <mergeCell ref="Z609:AK609"/>
    <mergeCell ref="AF641:AJ641"/>
    <mergeCell ref="A625:AT626"/>
    <mergeCell ref="AK641:AN641"/>
    <mergeCell ref="H622:R622"/>
    <mergeCell ref="T638:V638"/>
    <mergeCell ref="G669:R669"/>
    <mergeCell ref="G670:R670"/>
    <mergeCell ref="G663:L663"/>
    <mergeCell ref="H664:R664"/>
    <mergeCell ref="G618:R618"/>
    <mergeCell ref="Z641:AB641"/>
    <mergeCell ref="AF642:AJ642"/>
    <mergeCell ref="Z662:AK662"/>
    <mergeCell ref="P655:R655"/>
    <mergeCell ref="M641:P641"/>
    <mergeCell ref="G652:R652"/>
    <mergeCell ref="W641:Y641"/>
    <mergeCell ref="Z638:AB638"/>
    <mergeCell ref="W643:Y643"/>
    <mergeCell ref="AF637:AJ637"/>
    <mergeCell ref="W637:Y637"/>
    <mergeCell ref="M636:P636"/>
    <mergeCell ref="Z654:AK654"/>
    <mergeCell ref="T641:V641"/>
    <mergeCell ref="W645:Y645"/>
    <mergeCell ref="Z639:AB639"/>
    <mergeCell ref="AK638:AN638"/>
    <mergeCell ref="T640:V640"/>
    <mergeCell ref="AF639:AJ639"/>
    <mergeCell ref="Z637:AB637"/>
    <mergeCell ref="Z651:AK651"/>
    <mergeCell ref="Z667:AK667"/>
    <mergeCell ref="AK632:AN634"/>
    <mergeCell ref="Z621:AE621"/>
    <mergeCell ref="W639:Y639"/>
    <mergeCell ref="T642:V642"/>
    <mergeCell ref="G655:L655"/>
    <mergeCell ref="Q646:S646"/>
    <mergeCell ref="Z659:AK659"/>
    <mergeCell ref="C642:L642"/>
    <mergeCell ref="Z635:AB635"/>
    <mergeCell ref="M639:P639"/>
    <mergeCell ref="Q644:S644"/>
    <mergeCell ref="Q645:S645"/>
    <mergeCell ref="C644:L644"/>
    <mergeCell ref="N673:O673"/>
    <mergeCell ref="T643:V643"/>
    <mergeCell ref="DG122:DM122"/>
    <mergeCell ref="CU122:CV122"/>
    <mergeCell ref="AK645:AN645"/>
    <mergeCell ref="H672:R672"/>
    <mergeCell ref="C565:L565"/>
    <mergeCell ref="G601:R601"/>
    <mergeCell ref="W640:Y640"/>
    <mergeCell ref="AI572:AL572"/>
    <mergeCell ref="AE567:AH567"/>
    <mergeCell ref="AI621:AK621"/>
    <mergeCell ref="G620:R620"/>
    <mergeCell ref="Z603:AK603"/>
    <mergeCell ref="W569:Y569"/>
    <mergeCell ref="Q573:S573"/>
    <mergeCell ref="Z589:AE589"/>
    <mergeCell ref="Z594:AK594"/>
    <mergeCell ref="AC640:AE640"/>
    <mergeCell ref="Q643:S643"/>
    <mergeCell ref="N665:O665"/>
    <mergeCell ref="AO638:AS638"/>
    <mergeCell ref="AC524:AF524"/>
    <mergeCell ref="AH517:AK517"/>
    <mergeCell ref="AI340:AK340"/>
    <mergeCell ref="CM733:CN733"/>
    <mergeCell ref="CK731:CL731"/>
    <mergeCell ref="CZ732:DD732"/>
    <mergeCell ref="CZ733:DD733"/>
    <mergeCell ref="Z670:AK670"/>
    <mergeCell ref="Z679:AE679"/>
    <mergeCell ref="AI671:AK671"/>
    <mergeCell ref="CG727:CH727"/>
    <mergeCell ref="CI729:CJ729"/>
    <mergeCell ref="AH726:AJ726"/>
    <mergeCell ref="AC726:AG726"/>
    <mergeCell ref="AK722:AO725"/>
    <mergeCell ref="AK726:AO726"/>
    <mergeCell ref="X727:AB727"/>
    <mergeCell ref="AG689:AH689"/>
    <mergeCell ref="AI695:AK695"/>
    <mergeCell ref="Z695:AE695"/>
    <mergeCell ref="AK727:AO727"/>
    <mergeCell ref="AG681:AH681"/>
    <mergeCell ref="AM572:AS572"/>
    <mergeCell ref="AA664:AK664"/>
    <mergeCell ref="AI571:AL571"/>
    <mergeCell ref="Z571:AD571"/>
    <mergeCell ref="Z596:AK596"/>
    <mergeCell ref="AA606:AK606"/>
    <mergeCell ref="Z632:AB634"/>
    <mergeCell ref="Z655:AE655"/>
    <mergeCell ref="Z653:AK653"/>
    <mergeCell ref="EM646:EQ646"/>
    <mergeCell ref="DZ731:ED731"/>
    <mergeCell ref="EE727:EI727"/>
    <mergeCell ref="DZ728:ED728"/>
    <mergeCell ref="DX648:EB648"/>
    <mergeCell ref="EC648:EG648"/>
    <mergeCell ref="AK729:AO729"/>
    <mergeCell ref="DE730:DI730"/>
    <mergeCell ref="CP728:CT728"/>
    <mergeCell ref="CP725:CT725"/>
    <mergeCell ref="EC650:EG650"/>
    <mergeCell ref="AK733:AO733"/>
    <mergeCell ref="CG732:CH732"/>
    <mergeCell ref="CG733:CH733"/>
    <mergeCell ref="DE728:DI728"/>
    <mergeCell ref="CI725:CJ725"/>
    <mergeCell ref="CP727:CT727"/>
    <mergeCell ref="CM726:CN726"/>
    <mergeCell ref="EC655:EG655"/>
    <mergeCell ref="DX654:EB654"/>
    <mergeCell ref="CG730:CH730"/>
    <mergeCell ref="Z677:AK677"/>
    <mergeCell ref="CM727:CN727"/>
    <mergeCell ref="DE731:DI731"/>
    <mergeCell ref="Z671:AE671"/>
    <mergeCell ref="H656:R656"/>
    <mergeCell ref="G694:R694"/>
    <mergeCell ref="CU733:CY733"/>
    <mergeCell ref="AI655:AK655"/>
    <mergeCell ref="G662:R662"/>
    <mergeCell ref="EC646:EG646"/>
    <mergeCell ref="B649:AN649"/>
    <mergeCell ref="G651:R651"/>
    <mergeCell ref="M642:P642"/>
    <mergeCell ref="Q642:S642"/>
    <mergeCell ref="AO642:AS642"/>
    <mergeCell ref="T731:W731"/>
    <mergeCell ref="AG657:AH657"/>
    <mergeCell ref="EC672:EG672"/>
    <mergeCell ref="CI731:CJ731"/>
    <mergeCell ref="K733:N733"/>
    <mergeCell ref="AH729:AJ729"/>
    <mergeCell ref="N681:O681"/>
    <mergeCell ref="CM728:CN728"/>
    <mergeCell ref="CM732:CN732"/>
    <mergeCell ref="W646:Y646"/>
    <mergeCell ref="CG729:CH729"/>
    <mergeCell ref="X728:AB728"/>
    <mergeCell ref="K730:N730"/>
    <mergeCell ref="G661:R661"/>
    <mergeCell ref="AE704:AI704"/>
    <mergeCell ref="K731:N731"/>
    <mergeCell ref="X732:AB732"/>
    <mergeCell ref="CP733:CT733"/>
    <mergeCell ref="G653:R653"/>
    <mergeCell ref="G731:J731"/>
    <mergeCell ref="DJ727:DN727"/>
    <mergeCell ref="B738:F738"/>
    <mergeCell ref="X736:AB736"/>
    <mergeCell ref="AH736:AJ736"/>
    <mergeCell ref="X737:AB737"/>
    <mergeCell ref="G738:J738"/>
    <mergeCell ref="CM734:CN734"/>
    <mergeCell ref="O738:S738"/>
    <mergeCell ref="B732:F732"/>
    <mergeCell ref="CU732:CY732"/>
    <mergeCell ref="H680:R680"/>
    <mergeCell ref="G679:L679"/>
    <mergeCell ref="G667:R667"/>
    <mergeCell ref="G727:J727"/>
    <mergeCell ref="W711:AK711"/>
    <mergeCell ref="G726:J726"/>
    <mergeCell ref="Z693:AK693"/>
    <mergeCell ref="AE706:AI706"/>
    <mergeCell ref="K729:N729"/>
    <mergeCell ref="R713:T713"/>
    <mergeCell ref="K726:N726"/>
    <mergeCell ref="CM730:CN730"/>
    <mergeCell ref="CI733:CJ733"/>
    <mergeCell ref="CU728:CY728"/>
    <mergeCell ref="CU731:CY731"/>
    <mergeCell ref="AC737:AG737"/>
    <mergeCell ref="X730:AB730"/>
    <mergeCell ref="CM725:CN725"/>
    <mergeCell ref="B728:F728"/>
    <mergeCell ref="AC730:AG730"/>
    <mergeCell ref="CK729:CL729"/>
    <mergeCell ref="CG734:CH734"/>
    <mergeCell ref="CM735:CN735"/>
    <mergeCell ref="K742:N742"/>
    <mergeCell ref="K727:N727"/>
    <mergeCell ref="B722:F725"/>
    <mergeCell ref="P663:R663"/>
    <mergeCell ref="G677:R677"/>
    <mergeCell ref="Z676:AK676"/>
    <mergeCell ref="AG665:AH665"/>
    <mergeCell ref="DE742:DI742"/>
    <mergeCell ref="DJ738:DN738"/>
    <mergeCell ref="DJ735:DN735"/>
    <mergeCell ref="DJ734:DN734"/>
    <mergeCell ref="DJ736:DN736"/>
    <mergeCell ref="DZ742:ED742"/>
    <mergeCell ref="DU742:DY742"/>
    <mergeCell ref="DU741:DY741"/>
    <mergeCell ref="DO725:DS725"/>
    <mergeCell ref="EC673:EG673"/>
    <mergeCell ref="EE731:EI731"/>
    <mergeCell ref="DE736:DI736"/>
    <mergeCell ref="DE734:DI734"/>
    <mergeCell ref="CZ738:DD738"/>
    <mergeCell ref="CG740:CH740"/>
    <mergeCell ref="DJ728:DN728"/>
    <mergeCell ref="CU730:CY730"/>
    <mergeCell ref="CZ730:DD730"/>
    <mergeCell ref="CZ731:DD731"/>
    <mergeCell ref="DJ726:DN726"/>
    <mergeCell ref="CZ727:DD727"/>
    <mergeCell ref="CP729:CT729"/>
    <mergeCell ref="AA688:AK688"/>
    <mergeCell ref="X738:AB738"/>
    <mergeCell ref="B736:F736"/>
    <mergeCell ref="H696:R696"/>
    <mergeCell ref="CZ726:DD726"/>
    <mergeCell ref="AC729:AG729"/>
    <mergeCell ref="AH728:AJ728"/>
    <mergeCell ref="DE733:DI733"/>
    <mergeCell ref="AK732:AO732"/>
    <mergeCell ref="H688:R688"/>
    <mergeCell ref="T726:W726"/>
    <mergeCell ref="O729:S729"/>
    <mergeCell ref="AI687:AK687"/>
    <mergeCell ref="DE732:DI732"/>
    <mergeCell ref="DX674:EB674"/>
    <mergeCell ref="T734:W734"/>
    <mergeCell ref="AC736:AG736"/>
    <mergeCell ref="T741:W741"/>
    <mergeCell ref="X726:AB726"/>
    <mergeCell ref="CI736:CJ736"/>
    <mergeCell ref="CP737:CT737"/>
    <mergeCell ref="DJ739:DN739"/>
    <mergeCell ref="DE725:DI725"/>
    <mergeCell ref="G741:J741"/>
    <mergeCell ref="X740:AB740"/>
    <mergeCell ref="T737:W737"/>
    <mergeCell ref="K737:N737"/>
    <mergeCell ref="T738:W738"/>
    <mergeCell ref="DZ735:ED735"/>
    <mergeCell ref="AC728:AG728"/>
    <mergeCell ref="CP735:CT735"/>
    <mergeCell ref="CI735:CJ735"/>
    <mergeCell ref="AE701:AF701"/>
    <mergeCell ref="AC734:AG734"/>
    <mergeCell ref="P679:R679"/>
    <mergeCell ref="EC651:EG651"/>
    <mergeCell ref="DJ731:DN731"/>
    <mergeCell ref="DJ732:DN732"/>
    <mergeCell ref="EE729:EI729"/>
    <mergeCell ref="EO731:ES731"/>
    <mergeCell ref="ER677:EV677"/>
    <mergeCell ref="ER676:EV676"/>
    <mergeCell ref="EC668:EG668"/>
    <mergeCell ref="EM656:EQ656"/>
    <mergeCell ref="EH663:EL663"/>
    <mergeCell ref="EM663:EQ663"/>
    <mergeCell ref="DU730:DY730"/>
    <mergeCell ref="ER662:EV662"/>
    <mergeCell ref="DX668:EB668"/>
    <mergeCell ref="DU725:DY725"/>
    <mergeCell ref="EH668:EL668"/>
    <mergeCell ref="CZ735:DD735"/>
    <mergeCell ref="DZ732:ED732"/>
    <mergeCell ref="EM674:EQ674"/>
    <mergeCell ref="EO733:ES733"/>
    <mergeCell ref="EC674:EG674"/>
    <mergeCell ref="EE735:EI735"/>
    <mergeCell ref="DU735:DY735"/>
    <mergeCell ref="EJ733:EN733"/>
    <mergeCell ref="DO737:DS737"/>
    <mergeCell ref="ET728:EX728"/>
    <mergeCell ref="EW667:FA667"/>
    <mergeCell ref="EW674:FA674"/>
    <mergeCell ref="EW662:FA662"/>
    <mergeCell ref="DE760:DI760"/>
    <mergeCell ref="AC752:AG752"/>
    <mergeCell ref="DO785:DS785"/>
    <mergeCell ref="W714:AK714"/>
    <mergeCell ref="CG760:CH760"/>
    <mergeCell ref="AH742:AJ742"/>
    <mergeCell ref="DX671:EB671"/>
    <mergeCell ref="EC671:EG671"/>
    <mergeCell ref="EH670:EL670"/>
    <mergeCell ref="EW673:FA673"/>
    <mergeCell ref="DX667:EB667"/>
    <mergeCell ref="ER668:EV668"/>
    <mergeCell ref="EH674:EL674"/>
    <mergeCell ref="EH676:EL676"/>
    <mergeCell ref="EW665:FA665"/>
    <mergeCell ref="EH667:EL667"/>
    <mergeCell ref="EC669:EG669"/>
    <mergeCell ref="EH669:EL669"/>
    <mergeCell ref="CM739:CN739"/>
    <mergeCell ref="CI738:CJ738"/>
    <mergeCell ref="CI739:CJ739"/>
    <mergeCell ref="CU726:CY726"/>
    <mergeCell ref="DO741:DS741"/>
    <mergeCell ref="DO742:DS742"/>
    <mergeCell ref="X742:AB742"/>
    <mergeCell ref="BG856:BL856"/>
    <mergeCell ref="CI744:CJ744"/>
    <mergeCell ref="Z816:AE816"/>
    <mergeCell ref="Z821:AE821"/>
    <mergeCell ref="AC740:AG740"/>
    <mergeCell ref="X741:AB741"/>
    <mergeCell ref="G740:J740"/>
    <mergeCell ref="W865:AC865"/>
    <mergeCell ref="AC805:AG805"/>
    <mergeCell ref="O741:S741"/>
    <mergeCell ref="Y840:AB840"/>
    <mergeCell ref="CK748:CL748"/>
    <mergeCell ref="BI849:BL849"/>
    <mergeCell ref="X745:AB745"/>
    <mergeCell ref="X798:AB798"/>
    <mergeCell ref="U839:X839"/>
    <mergeCell ref="CU782:CY782"/>
    <mergeCell ref="X791:AB794"/>
    <mergeCell ref="X795:AB795"/>
    <mergeCell ref="X804:AB804"/>
    <mergeCell ref="Y837:AB837"/>
    <mergeCell ref="B762:AH763"/>
    <mergeCell ref="AC753:AG753"/>
    <mergeCell ref="AC754:AG754"/>
    <mergeCell ref="CU785:CY785"/>
    <mergeCell ref="M831:P832"/>
    <mergeCell ref="T804:W804"/>
    <mergeCell ref="CP760:CT760"/>
    <mergeCell ref="CP782:CT782"/>
    <mergeCell ref="U831:X832"/>
    <mergeCell ref="Z817:AE817"/>
    <mergeCell ref="O799:S799"/>
    <mergeCell ref="X743:AB743"/>
    <mergeCell ref="Q840:T840"/>
    <mergeCell ref="M839:P839"/>
    <mergeCell ref="CI743:CJ743"/>
    <mergeCell ref="CG745:CH745"/>
    <mergeCell ref="CG750:CH750"/>
    <mergeCell ref="CM740:CN740"/>
    <mergeCell ref="AC834:AF834"/>
    <mergeCell ref="J805:N805"/>
    <mergeCell ref="J803:N803"/>
    <mergeCell ref="Q839:T839"/>
    <mergeCell ref="U836:X836"/>
    <mergeCell ref="AG836:AJ836"/>
    <mergeCell ref="AC836:AF836"/>
    <mergeCell ref="AG837:AJ837"/>
    <mergeCell ref="AG834:AJ834"/>
    <mergeCell ref="AG839:AJ839"/>
    <mergeCell ref="AC797:AG797"/>
    <mergeCell ref="AC798:AG798"/>
    <mergeCell ref="O804:S804"/>
    <mergeCell ref="O803:S803"/>
    <mergeCell ref="AC799:AG799"/>
    <mergeCell ref="J802:N802"/>
    <mergeCell ref="Q836:T836"/>
    <mergeCell ref="AG835:AJ835"/>
    <mergeCell ref="Z826:AE826"/>
    <mergeCell ref="Z822:AE822"/>
    <mergeCell ref="O805:S805"/>
    <mergeCell ref="J784:N784"/>
    <mergeCell ref="CM760:CN760"/>
    <mergeCell ref="AC804:AG804"/>
    <mergeCell ref="AC838:AF838"/>
    <mergeCell ref="AH739:AJ739"/>
    <mergeCell ref="CP810:CT810"/>
    <mergeCell ref="CP796:CT796"/>
    <mergeCell ref="U838:X838"/>
    <mergeCell ref="J804:N804"/>
    <mergeCell ref="J785:N785"/>
    <mergeCell ref="J787:K787"/>
    <mergeCell ref="J781:N781"/>
    <mergeCell ref="Y839:AB839"/>
    <mergeCell ref="AC783:AG783"/>
    <mergeCell ref="AC791:AG794"/>
    <mergeCell ref="X796:AB796"/>
    <mergeCell ref="X784:AB784"/>
    <mergeCell ref="Y809:AC809"/>
    <mergeCell ref="X783:AB783"/>
    <mergeCell ref="O781:S781"/>
    <mergeCell ref="T781:W781"/>
    <mergeCell ref="M838:P838"/>
    <mergeCell ref="AC777:AG780"/>
    <mergeCell ref="CM751:CN751"/>
    <mergeCell ref="CP748:CT748"/>
    <mergeCell ref="X753:AB753"/>
    <mergeCell ref="AK759:AO759"/>
    <mergeCell ref="AK758:AO758"/>
    <mergeCell ref="AC759:AG759"/>
    <mergeCell ref="G746:J746"/>
    <mergeCell ref="J798:N798"/>
    <mergeCell ref="AH743:AJ743"/>
    <mergeCell ref="AK757:AO757"/>
    <mergeCell ref="K752:N752"/>
    <mergeCell ref="Z823:AE823"/>
    <mergeCell ref="O801:S801"/>
    <mergeCell ref="A1134:B1134"/>
    <mergeCell ref="G733:J733"/>
    <mergeCell ref="B740:F740"/>
    <mergeCell ref="T753:W753"/>
    <mergeCell ref="M964:S964"/>
    <mergeCell ref="A1106:B1106"/>
    <mergeCell ref="M968:S968"/>
    <mergeCell ref="K735:N735"/>
    <mergeCell ref="M980:S980"/>
    <mergeCell ref="M965:S965"/>
    <mergeCell ref="AE969:AK969"/>
    <mergeCell ref="A1103:B1103"/>
    <mergeCell ref="AJ1000:AQ1000"/>
    <mergeCell ref="W874:AC874"/>
    <mergeCell ref="W888:AC888"/>
    <mergeCell ref="G734:J734"/>
    <mergeCell ref="K741:N741"/>
    <mergeCell ref="O756:S756"/>
    <mergeCell ref="T783:W783"/>
    <mergeCell ref="Y834:AB834"/>
    <mergeCell ref="AH744:AJ744"/>
    <mergeCell ref="O742:S742"/>
    <mergeCell ref="J801:N801"/>
    <mergeCell ref="X801:AB801"/>
    <mergeCell ref="J800:N800"/>
    <mergeCell ref="X799:AB799"/>
    <mergeCell ref="AA955:AF955"/>
    <mergeCell ref="U958:Z958"/>
    <mergeCell ref="F941:T941"/>
    <mergeCell ref="I958:T958"/>
    <mergeCell ref="U947:Z947"/>
    <mergeCell ref="M834:P834"/>
    <mergeCell ref="T736:W736"/>
    <mergeCell ref="AC748:AG748"/>
    <mergeCell ref="AH737:AJ737"/>
    <mergeCell ref="AA954:AF954"/>
    <mergeCell ref="K740:N740"/>
    <mergeCell ref="U933:Z933"/>
    <mergeCell ref="AA947:AF947"/>
    <mergeCell ref="U932:Z932"/>
    <mergeCell ref="W867:AC867"/>
    <mergeCell ref="F955:H955"/>
    <mergeCell ref="AA959:AF959"/>
    <mergeCell ref="U956:Z956"/>
    <mergeCell ref="U928:Z928"/>
    <mergeCell ref="U954:Z954"/>
    <mergeCell ref="AA943:AF943"/>
    <mergeCell ref="U930:Z930"/>
    <mergeCell ref="U957:Z957"/>
    <mergeCell ref="U944:Z944"/>
    <mergeCell ref="M880:V880"/>
    <mergeCell ref="Q833:T833"/>
    <mergeCell ref="W879:AC879"/>
    <mergeCell ref="O751:S751"/>
    <mergeCell ref="T751:W751"/>
    <mergeCell ref="P954:T954"/>
    <mergeCell ref="U953:Z953"/>
    <mergeCell ref="O761:S761"/>
    <mergeCell ref="AC833:AF833"/>
    <mergeCell ref="K756:N756"/>
    <mergeCell ref="O749:S749"/>
    <mergeCell ref="O758:S758"/>
    <mergeCell ref="K753:N753"/>
    <mergeCell ref="G749:J749"/>
    <mergeCell ref="I957:T957"/>
    <mergeCell ref="AC904:AH904"/>
    <mergeCell ref="AA942:AF942"/>
    <mergeCell ref="C904:AB904"/>
    <mergeCell ref="F935:T935"/>
    <mergeCell ref="F936:T936"/>
    <mergeCell ref="I955:T955"/>
    <mergeCell ref="K744:N744"/>
    <mergeCell ref="W881:AC881"/>
    <mergeCell ref="U943:Z943"/>
    <mergeCell ref="F939:T939"/>
    <mergeCell ref="F940:T940"/>
    <mergeCell ref="U945:Z945"/>
    <mergeCell ref="F949:T949"/>
    <mergeCell ref="U948:Z948"/>
    <mergeCell ref="U949:Z949"/>
    <mergeCell ref="W862:AC862"/>
    <mergeCell ref="W883:AC883"/>
    <mergeCell ref="AC896:AH896"/>
    <mergeCell ref="W887:AC887"/>
    <mergeCell ref="F924:T924"/>
    <mergeCell ref="M886:V886"/>
    <mergeCell ref="W878:AC878"/>
    <mergeCell ref="AA938:AF938"/>
    <mergeCell ref="C833:H833"/>
    <mergeCell ref="C836:H836"/>
    <mergeCell ref="B757:F757"/>
    <mergeCell ref="C834:H834"/>
    <mergeCell ref="Y836:AB836"/>
    <mergeCell ref="C806:AN807"/>
    <mergeCell ref="J796:N796"/>
    <mergeCell ref="AC781:AG781"/>
    <mergeCell ref="AA941:AF941"/>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O740:S740"/>
    <mergeCell ref="G745:J745"/>
    <mergeCell ref="AH738:AJ738"/>
    <mergeCell ref="AC802:AG802"/>
    <mergeCell ref="AC803:AG803"/>
    <mergeCell ref="O752:S752"/>
    <mergeCell ref="K736:N736"/>
    <mergeCell ref="AA945:AF945"/>
    <mergeCell ref="M887:V887"/>
    <mergeCell ref="T866:V866"/>
    <mergeCell ref="T868:V868"/>
    <mergeCell ref="AB997:AI997"/>
    <mergeCell ref="R995:AA995"/>
    <mergeCell ref="T759:W759"/>
    <mergeCell ref="F946:T946"/>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O755:S755"/>
    <mergeCell ref="AH753:AJ753"/>
    <mergeCell ref="AH754:AJ754"/>
    <mergeCell ref="G742:J742"/>
    <mergeCell ref="AK753:AO753"/>
    <mergeCell ref="M967:S967"/>
    <mergeCell ref="M969:S969"/>
    <mergeCell ref="T757:W757"/>
    <mergeCell ref="K758:N758"/>
    <mergeCell ref="X756:AB756"/>
    <mergeCell ref="X757:AB757"/>
    <mergeCell ref="J791:N794"/>
    <mergeCell ref="T798:W798"/>
    <mergeCell ref="T801:W801"/>
    <mergeCell ref="O764:R764"/>
    <mergeCell ref="B743:F743"/>
    <mergeCell ref="U950:Z950"/>
    <mergeCell ref="U840:X840"/>
    <mergeCell ref="M840:P840"/>
    <mergeCell ref="F947:T947"/>
    <mergeCell ref="U939:Z939"/>
    <mergeCell ref="F938:T938"/>
    <mergeCell ref="G747:J747"/>
    <mergeCell ref="X749:AB749"/>
    <mergeCell ref="T744:W744"/>
    <mergeCell ref="AC751:AG751"/>
    <mergeCell ref="B748:F748"/>
    <mergeCell ref="B755:F755"/>
    <mergeCell ref="AA984:AG984"/>
    <mergeCell ref="G761:J761"/>
    <mergeCell ref="AD767:AF767"/>
    <mergeCell ref="O754:S754"/>
    <mergeCell ref="O745:S745"/>
    <mergeCell ref="AC840:AF840"/>
    <mergeCell ref="AE965:AK965"/>
    <mergeCell ref="B756:F756"/>
    <mergeCell ref="W851:AC851"/>
    <mergeCell ref="G743:J743"/>
    <mergeCell ref="K751:N751"/>
    <mergeCell ref="M971:S971"/>
    <mergeCell ref="AA934:AF934"/>
    <mergeCell ref="AE967:AK967"/>
    <mergeCell ref="F925:T926"/>
    <mergeCell ref="F948:T948"/>
    <mergeCell ref="O783:S783"/>
    <mergeCell ref="AB926:AE926"/>
    <mergeCell ref="D1062:AI1062"/>
    <mergeCell ref="D1058:AE1058"/>
    <mergeCell ref="D1041:AE1041"/>
    <mergeCell ref="D1059:AE1060"/>
    <mergeCell ref="X1057:Y1057"/>
    <mergeCell ref="X1061:Y1061"/>
    <mergeCell ref="I1057:J1057"/>
    <mergeCell ref="I1061:J1061"/>
    <mergeCell ref="AG1058:AH1058"/>
    <mergeCell ref="AG1034:AH1034"/>
    <mergeCell ref="D1031:AE1032"/>
    <mergeCell ref="D997:Q997"/>
    <mergeCell ref="D998:Q998"/>
    <mergeCell ref="C774:AR776"/>
    <mergeCell ref="D996:Q996"/>
    <mergeCell ref="R998:AA998"/>
    <mergeCell ref="AJ998:AQ998"/>
    <mergeCell ref="J1033:AE1033"/>
    <mergeCell ref="AJ1001:AQ1001"/>
    <mergeCell ref="AB966:AK966"/>
    <mergeCell ref="AE968:AK968"/>
    <mergeCell ref="AJ1062:AQ1062"/>
    <mergeCell ref="D995:Q995"/>
    <mergeCell ref="AE964:AK964"/>
    <mergeCell ref="I959:T959"/>
    <mergeCell ref="D1004:AE1007"/>
    <mergeCell ref="AG1041:AH1041"/>
    <mergeCell ref="D1045:AE1045"/>
    <mergeCell ref="AJ1054:AQ1057"/>
    <mergeCell ref="AG1020:AH1020"/>
    <mergeCell ref="D1009:AE1009"/>
    <mergeCell ref="D1022:AE1022"/>
    <mergeCell ref="AG1054:AH1054"/>
    <mergeCell ref="D1050:AE1050"/>
    <mergeCell ref="D1051:AE1053"/>
    <mergeCell ref="AJ1058:AQ1061"/>
    <mergeCell ref="R997:AA997"/>
    <mergeCell ref="D999:Q999"/>
    <mergeCell ref="AB998:AI998"/>
    <mergeCell ref="D1017:AE1019"/>
    <mergeCell ref="D1016:AE1016"/>
    <mergeCell ref="R999:AA999"/>
    <mergeCell ref="B1000:AA1000"/>
    <mergeCell ref="AA977:AG977"/>
    <mergeCell ref="M977:S977"/>
    <mergeCell ref="J966:S966"/>
    <mergeCell ref="B745:F745"/>
    <mergeCell ref="O748:S748"/>
    <mergeCell ref="AA948:AF948"/>
    <mergeCell ref="AA949:AF949"/>
    <mergeCell ref="W861:AC861"/>
    <mergeCell ref="B746:F746"/>
    <mergeCell ref="K757:N757"/>
    <mergeCell ref="O757:S757"/>
    <mergeCell ref="O746:S746"/>
    <mergeCell ref="T747:W747"/>
    <mergeCell ref="AA976:AG976"/>
    <mergeCell ref="AG1038:AH1038"/>
    <mergeCell ref="D1046:AE1049"/>
    <mergeCell ref="AB995:AI995"/>
    <mergeCell ref="G748:J748"/>
    <mergeCell ref="K747:N747"/>
    <mergeCell ref="AH745:AJ745"/>
    <mergeCell ref="Z910:AE910"/>
    <mergeCell ref="D1023:AE1024"/>
    <mergeCell ref="D1026:AE1028"/>
    <mergeCell ref="AJ1045:AQ1049"/>
    <mergeCell ref="F984:L984"/>
    <mergeCell ref="AE971:AK971"/>
    <mergeCell ref="M970:S970"/>
    <mergeCell ref="AJ1025:AQ1028"/>
    <mergeCell ref="X747:AB747"/>
    <mergeCell ref="B753:F753"/>
    <mergeCell ref="B754:F754"/>
    <mergeCell ref="O750:S750"/>
    <mergeCell ref="AC755:AG755"/>
    <mergeCell ref="D1020:AE1020"/>
    <mergeCell ref="D1021:AE1021"/>
    <mergeCell ref="DE785:DI785"/>
    <mergeCell ref="DE783:DI783"/>
    <mergeCell ref="AG1029:AH1029"/>
    <mergeCell ref="D1025:AE1025"/>
    <mergeCell ref="D994:Q994"/>
    <mergeCell ref="AB994:AI994"/>
    <mergeCell ref="BG985:BL985"/>
    <mergeCell ref="BD916:BE916"/>
    <mergeCell ref="BD917:BE917"/>
    <mergeCell ref="AA930:AF930"/>
    <mergeCell ref="AC892:AH892"/>
    <mergeCell ref="Z911:AE911"/>
    <mergeCell ref="W872:AC872"/>
    <mergeCell ref="AC900:AH900"/>
    <mergeCell ref="C903:AB903"/>
    <mergeCell ref="AG840:AJ840"/>
    <mergeCell ref="W852:AC852"/>
    <mergeCell ref="AJ1022:AQ1024"/>
    <mergeCell ref="AA946:AF946"/>
    <mergeCell ref="U952:Z952"/>
    <mergeCell ref="AA950:AF950"/>
    <mergeCell ref="Y835:AB835"/>
    <mergeCell ref="AA952:AF952"/>
    <mergeCell ref="F951:T951"/>
    <mergeCell ref="AA939:AF939"/>
    <mergeCell ref="W857:AC857"/>
    <mergeCell ref="AA940:AF940"/>
    <mergeCell ref="U941:Z941"/>
    <mergeCell ref="D1011:AE1015"/>
    <mergeCell ref="FO727:FS727"/>
    <mergeCell ref="FT727:FX727"/>
    <mergeCell ref="FY727:GC727"/>
    <mergeCell ref="FY728:GC728"/>
    <mergeCell ref="FT731:FX731"/>
    <mergeCell ref="FY731:GC731"/>
    <mergeCell ref="FT728:FX728"/>
    <mergeCell ref="FT729:FX729"/>
    <mergeCell ref="FY729:GC729"/>
    <mergeCell ref="EZ730:FD730"/>
    <mergeCell ref="FE730:FI730"/>
    <mergeCell ref="FJ730:FN730"/>
    <mergeCell ref="FO730:FS730"/>
    <mergeCell ref="FT730:FX730"/>
    <mergeCell ref="FY730:GC730"/>
    <mergeCell ref="FO728:FS728"/>
    <mergeCell ref="EO736:ES736"/>
    <mergeCell ref="FO740:FS740"/>
    <mergeCell ref="FT740:FX740"/>
    <mergeCell ref="AH746:AJ746"/>
    <mergeCell ref="J782:N782"/>
    <mergeCell ref="EJ741:EN741"/>
    <mergeCell ref="DZ737:ED737"/>
    <mergeCell ref="FY740:GC740"/>
    <mergeCell ref="FO744:FS744"/>
    <mergeCell ref="FT736:FX736"/>
    <mergeCell ref="EZ736:FD736"/>
    <mergeCell ref="FE736:FI736"/>
    <mergeCell ref="FJ736:FN736"/>
    <mergeCell ref="FO736:FS736"/>
    <mergeCell ref="FY738:GC738"/>
    <mergeCell ref="FO738:FS738"/>
    <mergeCell ref="FY736:GC736"/>
    <mergeCell ref="FE738:FI738"/>
    <mergeCell ref="DZ740:ED740"/>
    <mergeCell ref="EE740:EI740"/>
    <mergeCell ref="EJ740:EN740"/>
    <mergeCell ref="EJ739:EN739"/>
    <mergeCell ref="EJ743:EN743"/>
    <mergeCell ref="EJ737:EN737"/>
    <mergeCell ref="FJ737:FN737"/>
    <mergeCell ref="FY748:GC748"/>
    <mergeCell ref="FO737:FS737"/>
    <mergeCell ref="FT737:FX737"/>
    <mergeCell ref="FY737:GC737"/>
    <mergeCell ref="EZ738:FD738"/>
    <mergeCell ref="EZ748:FD748"/>
    <mergeCell ref="FT744:FX744"/>
    <mergeCell ref="EZ737:FD737"/>
    <mergeCell ref="FE737:FI737"/>
    <mergeCell ref="FY742:GC742"/>
    <mergeCell ref="EZ743:FD743"/>
    <mergeCell ref="FE743:FI743"/>
    <mergeCell ref="EZ739:FD739"/>
    <mergeCell ref="EZ726:FD726"/>
    <mergeCell ref="FT726:FX726"/>
    <mergeCell ref="FE729:FI729"/>
    <mergeCell ref="FJ726:FN726"/>
    <mergeCell ref="FO726:FS726"/>
    <mergeCell ref="EZ731:FD731"/>
    <mergeCell ref="FE731:FI731"/>
    <mergeCell ref="FJ731:FN731"/>
    <mergeCell ref="FO731:FS731"/>
    <mergeCell ref="FO729:FS729"/>
    <mergeCell ref="FE726:FI726"/>
    <mergeCell ref="EZ728:FD728"/>
    <mergeCell ref="EZ729:FD729"/>
    <mergeCell ref="FJ733:FN733"/>
    <mergeCell ref="FY733:GC733"/>
    <mergeCell ref="FT732:FX732"/>
    <mergeCell ref="FY732:GC732"/>
    <mergeCell ref="FJ732:FN732"/>
    <mergeCell ref="FO732:FS732"/>
    <mergeCell ref="FO750:FS750"/>
    <mergeCell ref="DO738:DS738"/>
    <mergeCell ref="FT749:FX749"/>
    <mergeCell ref="FY746:GC746"/>
    <mergeCell ref="FY741:GC741"/>
    <mergeCell ref="FY747:GC747"/>
    <mergeCell ref="EZ742:FD742"/>
    <mergeCell ref="FE742:FI742"/>
    <mergeCell ref="EZ746:FD746"/>
    <mergeCell ref="FE739:FI739"/>
    <mergeCell ref="FJ739:FN739"/>
    <mergeCell ref="FO739:FS739"/>
    <mergeCell ref="EZ744:FD744"/>
    <mergeCell ref="FE744:FI744"/>
    <mergeCell ref="FJ744:FN744"/>
    <mergeCell ref="FT738:FX738"/>
    <mergeCell ref="FY744:GC744"/>
    <mergeCell ref="EZ745:FD745"/>
    <mergeCell ref="FE745:FI745"/>
    <mergeCell ref="FY750:GC750"/>
    <mergeCell ref="EE741:EI741"/>
    <mergeCell ref="ET740:EX740"/>
    <mergeCell ref="DU738:DY738"/>
    <mergeCell ref="DO750:DS750"/>
    <mergeCell ref="EE744:EI744"/>
    <mergeCell ref="EJ744:EN744"/>
    <mergeCell ref="DZ747:ED747"/>
    <mergeCell ref="EE747:EI747"/>
    <mergeCell ref="FJ738:FN738"/>
    <mergeCell ref="FT743:FX743"/>
    <mergeCell ref="FY743:GC743"/>
    <mergeCell ref="DZ739:ED739"/>
    <mergeCell ref="FT755:FX755"/>
    <mergeCell ref="FJ740:FN740"/>
    <mergeCell ref="FO748:FS748"/>
    <mergeCell ref="FJ741:FN741"/>
    <mergeCell ref="FO741:FS741"/>
    <mergeCell ref="FJ748:FN748"/>
    <mergeCell ref="EZ741:FD741"/>
    <mergeCell ref="FE741:FI741"/>
    <mergeCell ref="FJ743:FN743"/>
    <mergeCell ref="FT758:FX758"/>
    <mergeCell ref="EZ747:FD747"/>
    <mergeCell ref="FE747:FI747"/>
    <mergeCell ref="FJ747:FN747"/>
    <mergeCell ref="FO747:FS747"/>
    <mergeCell ref="FT748:FX748"/>
    <mergeCell ref="FT741:FX741"/>
    <mergeCell ref="FT742:FX742"/>
    <mergeCell ref="FO743:FS743"/>
    <mergeCell ref="FT750:FX750"/>
    <mergeCell ref="FO756:FS756"/>
    <mergeCell ref="EZ749:FD749"/>
    <mergeCell ref="FJ756:FN756"/>
    <mergeCell ref="EZ753:FD753"/>
    <mergeCell ref="EZ756:FD756"/>
    <mergeCell ref="FJ745:FN745"/>
    <mergeCell ref="EZ757:FD757"/>
    <mergeCell ref="EZ755:FD755"/>
    <mergeCell ref="EZ740:FD740"/>
    <mergeCell ref="FE740:FI740"/>
    <mergeCell ref="FE748:FI748"/>
    <mergeCell ref="FE753:FI753"/>
    <mergeCell ref="FJ753:FN753"/>
    <mergeCell ref="FO753:FS753"/>
    <mergeCell ref="FT751:FX751"/>
    <mergeCell ref="EZ751:FD751"/>
    <mergeCell ref="EZ750:FD750"/>
    <mergeCell ref="FE751:FI751"/>
    <mergeCell ref="FJ751:FN751"/>
    <mergeCell ref="FO751:FS751"/>
    <mergeCell ref="DX651:EB651"/>
    <mergeCell ref="DX656:EB656"/>
    <mergeCell ref="DX655:EB655"/>
    <mergeCell ref="EO726:ES726"/>
    <mergeCell ref="ET736:EX736"/>
    <mergeCell ref="EW647:FA647"/>
    <mergeCell ref="EM672:EQ672"/>
    <mergeCell ref="EC660:EG660"/>
    <mergeCell ref="EH660:EL660"/>
    <mergeCell ref="FY745:GC745"/>
    <mergeCell ref="FT745:FX745"/>
    <mergeCell ref="FE746:FI746"/>
    <mergeCell ref="FJ746:FN746"/>
    <mergeCell ref="FO746:FS746"/>
    <mergeCell ref="FT746:FX746"/>
    <mergeCell ref="FT747:FX747"/>
    <mergeCell ref="DZ738:ED738"/>
    <mergeCell ref="EJ738:EN738"/>
    <mergeCell ref="FY734:GC734"/>
    <mergeCell ref="EZ734:FD734"/>
    <mergeCell ref="FJ729:FN729"/>
    <mergeCell ref="ER647:EV647"/>
    <mergeCell ref="DX652:EB652"/>
    <mergeCell ref="DX650:EB650"/>
    <mergeCell ref="DX670:EB670"/>
    <mergeCell ref="FY735:GC735"/>
    <mergeCell ref="FE735:FI735"/>
    <mergeCell ref="FJ735:FN735"/>
    <mergeCell ref="FT733:FX733"/>
    <mergeCell ref="DU740:DY740"/>
    <mergeCell ref="DZ734:ED734"/>
    <mergeCell ref="DU736:DY736"/>
    <mergeCell ref="ET731:EX731"/>
    <mergeCell ref="EE726:EI726"/>
    <mergeCell ref="DZ736:ED736"/>
    <mergeCell ref="EE732:EI732"/>
    <mergeCell ref="DU732:DY732"/>
    <mergeCell ref="DZ727:ED727"/>
    <mergeCell ref="EO738:ES738"/>
    <mergeCell ref="ET738:EX738"/>
    <mergeCell ref="EO732:ES732"/>
    <mergeCell ref="ET732:EX732"/>
    <mergeCell ref="EO734:ES734"/>
    <mergeCell ref="ET734:EX734"/>
    <mergeCell ref="DU739:DY739"/>
    <mergeCell ref="EO739:ES739"/>
    <mergeCell ref="EO728:ES728"/>
    <mergeCell ref="EE737:EI737"/>
    <mergeCell ref="EE733:EI733"/>
    <mergeCell ref="EE738:EI738"/>
    <mergeCell ref="FT739:FX739"/>
    <mergeCell ref="FY739:GC739"/>
    <mergeCell ref="FY726:GC726"/>
    <mergeCell ref="EZ727:FD727"/>
    <mergeCell ref="FE727:FI727"/>
    <mergeCell ref="FJ727:FN727"/>
    <mergeCell ref="ET737:EX737"/>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5:EL655"/>
    <mergeCell ref="EM655:EQ655"/>
    <mergeCell ref="EH651:EL651"/>
    <mergeCell ref="EM651:EQ651"/>
    <mergeCell ref="ER649:EV649"/>
    <mergeCell ref="EH649:EL649"/>
    <mergeCell ref="EC652:EG652"/>
    <mergeCell ref="EH652:EL652"/>
    <mergeCell ref="EW658:FA658"/>
    <mergeCell ref="EW655:FA655"/>
    <mergeCell ref="ER655:EV655"/>
    <mergeCell ref="EH653:EL653"/>
    <mergeCell ref="EM653:EQ653"/>
    <mergeCell ref="EH648:EL648"/>
    <mergeCell ref="EW646:FA646"/>
    <mergeCell ref="DO729:DS729"/>
    <mergeCell ref="ER661:EV661"/>
    <mergeCell ref="EW663:FA663"/>
    <mergeCell ref="EH664:EL664"/>
    <mergeCell ref="EO729:ES729"/>
    <mergeCell ref="EE730:EI730"/>
    <mergeCell ref="EW670:FA670"/>
    <mergeCell ref="EH671:EL671"/>
    <mergeCell ref="EM671:EQ671"/>
    <mergeCell ref="ER671:EV671"/>
    <mergeCell ref="EW671:FA671"/>
    <mergeCell ref="EC667:EG667"/>
    <mergeCell ref="DU728:DY728"/>
    <mergeCell ref="DU726:DY726"/>
    <mergeCell ref="EM676:EQ676"/>
    <mergeCell ref="DX673:EB673"/>
    <mergeCell ref="ET730:EX730"/>
    <mergeCell ref="EC665:EG665"/>
    <mergeCell ref="EH666:EL666"/>
    <mergeCell ref="EM666:EQ666"/>
    <mergeCell ref="EM668:EQ668"/>
    <mergeCell ref="DX678:EB678"/>
    <mergeCell ref="EJ727:EN727"/>
    <mergeCell ref="EM664:EQ664"/>
    <mergeCell ref="ER666:EV666"/>
    <mergeCell ref="EC670:EG670"/>
    <mergeCell ref="EH673:EL673"/>
    <mergeCell ref="EM673:EQ673"/>
    <mergeCell ref="EH665:EL665"/>
    <mergeCell ref="EM665:EQ665"/>
    <mergeCell ref="ET725:EX725"/>
    <mergeCell ref="ER674:EV674"/>
    <mergeCell ref="EM675:EQ675"/>
    <mergeCell ref="EJ729:EN729"/>
    <mergeCell ref="DZ729:ED729"/>
    <mergeCell ref="DZ730:ED730"/>
    <mergeCell ref="EM678:EQ678"/>
    <mergeCell ref="EW659:FA659"/>
    <mergeCell ref="EW657:FA657"/>
    <mergeCell ref="ER657:EV657"/>
    <mergeCell ref="ER651:EV651"/>
    <mergeCell ref="EH656:EL656"/>
    <mergeCell ref="EH657:EL657"/>
    <mergeCell ref="EC656:EG656"/>
    <mergeCell ref="DX658:EB658"/>
    <mergeCell ref="EC658:EG658"/>
    <mergeCell ref="EH659:EL659"/>
    <mergeCell ref="EH658:EL658"/>
    <mergeCell ref="EC659:EG659"/>
    <mergeCell ref="EC654:EG654"/>
    <mergeCell ref="EH654:EL654"/>
    <mergeCell ref="DU729:DY729"/>
    <mergeCell ref="ER665:EV665"/>
    <mergeCell ref="EW668:FA668"/>
    <mergeCell ref="DX669:EB669"/>
    <mergeCell ref="DX653:EB653"/>
    <mergeCell ref="EW656:FA656"/>
    <mergeCell ref="DX657:EB657"/>
    <mergeCell ref="DX663:EB663"/>
    <mergeCell ref="DX664:EB664"/>
    <mergeCell ref="EC664:EG664"/>
    <mergeCell ref="EO730:ES730"/>
    <mergeCell ref="EZ725:FD725"/>
    <mergeCell ref="ET729:EX729"/>
    <mergeCell ref="ER648:EV648"/>
    <mergeCell ref="EM649:EQ649"/>
    <mergeCell ref="EH650:EL650"/>
    <mergeCell ref="FO733:FS733"/>
    <mergeCell ref="ET726:EX726"/>
    <mergeCell ref="EW676:FA676"/>
    <mergeCell ref="EW672:FA672"/>
    <mergeCell ref="EW677:FA677"/>
    <mergeCell ref="EH661:EL661"/>
    <mergeCell ref="EM659:EQ659"/>
    <mergeCell ref="EM650:EQ650"/>
    <mergeCell ref="ER650:EV650"/>
    <mergeCell ref="EJ726:EN726"/>
    <mergeCell ref="EH672:EL672"/>
    <mergeCell ref="EW652:FA652"/>
    <mergeCell ref="FE728:FI728"/>
    <mergeCell ref="FJ728:FN728"/>
    <mergeCell ref="EE728:EI728"/>
    <mergeCell ref="ER672:EV672"/>
    <mergeCell ref="EC675:EG675"/>
    <mergeCell ref="EW648:FA648"/>
    <mergeCell ref="FE733:FI733"/>
    <mergeCell ref="EC649:EG649"/>
    <mergeCell ref="ER659:EV659"/>
    <mergeCell ref="ER660:EV660"/>
    <mergeCell ref="FE732:FI732"/>
    <mergeCell ref="ER656:EV656"/>
    <mergeCell ref="EJ731:EN731"/>
    <mergeCell ref="EM648:EQ648"/>
    <mergeCell ref="EW660:FA660"/>
    <mergeCell ref="EE725:EI725"/>
    <mergeCell ref="EJ728:EN728"/>
    <mergeCell ref="FJ725:FN725"/>
    <mergeCell ref="FO725:FS725"/>
    <mergeCell ref="EW678:FA678"/>
    <mergeCell ref="EW664:FA664"/>
    <mergeCell ref="ER658:EV658"/>
    <mergeCell ref="EM658:EQ658"/>
    <mergeCell ref="FO735:FS735"/>
    <mergeCell ref="FO745:FS745"/>
    <mergeCell ref="FJ742:FN742"/>
    <mergeCell ref="FO742:FS742"/>
    <mergeCell ref="FJ755:FN755"/>
    <mergeCell ref="FO755:FS755"/>
    <mergeCell ref="EJ732:EN732"/>
    <mergeCell ref="ET750:EX750"/>
    <mergeCell ref="EJ749:EN749"/>
    <mergeCell ref="EO749:ES749"/>
    <mergeCell ref="DU754:DY754"/>
    <mergeCell ref="DZ754:ED754"/>
    <mergeCell ref="EE754:EI754"/>
    <mergeCell ref="EO742:ES742"/>
    <mergeCell ref="FE734:FI734"/>
    <mergeCell ref="EZ733:FD733"/>
    <mergeCell ref="EZ732:FD732"/>
    <mergeCell ref="DZ741:ED741"/>
    <mergeCell ref="ET744:EX744"/>
    <mergeCell ref="EE743:EI743"/>
    <mergeCell ref="EJ742:EN742"/>
    <mergeCell ref="ER664:EV664"/>
    <mergeCell ref="EC677:EG677"/>
    <mergeCell ref="EC676:EG676"/>
    <mergeCell ref="EE736:EI736"/>
    <mergeCell ref="EJ736:EN736"/>
    <mergeCell ref="EZ761:FD761"/>
    <mergeCell ref="DZ743:ED743"/>
    <mergeCell ref="EC663:EG663"/>
    <mergeCell ref="DX675:EB675"/>
    <mergeCell ref="EW669:FA669"/>
    <mergeCell ref="EM670:EQ670"/>
    <mergeCell ref="ER670:EV670"/>
    <mergeCell ref="EZ735:FD735"/>
    <mergeCell ref="EO760:ES760"/>
    <mergeCell ref="EJ760:EN760"/>
    <mergeCell ref="FE725:FI725"/>
    <mergeCell ref="EJ758:EN758"/>
    <mergeCell ref="EO758:ES758"/>
    <mergeCell ref="EE742:EI742"/>
    <mergeCell ref="EO727:ES727"/>
    <mergeCell ref="ET727:EX727"/>
    <mergeCell ref="EJ730:EN730"/>
    <mergeCell ref="DZ725:ED725"/>
    <mergeCell ref="EJ745:EN745"/>
    <mergeCell ref="DU745:DY745"/>
    <mergeCell ref="DU743:DY743"/>
    <mergeCell ref="ET748:EX748"/>
    <mergeCell ref="EJ748:EN748"/>
    <mergeCell ref="EO753:ES753"/>
    <mergeCell ref="ET759:EX759"/>
    <mergeCell ref="EJ759:EN759"/>
    <mergeCell ref="EO744:ES744"/>
    <mergeCell ref="DU733:DY733"/>
    <mergeCell ref="DZ733:ED733"/>
    <mergeCell ref="DU731:DY731"/>
    <mergeCell ref="DZ746:ED746"/>
    <mergeCell ref="EE746:EI746"/>
    <mergeCell ref="EW649:FA649"/>
    <mergeCell ref="DZ726:ED726"/>
    <mergeCell ref="DX672:EB672"/>
    <mergeCell ref="DX676:EB676"/>
    <mergeCell ref="DX660:EB660"/>
    <mergeCell ref="DX662:EB662"/>
    <mergeCell ref="DX659:EB659"/>
    <mergeCell ref="EH677:EL677"/>
    <mergeCell ref="EM677:EQ677"/>
    <mergeCell ref="ER675:EV675"/>
    <mergeCell ref="DX677:EB677"/>
    <mergeCell ref="EC678:EG678"/>
    <mergeCell ref="EH678:EL678"/>
    <mergeCell ref="EE739:EI739"/>
    <mergeCell ref="DU737:DY737"/>
    <mergeCell ref="EJ735:EN735"/>
    <mergeCell ref="EO737:ES737"/>
    <mergeCell ref="EM657:EQ657"/>
    <mergeCell ref="EM662:EQ662"/>
    <mergeCell ref="EC662:EG662"/>
    <mergeCell ref="EH662:EL662"/>
    <mergeCell ref="DX665:EB665"/>
    <mergeCell ref="EM660:EQ660"/>
    <mergeCell ref="DX649:EB649"/>
    <mergeCell ref="DU734:DY734"/>
    <mergeCell ref="ET735:EX735"/>
    <mergeCell ref="EO735:ES735"/>
    <mergeCell ref="EE734:EI734"/>
    <mergeCell ref="DU727:DY727"/>
    <mergeCell ref="EO725:ES725"/>
    <mergeCell ref="DX661:EB661"/>
    <mergeCell ref="EC661:EG661"/>
    <mergeCell ref="DJ740:DN740"/>
    <mergeCell ref="CG759:CH759"/>
    <mergeCell ref="CU746:CY746"/>
    <mergeCell ref="CK737:CL737"/>
    <mergeCell ref="CP738:CT738"/>
    <mergeCell ref="DE752:DI752"/>
    <mergeCell ref="CZ756:DD756"/>
    <mergeCell ref="DE751:DI751"/>
    <mergeCell ref="CM757:CN757"/>
    <mergeCell ref="DJ744:DN744"/>
    <mergeCell ref="CP744:CT744"/>
    <mergeCell ref="CM745:CN745"/>
    <mergeCell ref="CI745:CJ745"/>
    <mergeCell ref="CP742:CT742"/>
    <mergeCell ref="CZ737:DD737"/>
    <mergeCell ref="CZ739:DD739"/>
    <mergeCell ref="CK739:CL739"/>
    <mergeCell ref="DE738:DI738"/>
    <mergeCell ref="CM738:CN738"/>
    <mergeCell ref="DE740:DI740"/>
    <mergeCell ref="DE739:DI739"/>
    <mergeCell ref="DJ748:DN748"/>
    <mergeCell ref="DE759:DI759"/>
    <mergeCell ref="DJ754:DN754"/>
    <mergeCell ref="DJ737:DN737"/>
    <mergeCell ref="CK740:CL740"/>
    <mergeCell ref="CZ740:DD740"/>
    <mergeCell ref="CM753:CN753"/>
    <mergeCell ref="CG754:CH754"/>
    <mergeCell ref="CU740:CY740"/>
    <mergeCell ref="CI751:CJ751"/>
    <mergeCell ref="DJ741:DN741"/>
    <mergeCell ref="CU760:CY760"/>
    <mergeCell ref="DE753:DI753"/>
    <mergeCell ref="CU729:CY729"/>
    <mergeCell ref="DZ745:ED745"/>
    <mergeCell ref="EE761:EI761"/>
    <mergeCell ref="ET742:EX742"/>
    <mergeCell ref="ET743:EX743"/>
    <mergeCell ref="ET739:EX739"/>
    <mergeCell ref="CU783:CY783"/>
    <mergeCell ref="CZ754:DD754"/>
    <mergeCell ref="CP761:CT761"/>
    <mergeCell ref="DE737:DI737"/>
    <mergeCell ref="DJ756:DN756"/>
    <mergeCell ref="DJ785:DN785"/>
    <mergeCell ref="EJ761:EN761"/>
    <mergeCell ref="DU758:DY758"/>
    <mergeCell ref="DZ758:ED758"/>
    <mergeCell ref="EE758:EI758"/>
    <mergeCell ref="DE746:DI746"/>
    <mergeCell ref="DE782:DI782"/>
    <mergeCell ref="ET758:EX758"/>
    <mergeCell ref="EO747:ES747"/>
    <mergeCell ref="ET747:EX747"/>
    <mergeCell ref="ET741:EX741"/>
    <mergeCell ref="EO741:ES741"/>
    <mergeCell ref="EO746:ES746"/>
    <mergeCell ref="ET733:EX733"/>
    <mergeCell ref="EJ746:EN746"/>
    <mergeCell ref="ET746:EX746"/>
    <mergeCell ref="ET745:EX745"/>
    <mergeCell ref="DO762:DS762"/>
    <mergeCell ref="DJ760:DN760"/>
    <mergeCell ref="DE799:DI799"/>
    <mergeCell ref="DU803:DY803"/>
    <mergeCell ref="DE804:DI804"/>
    <mergeCell ref="DO755:DS755"/>
    <mergeCell ref="CU801:CY801"/>
    <mergeCell ref="DU746:DY746"/>
    <mergeCell ref="DJ781:DN781"/>
    <mergeCell ref="EM661:EQ661"/>
    <mergeCell ref="DO739:DS739"/>
    <mergeCell ref="DO735:DS735"/>
    <mergeCell ref="DO736:DS736"/>
    <mergeCell ref="DO731:DS731"/>
    <mergeCell ref="DO732:DS732"/>
    <mergeCell ref="ER663:EV663"/>
    <mergeCell ref="DJ783:DN783"/>
    <mergeCell ref="CU747:CY747"/>
    <mergeCell ref="DJ742:DN742"/>
    <mergeCell ref="EJ725:EN725"/>
    <mergeCell ref="ER669:EV669"/>
    <mergeCell ref="EH675:EL675"/>
    <mergeCell ref="EO740:ES740"/>
    <mergeCell ref="DJ730:DN730"/>
    <mergeCell ref="DE729:DI729"/>
    <mergeCell ref="ER678:EV678"/>
    <mergeCell ref="DJ729:DN729"/>
    <mergeCell ref="DO727:DS727"/>
    <mergeCell ref="DJ733:DN733"/>
    <mergeCell ref="DO734:DS734"/>
    <mergeCell ref="EO743:ES743"/>
    <mergeCell ref="DE727:DI727"/>
    <mergeCell ref="DO745:DS745"/>
    <mergeCell ref="DJ725:DN725"/>
    <mergeCell ref="CU761:CY761"/>
    <mergeCell ref="CP802:CT802"/>
    <mergeCell ref="CP803:CT803"/>
    <mergeCell ref="CP804:CT804"/>
    <mergeCell ref="CP801:CT801"/>
    <mergeCell ref="CP800:CT800"/>
    <mergeCell ref="CP799:CT799"/>
    <mergeCell ref="CP798:CT798"/>
    <mergeCell ref="DU747:DY747"/>
    <mergeCell ref="DO733:DS733"/>
    <mergeCell ref="DE761:DI761"/>
    <mergeCell ref="DO759:DS759"/>
    <mergeCell ref="DO760:DS760"/>
    <mergeCell ref="CP739:CT739"/>
    <mergeCell ref="DE758:DI758"/>
    <mergeCell ref="DJ747:DN747"/>
    <mergeCell ref="DE745:DI745"/>
    <mergeCell ref="DE741:DI741"/>
    <mergeCell ref="DE744:DI744"/>
    <mergeCell ref="DO740:DS740"/>
    <mergeCell ref="CU739:CY739"/>
    <mergeCell ref="DE781:DI781"/>
    <mergeCell ref="CZ785:DD785"/>
    <mergeCell ref="CP734:CT734"/>
    <mergeCell ref="DE798:DI798"/>
    <mergeCell ref="DJ745:DN745"/>
    <mergeCell ref="DJ743:DN743"/>
    <mergeCell ref="DO784:DS784"/>
    <mergeCell ref="DO783:DS783"/>
    <mergeCell ref="DO782:DS782"/>
    <mergeCell ref="DE743:DI743"/>
    <mergeCell ref="DU744:DY744"/>
    <mergeCell ref="EO761:ES761"/>
    <mergeCell ref="DU761:DY761"/>
    <mergeCell ref="DZ750:ED750"/>
    <mergeCell ref="DU749:DY749"/>
    <mergeCell ref="DZ749:ED749"/>
    <mergeCell ref="EE753:EI753"/>
    <mergeCell ref="DU757:DY757"/>
    <mergeCell ref="DZ757:ED757"/>
    <mergeCell ref="DO754:DS754"/>
    <mergeCell ref="DO757:DS757"/>
    <mergeCell ref="EJ747:EN747"/>
    <mergeCell ref="EO745:ES745"/>
    <mergeCell ref="EO748:ES748"/>
    <mergeCell ref="DO748:DS748"/>
    <mergeCell ref="DU748:DY748"/>
    <mergeCell ref="DO746:DS746"/>
    <mergeCell ref="EE745:EI745"/>
    <mergeCell ref="EE752:EI752"/>
    <mergeCell ref="EE749:EI749"/>
    <mergeCell ref="EE748:EI748"/>
    <mergeCell ref="EE760:EI760"/>
    <mergeCell ref="DO781:DS781"/>
    <mergeCell ref="DE747:DI747"/>
    <mergeCell ref="DJ752:DN752"/>
    <mergeCell ref="DO747:DS747"/>
    <mergeCell ref="DE749:DI749"/>
    <mergeCell ref="DZ744:ED744"/>
    <mergeCell ref="DO743:DS743"/>
    <mergeCell ref="DO744:DS744"/>
    <mergeCell ref="DZ761:ED761"/>
    <mergeCell ref="DJ758:DN758"/>
    <mergeCell ref="DU752:DY752"/>
    <mergeCell ref="DO761:DS761"/>
    <mergeCell ref="DE754:DI754"/>
    <mergeCell ref="DJ784:DN784"/>
    <mergeCell ref="DJ761:DN761"/>
    <mergeCell ref="DE748:DI748"/>
    <mergeCell ref="DZ752:ED752"/>
    <mergeCell ref="DJ746:DN746"/>
    <mergeCell ref="DZ748:ED748"/>
    <mergeCell ref="DJ782:DN782"/>
    <mergeCell ref="DZ755:ED755"/>
    <mergeCell ref="DZ759:ED759"/>
    <mergeCell ref="DU760:DY760"/>
    <mergeCell ref="DZ760:ED760"/>
    <mergeCell ref="EM644:EQ644"/>
    <mergeCell ref="DX645:EB645"/>
    <mergeCell ref="AC641:AE641"/>
    <mergeCell ref="B647:AN647"/>
    <mergeCell ref="B648:AN648"/>
    <mergeCell ref="B727:F727"/>
    <mergeCell ref="AI679:AK679"/>
    <mergeCell ref="Z691:AK691"/>
    <mergeCell ref="AK728:AO728"/>
    <mergeCell ref="W708:AK708"/>
    <mergeCell ref="AA680:AK680"/>
    <mergeCell ref="AK738:AO738"/>
    <mergeCell ref="AC732:AG732"/>
    <mergeCell ref="AC738:AG738"/>
    <mergeCell ref="AK736:AO736"/>
    <mergeCell ref="AE707:AI707"/>
    <mergeCell ref="Q641:S641"/>
    <mergeCell ref="W642:Y642"/>
    <mergeCell ref="EH645:EL645"/>
    <mergeCell ref="DO730:DS730"/>
    <mergeCell ref="EH646:EL646"/>
    <mergeCell ref="EJ734:EN734"/>
    <mergeCell ref="DO728:DS728"/>
    <mergeCell ref="DO726:DS726"/>
    <mergeCell ref="EC645:EG645"/>
    <mergeCell ref="G660:R660"/>
    <mergeCell ref="J712:X712"/>
    <mergeCell ref="T722:W725"/>
    <mergeCell ref="AA656:AK656"/>
    <mergeCell ref="G735:J735"/>
    <mergeCell ref="AC731:AG731"/>
    <mergeCell ref="CZ728:DD728"/>
    <mergeCell ref="G686:R686"/>
    <mergeCell ref="P687:R687"/>
    <mergeCell ref="O728:S728"/>
    <mergeCell ref="AF643:AJ643"/>
    <mergeCell ref="AO643:AS643"/>
    <mergeCell ref="Z644:AB644"/>
    <mergeCell ref="Z645:AB645"/>
    <mergeCell ref="Z646:AB646"/>
    <mergeCell ref="W635:Y635"/>
    <mergeCell ref="T635:V635"/>
    <mergeCell ref="AO635:AS635"/>
    <mergeCell ref="T636:V636"/>
    <mergeCell ref="Z642:AB642"/>
    <mergeCell ref="W638:Y638"/>
    <mergeCell ref="M640:P640"/>
    <mergeCell ref="AC638:AE638"/>
    <mergeCell ref="AF636:AJ636"/>
    <mergeCell ref="Q638:S638"/>
    <mergeCell ref="AK639:AN639"/>
    <mergeCell ref="AK640:AN640"/>
    <mergeCell ref="AF640:AJ640"/>
    <mergeCell ref="E715:AK715"/>
    <mergeCell ref="Q635:S635"/>
    <mergeCell ref="Q636:S636"/>
    <mergeCell ref="AO644:AS644"/>
    <mergeCell ref="A717:AT719"/>
    <mergeCell ref="G668:R668"/>
    <mergeCell ref="AO649:AS649"/>
    <mergeCell ref="T644:V644"/>
    <mergeCell ref="T645:V645"/>
    <mergeCell ref="C636:L636"/>
    <mergeCell ref="AK637:AN637"/>
    <mergeCell ref="P605:R605"/>
    <mergeCell ref="G605:L605"/>
    <mergeCell ref="G610:R610"/>
    <mergeCell ref="G597:L597"/>
    <mergeCell ref="G577:R577"/>
    <mergeCell ref="H590:R590"/>
    <mergeCell ref="Z587:AK587"/>
    <mergeCell ref="G609:R609"/>
    <mergeCell ref="AA581:AK581"/>
    <mergeCell ref="G619:R619"/>
    <mergeCell ref="Z610:AK610"/>
    <mergeCell ref="Z620:AK620"/>
    <mergeCell ref="AC635:AE635"/>
    <mergeCell ref="P358:AE358"/>
    <mergeCell ref="A69:AT70"/>
    <mergeCell ref="A72:AT73"/>
    <mergeCell ref="AM566:AS566"/>
    <mergeCell ref="T571:V571"/>
    <mergeCell ref="Z572:AD572"/>
    <mergeCell ref="AM574:AS574"/>
    <mergeCell ref="T563:V563"/>
    <mergeCell ref="W567:Y567"/>
    <mergeCell ref="AM569:AS569"/>
    <mergeCell ref="AF632:AJ634"/>
    <mergeCell ref="AM567:AS567"/>
    <mergeCell ref="Z617:AK617"/>
    <mergeCell ref="AM570:AS570"/>
    <mergeCell ref="Z566:AD566"/>
    <mergeCell ref="AE572:AH572"/>
    <mergeCell ref="AI589:AK589"/>
    <mergeCell ref="G578:R578"/>
    <mergeCell ref="AE564:AH564"/>
    <mergeCell ref="AO639:AS639"/>
    <mergeCell ref="AM564:AS564"/>
    <mergeCell ref="AI570:AL570"/>
    <mergeCell ref="T568:V568"/>
    <mergeCell ref="AE571:AH571"/>
    <mergeCell ref="AM571:AS571"/>
    <mergeCell ref="AO636:AS636"/>
    <mergeCell ref="AG615:AH615"/>
    <mergeCell ref="AO632:AS634"/>
    <mergeCell ref="AE566:AH566"/>
    <mergeCell ref="T569:V569"/>
    <mergeCell ref="AC637:AE637"/>
    <mergeCell ref="AK636:AN63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360:AT361"/>
    <mergeCell ref="I401:N401"/>
    <mergeCell ref="M366:N366"/>
    <mergeCell ref="AC742:AG742"/>
    <mergeCell ref="AC743:AG743"/>
    <mergeCell ref="AC545:AF545"/>
    <mergeCell ref="O534:AA534"/>
    <mergeCell ref="AC537:AF537"/>
    <mergeCell ref="AI563:AL563"/>
    <mergeCell ref="Z597:AE597"/>
    <mergeCell ref="G593:R593"/>
    <mergeCell ref="AG583:AH583"/>
    <mergeCell ref="Z618:AK618"/>
    <mergeCell ref="N607:O607"/>
    <mergeCell ref="AA598:AK598"/>
    <mergeCell ref="AI597:AK597"/>
    <mergeCell ref="Z604:AK604"/>
    <mergeCell ref="AH534:AK534"/>
    <mergeCell ref="M569:P569"/>
    <mergeCell ref="C573:L573"/>
    <mergeCell ref="W566:Y566"/>
    <mergeCell ref="AK734:AO734"/>
    <mergeCell ref="Z669:AK669"/>
    <mergeCell ref="Z569:AD569"/>
    <mergeCell ref="T639:V639"/>
    <mergeCell ref="AC636:AE636"/>
    <mergeCell ref="W562:Y562"/>
    <mergeCell ref="W563:Y563"/>
    <mergeCell ref="D1055:AE1056"/>
    <mergeCell ref="AA979:AG979"/>
    <mergeCell ref="AF1032:AI1033"/>
    <mergeCell ref="AG1050:AH1050"/>
    <mergeCell ref="AG1045:AH1045"/>
    <mergeCell ref="D1035:AE1037"/>
    <mergeCell ref="U924:Z926"/>
    <mergeCell ref="AG1025:AH1025"/>
    <mergeCell ref="AF1035:AI1035"/>
    <mergeCell ref="O983:P983"/>
    <mergeCell ref="U937:Z937"/>
    <mergeCell ref="D1038:AE1038"/>
    <mergeCell ref="M979:S979"/>
    <mergeCell ref="AA980:AG980"/>
    <mergeCell ref="T981:Z981"/>
    <mergeCell ref="M984:S984"/>
    <mergeCell ref="AA982:AG982"/>
    <mergeCell ref="R994:AA994"/>
    <mergeCell ref="A988:AT990"/>
    <mergeCell ref="AJ1002:AQ1002"/>
    <mergeCell ref="D1042:AE1044"/>
    <mergeCell ref="D1029:AE1030"/>
    <mergeCell ref="AA937:AF937"/>
    <mergeCell ref="D1054:AE1054"/>
    <mergeCell ref="U927:Z927"/>
    <mergeCell ref="U955:Z955"/>
    <mergeCell ref="U942:Z942"/>
    <mergeCell ref="F953:T953"/>
    <mergeCell ref="AA953:AF953"/>
    <mergeCell ref="U940:Z940"/>
    <mergeCell ref="D1010:AE1010"/>
    <mergeCell ref="U946:Z946"/>
    <mergeCell ref="C1082:D1082"/>
    <mergeCell ref="C1083:D1083"/>
    <mergeCell ref="C1084:D1084"/>
    <mergeCell ref="C1085:D1085"/>
    <mergeCell ref="A1098:B1098"/>
    <mergeCell ref="A1094:B1094"/>
    <mergeCell ref="A1090:B1090"/>
    <mergeCell ref="A1084:B1084"/>
    <mergeCell ref="A1079:B1079"/>
    <mergeCell ref="C1097:D1097"/>
    <mergeCell ref="C1093:D1093"/>
    <mergeCell ref="C1094:D1094"/>
    <mergeCell ref="C1096:D1096"/>
    <mergeCell ref="A1070:AQ1070"/>
    <mergeCell ref="AF1026:AI1028"/>
    <mergeCell ref="AF1023:AI1024"/>
    <mergeCell ref="C765:AM766"/>
    <mergeCell ref="U959:Z959"/>
    <mergeCell ref="AJ1034:AQ1037"/>
    <mergeCell ref="AF1036:AI1037"/>
    <mergeCell ref="U951:Z951"/>
    <mergeCell ref="AE970:AK970"/>
    <mergeCell ref="AA957:AF957"/>
    <mergeCell ref="M976:S976"/>
    <mergeCell ref="F937:T937"/>
    <mergeCell ref="U935:Z935"/>
    <mergeCell ref="AB1000:AI1000"/>
    <mergeCell ref="D1034:AE1034"/>
    <mergeCell ref="AF1030:AI1031"/>
    <mergeCell ref="AJ999:AQ999"/>
    <mergeCell ref="W983:AG983"/>
    <mergeCell ref="M982:S982"/>
    <mergeCell ref="C1100:D1100"/>
    <mergeCell ref="AF1002:AI1002"/>
    <mergeCell ref="AG1003:AH1003"/>
    <mergeCell ref="D1008:AE1008"/>
    <mergeCell ref="R996:AA996"/>
    <mergeCell ref="AB999:AI999"/>
    <mergeCell ref="M981:S981"/>
    <mergeCell ref="O784:S784"/>
    <mergeCell ref="O777:S780"/>
    <mergeCell ref="AG1010:AH1010"/>
    <mergeCell ref="AG1016:AH1016"/>
    <mergeCell ref="U938:Z938"/>
    <mergeCell ref="AB996:AI996"/>
    <mergeCell ref="AJ994:AQ994"/>
    <mergeCell ref="D1003:AE1003"/>
    <mergeCell ref="B1001:AI1001"/>
    <mergeCell ref="W870:AC870"/>
    <mergeCell ref="AA951:AF951"/>
    <mergeCell ref="W869:AC869"/>
    <mergeCell ref="AC894:AH894"/>
    <mergeCell ref="T982:Z982"/>
    <mergeCell ref="I956:T956"/>
    <mergeCell ref="A1074:B1074"/>
    <mergeCell ref="A1076:B1076"/>
    <mergeCell ref="C1074:D1074"/>
    <mergeCell ref="C1075:D1075"/>
    <mergeCell ref="C1076:D1076"/>
    <mergeCell ref="C1077:D1077"/>
    <mergeCell ref="C1078:D1078"/>
    <mergeCell ref="C1079:D1079"/>
    <mergeCell ref="C1080:D1080"/>
    <mergeCell ref="C1081:D1081"/>
    <mergeCell ref="A1109:B1109"/>
    <mergeCell ref="AG1022:AH1022"/>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98:D1098"/>
    <mergeCell ref="C1088:D1088"/>
    <mergeCell ref="C1089:D1089"/>
    <mergeCell ref="C1090:D1090"/>
    <mergeCell ref="C1091:D1091"/>
    <mergeCell ref="C1092:D1092"/>
    <mergeCell ref="C1099:D1099"/>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0" orientation="portrait" useFirstPageNumber="1" r:id="rId5"/>
  <headerFooter alignWithMargins="0">
    <oddFooter>&amp;C&amp;P&amp;R&amp;A</oddFooter>
  </headerFooter>
  <rowBreaks count="13" manualBreakCount="13">
    <brk id="209" max="16383" man="1"/>
    <brk id="281" max="16383" man="1"/>
    <brk id="343" max="16383" man="1"/>
    <brk id="392" max="16383" man="1"/>
    <brk id="444" max="16383" man="1"/>
    <brk id="504" max="16383" man="1"/>
    <brk id="551" max="16383" man="1"/>
    <brk id="674" max="16383" man="1"/>
    <brk id="716" max="16383" man="1"/>
    <brk id="768" max="16383" man="1"/>
    <brk id="827" max="16383" man="1"/>
    <brk id="889" max="16383" man="1"/>
    <brk id="959" max="16383"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I70" sqref="I7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5" t="s">
        <v>621</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374</v>
      </c>
      <c r="D2" s="138" t="s">
        <v>373</v>
      </c>
      <c r="E2" s="138" t="s">
        <v>24</v>
      </c>
      <c r="F2" s="139" t="str">
        <f>Application!B635&amp;Application!C635</f>
        <v>1)Citibank - Tax-Exempt</v>
      </c>
      <c r="G2" s="139" t="str">
        <f>Application!B636&amp;Application!C636</f>
        <v>2)Citibank - Taxable</v>
      </c>
      <c r="H2" s="139" t="str">
        <f>Application!B637&amp;Application!C637</f>
        <v>3)Calyx Development, LLC</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200000</v>
      </c>
      <c r="C7" s="147">
        <v>200000</v>
      </c>
      <c r="D7" s="147"/>
      <c r="E7" s="147">
        <f>C7-SUM(F7:Q7)</f>
        <v>200000</v>
      </c>
      <c r="F7" s="147"/>
      <c r="G7" s="147"/>
      <c r="H7" s="147"/>
      <c r="I7" s="147"/>
      <c r="J7" s="147"/>
      <c r="K7" s="147"/>
      <c r="L7" s="147"/>
      <c r="M7" s="147"/>
      <c r="N7" s="147"/>
      <c r="O7" s="147"/>
      <c r="P7" s="147"/>
      <c r="Q7" s="147"/>
      <c r="R7" s="516">
        <f>SUM(E7:Q7)</f>
        <v>200000</v>
      </c>
      <c r="S7" s="148"/>
      <c r="T7" s="148"/>
      <c r="U7" s="143"/>
    </row>
    <row r="8" spans="1:21" s="144" customFormat="1">
      <c r="A8" s="149" t="s">
        <v>593</v>
      </c>
      <c r="B8" s="146">
        <f>SUM(C8:D8)</f>
        <v>200000</v>
      </c>
      <c r="C8" s="146">
        <f t="shared" ref="C8:Q8" si="0">SUM(C4:C7)</f>
        <v>200000</v>
      </c>
      <c r="D8" s="146">
        <f t="shared" si="0"/>
        <v>0</v>
      </c>
      <c r="E8" s="146">
        <f t="shared" si="0"/>
        <v>200000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200000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200000</v>
      </c>
      <c r="C12" s="146">
        <f t="shared" si="2"/>
        <v>200000</v>
      </c>
      <c r="D12" s="146">
        <f t="shared" si="2"/>
        <v>0</v>
      </c>
      <c r="E12" s="146">
        <f t="shared" si="2"/>
        <v>200000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353782</v>
      </c>
      <c r="C29" s="147">
        <f>353782</f>
        <v>353782</v>
      </c>
      <c r="D29" s="147"/>
      <c r="E29" s="147">
        <f>C29-SUM(F29:Q29)</f>
        <v>353782</v>
      </c>
      <c r="F29" s="147"/>
      <c r="G29" s="147"/>
      <c r="H29" s="147"/>
      <c r="I29" s="147"/>
      <c r="J29" s="147"/>
      <c r="K29" s="147"/>
      <c r="L29" s="147"/>
      <c r="M29" s="147"/>
      <c r="N29" s="147"/>
      <c r="O29" s="147"/>
      <c r="P29" s="147"/>
      <c r="Q29" s="147"/>
      <c r="R29" s="516">
        <f t="shared" ref="R29:R37" si="7">SUM(E29:Q29)</f>
        <v>353782</v>
      </c>
      <c r="S29" s="147">
        <v>83782</v>
      </c>
      <c r="T29" s="147"/>
      <c r="U29" s="143"/>
    </row>
    <row r="30" spans="1:21" s="144" customFormat="1">
      <c r="A30" s="145" t="s">
        <v>599</v>
      </c>
      <c r="B30" s="146">
        <f t="shared" si="6"/>
        <v>11000000</v>
      </c>
      <c r="C30" s="147">
        <v>11000000</v>
      </c>
      <c r="D30" s="147"/>
      <c r="E30" s="147">
        <f>C30-SUM(F30:Q30)</f>
        <v>778652</v>
      </c>
      <c r="F30" s="147">
        <f>F108</f>
        <v>5423153</v>
      </c>
      <c r="G30" s="147">
        <f>G108</f>
        <v>4798195</v>
      </c>
      <c r="H30" s="147"/>
      <c r="I30" s="147"/>
      <c r="J30" s="147"/>
      <c r="K30" s="147"/>
      <c r="L30" s="147"/>
      <c r="M30" s="147"/>
      <c r="N30" s="147"/>
      <c r="O30" s="147"/>
      <c r="P30" s="147"/>
      <c r="Q30" s="147"/>
      <c r="R30" s="516">
        <f t="shared" si="7"/>
        <v>11000000</v>
      </c>
      <c r="S30" s="147">
        <f>C30</f>
        <v>11000000</v>
      </c>
      <c r="T30" s="147"/>
      <c r="U30" s="143"/>
    </row>
    <row r="31" spans="1:21" s="144" customFormat="1">
      <c r="A31" s="145" t="s">
        <v>600</v>
      </c>
      <c r="B31" s="146">
        <f t="shared" si="6"/>
        <v>567689</v>
      </c>
      <c r="C31" s="147">
        <f>567689</f>
        <v>567689</v>
      </c>
      <c r="D31" s="147"/>
      <c r="E31" s="147">
        <f>C31-SUM(F31:Q31)</f>
        <v>567689</v>
      </c>
      <c r="F31" s="147"/>
      <c r="G31" s="147"/>
      <c r="H31" s="147"/>
      <c r="I31" s="147"/>
      <c r="J31" s="147"/>
      <c r="K31" s="147"/>
      <c r="L31" s="147"/>
      <c r="M31" s="147"/>
      <c r="N31" s="147"/>
      <c r="O31" s="147"/>
      <c r="P31" s="147"/>
      <c r="Q31" s="147"/>
      <c r="R31" s="516">
        <f t="shared" si="7"/>
        <v>567689</v>
      </c>
      <c r="S31" s="147">
        <f>C31</f>
        <v>567689</v>
      </c>
      <c r="T31" s="147"/>
      <c r="U31" s="143"/>
    </row>
    <row r="32" spans="1:21" s="144" customFormat="1">
      <c r="A32" s="145" t="s">
        <v>137</v>
      </c>
      <c r="B32" s="146">
        <f t="shared" si="6"/>
        <v>455000</v>
      </c>
      <c r="C32" s="147">
        <v>455000</v>
      </c>
      <c r="D32" s="147"/>
      <c r="E32" s="147">
        <f>C32-SUM(F32:Q32)</f>
        <v>455000</v>
      </c>
      <c r="F32" s="147"/>
      <c r="G32" s="147"/>
      <c r="H32" s="147"/>
      <c r="I32" s="147"/>
      <c r="J32" s="147"/>
      <c r="K32" s="147"/>
      <c r="L32" s="147"/>
      <c r="M32" s="147"/>
      <c r="N32" s="147"/>
      <c r="O32" s="147"/>
      <c r="P32" s="147"/>
      <c r="Q32" s="147"/>
      <c r="R32" s="516">
        <f t="shared" si="7"/>
        <v>455000</v>
      </c>
      <c r="S32" s="147">
        <f>C32</f>
        <v>455000</v>
      </c>
      <c r="T32" s="147"/>
      <c r="U32" s="143"/>
    </row>
    <row r="33" spans="1:21" s="144" customFormat="1">
      <c r="A33" s="145" t="s">
        <v>138</v>
      </c>
      <c r="B33" s="146">
        <f t="shared" si="6"/>
        <v>566840</v>
      </c>
      <c r="C33" s="147">
        <f>1021840-455000</f>
        <v>566840</v>
      </c>
      <c r="D33" s="147"/>
      <c r="E33" s="147">
        <f>C33-SUM(F33:Q33)</f>
        <v>566840</v>
      </c>
      <c r="F33" s="147"/>
      <c r="G33" s="147"/>
      <c r="H33" s="147"/>
      <c r="I33" s="147"/>
      <c r="J33" s="147"/>
      <c r="K33" s="147"/>
      <c r="L33" s="147"/>
      <c r="M33" s="147"/>
      <c r="N33" s="147"/>
      <c r="O33" s="147"/>
      <c r="P33" s="147"/>
      <c r="Q33" s="147"/>
      <c r="R33" s="516">
        <f t="shared" si="7"/>
        <v>566840</v>
      </c>
      <c r="S33" s="147">
        <f>C33</f>
        <v>566840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250000</v>
      </c>
      <c r="C35" s="147">
        <v>250000</v>
      </c>
      <c r="D35" s="147"/>
      <c r="E35" s="147">
        <f>C35-SUM(F35:Q35)</f>
        <v>250000</v>
      </c>
      <c r="F35" s="147"/>
      <c r="G35" s="147"/>
      <c r="H35" s="147"/>
      <c r="I35" s="147"/>
      <c r="J35" s="147"/>
      <c r="K35" s="147"/>
      <c r="L35" s="147"/>
      <c r="M35" s="147"/>
      <c r="N35" s="147"/>
      <c r="O35" s="147"/>
      <c r="P35" s="147"/>
      <c r="Q35" s="147"/>
      <c r="R35" s="516">
        <f t="shared" si="7"/>
        <v>250000</v>
      </c>
      <c r="S35" s="147">
        <f>C35</f>
        <v>250000</v>
      </c>
      <c r="T35" s="147"/>
      <c r="U35" s="143"/>
    </row>
    <row r="36" spans="1:21" s="144" customFormat="1">
      <c r="A36" s="283" t="s">
        <v>1629</v>
      </c>
      <c r="B36" s="146">
        <f t="shared" si="6"/>
        <v>200000</v>
      </c>
      <c r="C36" s="147">
        <v>200000</v>
      </c>
      <c r="D36" s="147"/>
      <c r="E36" s="147">
        <f>C36-SUM(F36:Q36)</f>
        <v>200000</v>
      </c>
      <c r="F36" s="147"/>
      <c r="G36" s="147"/>
      <c r="H36" s="147"/>
      <c r="I36" s="147"/>
      <c r="J36" s="147"/>
      <c r="K36" s="147"/>
      <c r="L36" s="147"/>
      <c r="M36" s="147"/>
      <c r="N36" s="147"/>
      <c r="O36" s="147"/>
      <c r="P36" s="147"/>
      <c r="Q36" s="147"/>
      <c r="R36" s="516">
        <f t="shared" si="7"/>
        <v>200000</v>
      </c>
      <c r="S36" s="147">
        <f>C36</f>
        <v>200000</v>
      </c>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13393311</v>
      </c>
      <c r="C38" s="146">
        <f>SUM(C29:C37)</f>
        <v>13393311</v>
      </c>
      <c r="D38" s="146">
        <f t="shared" ref="D38:Q38" si="8">SUM(D29:D37)</f>
        <v>0</v>
      </c>
      <c r="E38" s="146">
        <f t="shared" si="8"/>
        <v>3171963</v>
      </c>
      <c r="F38" s="146">
        <f t="shared" si="8"/>
        <v>5423153</v>
      </c>
      <c r="G38" s="146">
        <f t="shared" si="8"/>
        <v>4798195</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13393311</v>
      </c>
      <c r="S38" s="150">
        <f>SUM(S29:S37)</f>
        <v>13123311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242000</v>
      </c>
      <c r="C40" s="147">
        <v>242000</v>
      </c>
      <c r="D40" s="147"/>
      <c r="E40" s="147">
        <f>C40-SUM(F40:Q40)</f>
        <v>242000</v>
      </c>
      <c r="F40" s="147"/>
      <c r="G40" s="147"/>
      <c r="H40" s="147"/>
      <c r="I40" s="147"/>
      <c r="J40" s="147"/>
      <c r="K40" s="147"/>
      <c r="L40" s="147"/>
      <c r="M40" s="147"/>
      <c r="N40" s="147"/>
      <c r="O40" s="147"/>
      <c r="P40" s="147"/>
      <c r="Q40" s="147"/>
      <c r="R40" s="516">
        <f>SUM(E40:Q40)</f>
        <v>242000</v>
      </c>
      <c r="S40" s="147">
        <f>C40</f>
        <v>242000</v>
      </c>
      <c r="T40" s="147"/>
      <c r="U40" s="143"/>
    </row>
    <row r="41" spans="1:21" s="144" customFormat="1">
      <c r="A41" s="145" t="s">
        <v>146</v>
      </c>
      <c r="B41" s="146">
        <f>SUM(C41+D41)</f>
        <v>200000</v>
      </c>
      <c r="C41" s="147">
        <v>200000</v>
      </c>
      <c r="D41" s="147"/>
      <c r="E41" s="147">
        <f>C41-SUM(F41:Q41)</f>
        <v>200000</v>
      </c>
      <c r="F41" s="147"/>
      <c r="G41" s="147"/>
      <c r="H41" s="147"/>
      <c r="I41" s="147"/>
      <c r="J41" s="147"/>
      <c r="K41" s="147"/>
      <c r="L41" s="147"/>
      <c r="M41" s="147"/>
      <c r="N41" s="147"/>
      <c r="O41" s="147"/>
      <c r="P41" s="147"/>
      <c r="Q41" s="147"/>
      <c r="R41" s="516">
        <f>SUM(E41:Q41)</f>
        <v>200000</v>
      </c>
      <c r="S41" s="147">
        <f>C41</f>
        <v>200000</v>
      </c>
      <c r="T41" s="147"/>
      <c r="U41" s="143"/>
    </row>
    <row r="42" spans="1:21" s="144" customFormat="1">
      <c r="A42" s="149" t="s">
        <v>147</v>
      </c>
      <c r="B42" s="146">
        <f>SUM(C42:D42)</f>
        <v>442000</v>
      </c>
      <c r="C42" s="146">
        <f>SUM(C39:C41)</f>
        <v>442000</v>
      </c>
      <c r="D42" s="146">
        <f>SUM(D39:D41)</f>
        <v>0</v>
      </c>
      <c r="E42" s="146">
        <f t="shared" ref="E42:T42" si="9">SUM(E40:E41)</f>
        <v>442000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442000</v>
      </c>
      <c r="S42" s="150">
        <f t="shared" si="9"/>
        <v>442000</v>
      </c>
      <c r="T42" s="150">
        <f t="shared" si="9"/>
        <v>0</v>
      </c>
      <c r="U42" s="143"/>
    </row>
    <row r="43" spans="1:21" s="144" customFormat="1">
      <c r="A43" s="149" t="s">
        <v>148</v>
      </c>
      <c r="B43" s="146">
        <f>SUM(C43:D43)</f>
        <v>631086</v>
      </c>
      <c r="C43" s="147">
        <v>631086</v>
      </c>
      <c r="D43" s="147"/>
      <c r="E43" s="147">
        <f>C43-SUM(F43:Q43)</f>
        <v>631086</v>
      </c>
      <c r="F43" s="147"/>
      <c r="G43" s="147"/>
      <c r="H43" s="147"/>
      <c r="I43" s="147"/>
      <c r="J43" s="147"/>
      <c r="K43" s="147"/>
      <c r="L43" s="147"/>
      <c r="M43" s="147"/>
      <c r="N43" s="147"/>
      <c r="O43" s="147"/>
      <c r="P43" s="147"/>
      <c r="Q43" s="147"/>
      <c r="R43" s="516">
        <f>SUM(E43:Q43)</f>
        <v>631086</v>
      </c>
      <c r="S43" s="147">
        <f>C43</f>
        <v>631086</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1139086</v>
      </c>
      <c r="C45" s="147">
        <v>1139086</v>
      </c>
      <c r="D45" s="147"/>
      <c r="E45" s="147">
        <f>C45-SUM(F45:Q45)</f>
        <v>1139086</v>
      </c>
      <c r="F45" s="147"/>
      <c r="G45" s="147"/>
      <c r="H45" s="147"/>
      <c r="I45" s="147"/>
      <c r="J45" s="147"/>
      <c r="K45" s="147"/>
      <c r="L45" s="147"/>
      <c r="M45" s="147"/>
      <c r="N45" s="147"/>
      <c r="O45" s="147"/>
      <c r="P45" s="147"/>
      <c r="Q45" s="147"/>
      <c r="R45" s="516">
        <f t="shared" ref="R45:R53" si="11">SUM(E45:Q45)</f>
        <v>1139086</v>
      </c>
      <c r="S45" s="147">
        <v>613744</v>
      </c>
      <c r="T45" s="147"/>
      <c r="U45" s="143"/>
    </row>
    <row r="46" spans="1:21" s="144" customFormat="1">
      <c r="A46" s="145" t="s">
        <v>151</v>
      </c>
      <c r="B46" s="146">
        <f t="shared" si="10"/>
        <v>158137</v>
      </c>
      <c r="C46" s="147">
        <v>158137</v>
      </c>
      <c r="D46" s="147"/>
      <c r="E46" s="147">
        <f>C46-SUM(F46:Q46)</f>
        <v>158137</v>
      </c>
      <c r="F46" s="147"/>
      <c r="G46" s="147"/>
      <c r="H46" s="147"/>
      <c r="I46" s="147"/>
      <c r="J46" s="147"/>
      <c r="K46" s="147"/>
      <c r="L46" s="147"/>
      <c r="M46" s="147"/>
      <c r="N46" s="147"/>
      <c r="O46" s="147"/>
      <c r="P46" s="147"/>
      <c r="Q46" s="147"/>
      <c r="R46" s="516">
        <f t="shared" si="11"/>
        <v>158137</v>
      </c>
      <c r="S46" s="147">
        <v>85205</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f>C48</f>
        <v>0</v>
      </c>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375000</v>
      </c>
      <c r="C49" s="147">
        <f>75000+250000+50000</f>
        <v>375000</v>
      </c>
      <c r="D49" s="147"/>
      <c r="E49" s="147">
        <f>C49-SUM(F49:Q49)</f>
        <v>375000</v>
      </c>
      <c r="F49" s="147"/>
      <c r="G49" s="147"/>
      <c r="H49" s="147"/>
      <c r="I49" s="147"/>
      <c r="J49" s="147"/>
      <c r="K49" s="147"/>
      <c r="L49" s="147"/>
      <c r="M49" s="147"/>
      <c r="N49" s="147"/>
      <c r="O49" s="147"/>
      <c r="P49" s="147"/>
      <c r="Q49" s="147"/>
      <c r="R49" s="516">
        <f t="shared" si="11"/>
        <v>375000</v>
      </c>
      <c r="S49" s="147">
        <v>250000</v>
      </c>
      <c r="T49" s="147"/>
      <c r="U49" s="143"/>
    </row>
    <row r="50" spans="1:21" s="144" customFormat="1">
      <c r="A50" s="145" t="s">
        <v>156</v>
      </c>
      <c r="B50" s="146">
        <f t="shared" si="10"/>
        <v>75000</v>
      </c>
      <c r="C50" s="147">
        <v>75000</v>
      </c>
      <c r="D50" s="147"/>
      <c r="E50" s="147">
        <f>C50-SUM(F50:Q50)</f>
        <v>75000</v>
      </c>
      <c r="F50" s="147"/>
      <c r="G50" s="147"/>
      <c r="H50" s="147"/>
      <c r="I50" s="147"/>
      <c r="J50" s="147"/>
      <c r="K50" s="147"/>
      <c r="L50" s="147"/>
      <c r="M50" s="147"/>
      <c r="N50" s="147"/>
      <c r="O50" s="147"/>
      <c r="P50" s="147"/>
      <c r="Q50" s="147"/>
      <c r="R50" s="516">
        <f t="shared" si="11"/>
        <v>75000</v>
      </c>
      <c r="S50" s="147">
        <v>37500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6">
        <f t="shared" si="11"/>
        <v>0</v>
      </c>
      <c r="S52" s="147"/>
      <c r="T52" s="147"/>
      <c r="U52" s="143"/>
    </row>
    <row r="53" spans="1:21" s="144" customFormat="1">
      <c r="A53" s="1143" t="s">
        <v>34</v>
      </c>
      <c r="B53" s="146">
        <f t="shared" si="10"/>
        <v>0</v>
      </c>
      <c r="C53" s="147"/>
      <c r="D53" s="147"/>
      <c r="E53" s="147"/>
      <c r="F53" s="147"/>
      <c r="G53" s="147"/>
      <c r="H53" s="147"/>
      <c r="I53" s="147"/>
      <c r="J53" s="147"/>
      <c r="K53" s="147"/>
      <c r="L53" s="147"/>
      <c r="M53" s="147"/>
      <c r="N53" s="147"/>
      <c r="O53" s="147"/>
      <c r="P53" s="147"/>
      <c r="Q53" s="147"/>
      <c r="R53" s="516">
        <f t="shared" si="11"/>
        <v>0</v>
      </c>
      <c r="S53" s="147"/>
      <c r="T53" s="147"/>
      <c r="U53" s="143"/>
    </row>
    <row r="54" spans="1:21" s="153" customFormat="1">
      <c r="A54" s="149" t="s">
        <v>157</v>
      </c>
      <c r="B54" s="150">
        <f>SUM(C54:D54)</f>
        <v>1747223</v>
      </c>
      <c r="C54" s="150">
        <f t="shared" ref="C54:T54" si="12">SUM(C45:C53)</f>
        <v>1747223</v>
      </c>
      <c r="D54" s="150">
        <f t="shared" si="12"/>
        <v>0</v>
      </c>
      <c r="E54" s="150">
        <f t="shared" si="12"/>
        <v>1747223</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1747223</v>
      </c>
      <c r="S54" s="150">
        <f t="shared" si="12"/>
        <v>986449</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102213</v>
      </c>
      <c r="C56" s="147">
        <v>102213</v>
      </c>
      <c r="D56" s="147"/>
      <c r="E56" s="147">
        <f>C56-SUM(F56:Q56)</f>
        <v>102213</v>
      </c>
      <c r="F56" s="147"/>
      <c r="G56" s="147"/>
      <c r="H56" s="147"/>
      <c r="I56" s="147"/>
      <c r="J56" s="147"/>
      <c r="K56" s="147"/>
      <c r="L56" s="147"/>
      <c r="M56" s="147"/>
      <c r="N56" s="147"/>
      <c r="O56" s="147"/>
      <c r="P56" s="147"/>
      <c r="Q56" s="147"/>
      <c r="R56" s="516">
        <f t="shared" ref="R56:R61" si="14">SUM(E56:Q56)</f>
        <v>102213</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75000</v>
      </c>
      <c r="C58" s="147">
        <v>75000</v>
      </c>
      <c r="D58" s="147"/>
      <c r="E58" s="147">
        <f>C58-SUM(F58:Q58)</f>
        <v>75000</v>
      </c>
      <c r="F58" s="147"/>
      <c r="G58" s="147"/>
      <c r="H58" s="147"/>
      <c r="I58" s="147"/>
      <c r="J58" s="147"/>
      <c r="K58" s="147"/>
      <c r="L58" s="147"/>
      <c r="M58" s="147"/>
      <c r="N58" s="147"/>
      <c r="O58" s="147"/>
      <c r="P58" s="147"/>
      <c r="Q58" s="147"/>
      <c r="R58" s="516">
        <f t="shared" si="14"/>
        <v>75000</v>
      </c>
      <c r="S58" s="148"/>
      <c r="T58" s="148"/>
      <c r="U58" s="143"/>
    </row>
    <row r="59" spans="1:21" s="144" customFormat="1">
      <c r="A59" s="283" t="s">
        <v>154</v>
      </c>
      <c r="B59" s="146">
        <f t="shared" si="13"/>
        <v>44620</v>
      </c>
      <c r="C59" s="147">
        <v>44620</v>
      </c>
      <c r="D59" s="147"/>
      <c r="E59" s="147">
        <f>C59-SUM(F59:Q59)</f>
        <v>44620</v>
      </c>
      <c r="F59" s="147"/>
      <c r="G59" s="147"/>
      <c r="H59" s="147"/>
      <c r="I59" s="147"/>
      <c r="J59" s="147"/>
      <c r="K59" s="147"/>
      <c r="L59" s="147"/>
      <c r="M59" s="147"/>
      <c r="N59" s="147"/>
      <c r="O59" s="147"/>
      <c r="P59" s="147"/>
      <c r="Q59" s="147"/>
      <c r="R59" s="516">
        <f t="shared" si="14"/>
        <v>44620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221833</v>
      </c>
      <c r="C62" s="146">
        <f t="shared" ref="C62:R62" si="15">SUM(C56:C61)</f>
        <v>221833</v>
      </c>
      <c r="D62" s="146">
        <f t="shared" si="15"/>
        <v>0</v>
      </c>
      <c r="E62" s="146">
        <f t="shared" si="15"/>
        <v>221833</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221833</v>
      </c>
      <c r="S62" s="148"/>
      <c r="T62" s="148"/>
      <c r="U62" s="143"/>
    </row>
    <row r="63" spans="1:21" s="144" customFormat="1">
      <c r="A63" s="154" t="s">
        <v>302</v>
      </c>
      <c r="B63" s="146">
        <f t="shared" ref="B63:R63" si="16">SUM(B8+B11+B13+B14+B15+B26+B27+B38+B42+B43+B54+B62)</f>
        <v>16635453</v>
      </c>
      <c r="C63" s="146">
        <f t="shared" si="16"/>
        <v>16635453</v>
      </c>
      <c r="D63" s="146">
        <f t="shared" si="16"/>
        <v>0</v>
      </c>
      <c r="E63" s="146">
        <f t="shared" si="16"/>
        <v>6414105</v>
      </c>
      <c r="F63" s="146">
        <f t="shared" si="16"/>
        <v>5423153</v>
      </c>
      <c r="G63" s="146">
        <f t="shared" si="16"/>
        <v>4798195</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16635453</v>
      </c>
      <c r="S63" s="146">
        <f>SUM(S10+S13+S14+S15+S26+S27+S38+S42+S43+S54)</f>
        <v>15182846</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200000</v>
      </c>
      <c r="C65" s="147">
        <f>150000+50000</f>
        <v>200000</v>
      </c>
      <c r="D65" s="147"/>
      <c r="E65" s="147">
        <f>C65-SUM(F65:Q65)</f>
        <v>200000</v>
      </c>
      <c r="F65" s="147"/>
      <c r="G65" s="147"/>
      <c r="H65" s="147"/>
      <c r="I65" s="147"/>
      <c r="J65" s="147"/>
      <c r="K65" s="147"/>
      <c r="L65" s="147"/>
      <c r="M65" s="147"/>
      <c r="N65" s="147"/>
      <c r="O65" s="147"/>
      <c r="P65" s="147"/>
      <c r="Q65" s="147"/>
      <c r="R65" s="516">
        <f>SUM(E65:Q65)</f>
        <v>200000</v>
      </c>
      <c r="S65" s="147">
        <f>125000+50000</f>
        <v>175000</v>
      </c>
      <c r="T65" s="147"/>
      <c r="U65" s="143"/>
    </row>
    <row r="66" spans="1:21" s="144" customFormat="1" ht="24" customHeight="1">
      <c r="A66" s="283" t="s">
        <v>1630</v>
      </c>
      <c r="B66" s="146">
        <f>SUM(C66+D66)</f>
        <v>300000</v>
      </c>
      <c r="C66" s="147">
        <v>300000</v>
      </c>
      <c r="D66" s="147"/>
      <c r="E66" s="147">
        <f>C66-SUM(F66:Q66)</f>
        <v>300000</v>
      </c>
      <c r="F66" s="147"/>
      <c r="G66" s="147"/>
      <c r="H66" s="147"/>
      <c r="I66" s="147"/>
      <c r="J66" s="147"/>
      <c r="K66" s="147"/>
      <c r="L66" s="147"/>
      <c r="M66" s="147"/>
      <c r="N66" s="147"/>
      <c r="O66" s="147"/>
      <c r="P66" s="147"/>
      <c r="Q66" s="147"/>
      <c r="R66" s="516">
        <f>SUM(E66:Q66)</f>
        <v>300000</v>
      </c>
      <c r="S66" s="147">
        <f>C66</f>
        <v>300000</v>
      </c>
      <c r="T66" s="147"/>
      <c r="U66" s="143"/>
    </row>
    <row r="67" spans="1:21" s="144" customFormat="1" ht="24" customHeight="1">
      <c r="A67" s="283" t="s">
        <v>1631</v>
      </c>
      <c r="B67" s="146">
        <f>SUM(C67+D67)</f>
        <v>0</v>
      </c>
      <c r="C67" s="147"/>
      <c r="D67" s="147"/>
      <c r="E67" s="147">
        <f>C67-SUM(F67:Q67)</f>
        <v>0</v>
      </c>
      <c r="F67" s="147"/>
      <c r="G67" s="147"/>
      <c r="H67" s="147"/>
      <c r="I67" s="147"/>
      <c r="J67" s="147"/>
      <c r="K67" s="147"/>
      <c r="L67" s="147"/>
      <c r="M67" s="147"/>
      <c r="N67" s="147"/>
      <c r="O67" s="147"/>
      <c r="P67" s="147"/>
      <c r="Q67" s="147"/>
      <c r="R67" s="516">
        <f>SUM(E67:Q67)</f>
        <v>0</v>
      </c>
      <c r="S67" s="147">
        <f>C67</f>
        <v>0</v>
      </c>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2760</v>
      </c>
      <c r="B69" s="146">
        <f>SUM(C69+D69)</f>
        <v>75000</v>
      </c>
      <c r="C69" s="147">
        <v>75000</v>
      </c>
      <c r="D69" s="147"/>
      <c r="E69" s="147">
        <f>C69</f>
        <v>75000</v>
      </c>
      <c r="F69" s="147"/>
      <c r="G69" s="147"/>
      <c r="H69" s="147"/>
      <c r="I69" s="147"/>
      <c r="J69" s="147"/>
      <c r="K69" s="147"/>
      <c r="L69" s="147"/>
      <c r="M69" s="147"/>
      <c r="N69" s="147"/>
      <c r="O69" s="147"/>
      <c r="P69" s="147"/>
      <c r="Q69" s="147"/>
      <c r="R69" s="516">
        <f>SUM(E69:Q69)</f>
        <v>75000</v>
      </c>
      <c r="S69" s="147"/>
      <c r="T69" s="147"/>
      <c r="U69" s="143"/>
    </row>
    <row r="70" spans="1:21" s="144" customFormat="1">
      <c r="A70" s="149" t="s">
        <v>1634</v>
      </c>
      <c r="B70" s="146">
        <f>SUM(C70:D70)</f>
        <v>575000</v>
      </c>
      <c r="C70" s="146">
        <f>SUM(C65:C69)</f>
        <v>575000</v>
      </c>
      <c r="D70" s="146">
        <f>SUM(D65:D69)</f>
        <v>0</v>
      </c>
      <c r="E70" s="146">
        <f t="shared" ref="E70:T70" si="17">SUM(E65:E69)</f>
        <v>575000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575000</v>
      </c>
      <c r="S70" s="150">
        <f t="shared" si="17"/>
        <v>475000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295463</v>
      </c>
      <c r="C75" s="147">
        <v>295463</v>
      </c>
      <c r="D75" s="147"/>
      <c r="E75" s="147">
        <f>C75-SUM(F75:Q75)</f>
        <v>295463</v>
      </c>
      <c r="F75" s="147"/>
      <c r="G75" s="147"/>
      <c r="H75" s="147"/>
      <c r="I75" s="147"/>
      <c r="J75" s="147"/>
      <c r="K75" s="147"/>
      <c r="L75" s="147"/>
      <c r="M75" s="147"/>
      <c r="N75" s="147"/>
      <c r="O75" s="147"/>
      <c r="P75" s="147"/>
      <c r="Q75" s="147"/>
      <c r="R75" s="516">
        <f>SUM(E75:Q75)</f>
        <v>295463</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295463</v>
      </c>
      <c r="C77" s="146">
        <f>SUM(C72:C76)</f>
        <v>295463</v>
      </c>
      <c r="D77" s="146">
        <f>SUM(D72:D76)</f>
        <v>0</v>
      </c>
      <c r="E77" s="146">
        <f t="shared" ref="E77:Q77" si="18">SUM(E72:E76)</f>
        <v>295463</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295463</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567689</v>
      </c>
      <c r="C79" s="147">
        <v>567689</v>
      </c>
      <c r="D79" s="147"/>
      <c r="E79" s="147">
        <f>C79-SUM(F79:Q79)</f>
        <v>567689</v>
      </c>
      <c r="F79" s="147"/>
      <c r="G79" s="147"/>
      <c r="H79" s="147"/>
      <c r="I79" s="147"/>
      <c r="J79" s="147"/>
      <c r="K79" s="147"/>
      <c r="L79" s="147"/>
      <c r="M79" s="147"/>
      <c r="N79" s="147"/>
      <c r="O79" s="147"/>
      <c r="P79" s="147"/>
      <c r="Q79" s="147"/>
      <c r="R79" s="516">
        <f>SUM(E79:Q79)</f>
        <v>567689</v>
      </c>
      <c r="S79" s="147">
        <f>C79</f>
        <v>567689</v>
      </c>
      <c r="T79" s="147"/>
      <c r="U79" s="143"/>
    </row>
    <row r="80" spans="1:21" s="144" customFormat="1">
      <c r="A80" s="283" t="s">
        <v>58</v>
      </c>
      <c r="B80" s="146">
        <f>SUM(C80:D80)</f>
        <v>195444</v>
      </c>
      <c r="C80" s="147">
        <v>195444</v>
      </c>
      <c r="D80" s="147"/>
      <c r="E80" s="147">
        <f>C80-SUM(F80:Q80)</f>
        <v>195444</v>
      </c>
      <c r="F80" s="147"/>
      <c r="G80" s="147"/>
      <c r="H80" s="147"/>
      <c r="I80" s="147"/>
      <c r="J80" s="147"/>
      <c r="K80" s="147"/>
      <c r="L80" s="147"/>
      <c r="M80" s="147"/>
      <c r="N80" s="147"/>
      <c r="O80" s="147"/>
      <c r="P80" s="147"/>
      <c r="Q80" s="147"/>
      <c r="R80" s="516">
        <f>SUM(E80:Q80)</f>
        <v>195444</v>
      </c>
      <c r="S80" s="147">
        <f>87950</f>
        <v>87950</v>
      </c>
      <c r="T80" s="147"/>
      <c r="U80" s="143"/>
    </row>
    <row r="81" spans="1:21" s="144" customFormat="1">
      <c r="A81" s="149" t="s">
        <v>1209</v>
      </c>
      <c r="B81" s="146">
        <f>SUM(C81:D81)</f>
        <v>763133</v>
      </c>
      <c r="C81" s="509">
        <f>SUM(C79:C80)</f>
        <v>763133</v>
      </c>
      <c r="D81" s="509">
        <f t="shared" ref="D81:T81" si="19">SUM(D79:D80)</f>
        <v>0</v>
      </c>
      <c r="E81" s="509">
        <f t="shared" si="19"/>
        <v>763133</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763133</v>
      </c>
      <c r="S81" s="509">
        <f t="shared" si="19"/>
        <v>655639</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0">SUM(C83+D83)</f>
        <v>81265</v>
      </c>
      <c r="C83" s="147">
        <v>81265</v>
      </c>
      <c r="D83" s="147"/>
      <c r="E83" s="147">
        <f>C83-SUM(F83:Q83)</f>
        <v>81265</v>
      </c>
      <c r="F83" s="147"/>
      <c r="G83" s="147"/>
      <c r="H83" s="147"/>
      <c r="I83" s="147"/>
      <c r="J83" s="147"/>
      <c r="K83" s="147"/>
      <c r="L83" s="147"/>
      <c r="M83" s="147"/>
      <c r="N83" s="147"/>
      <c r="O83" s="147"/>
      <c r="P83" s="147"/>
      <c r="Q83" s="147"/>
      <c r="R83" s="516">
        <f t="shared" ref="R83:R95" si="21">SUM(E83:Q83)</f>
        <v>81265</v>
      </c>
      <c r="S83" s="148"/>
      <c r="T83" s="148"/>
      <c r="U83" s="143"/>
    </row>
    <row r="84" spans="1:21" s="144" customFormat="1">
      <c r="A84" s="145" t="s">
        <v>767</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768</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769</v>
      </c>
      <c r="B86" s="146">
        <f t="shared" si="20"/>
        <v>593627</v>
      </c>
      <c r="C86" s="147">
        <v>593627</v>
      </c>
      <c r="D86" s="147"/>
      <c r="E86" s="147">
        <f>C86</f>
        <v>593627</v>
      </c>
      <c r="F86" s="147"/>
      <c r="G86" s="147"/>
      <c r="H86" s="147"/>
      <c r="I86" s="147"/>
      <c r="J86" s="147"/>
      <c r="K86" s="147"/>
      <c r="L86" s="147"/>
      <c r="M86" s="147"/>
      <c r="N86" s="147"/>
      <c r="O86" s="147"/>
      <c r="P86" s="147"/>
      <c r="Q86" s="147"/>
      <c r="R86" s="516">
        <f t="shared" si="21"/>
        <v>593627</v>
      </c>
      <c r="S86" s="147">
        <f>C86</f>
        <v>593627</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50000</v>
      </c>
      <c r="C88" s="147">
        <v>50000</v>
      </c>
      <c r="D88" s="147"/>
      <c r="E88" s="147">
        <f t="shared" ref="E88:E92" si="22">C88-SUM(F88:Q88)</f>
        <v>50000</v>
      </c>
      <c r="F88" s="147"/>
      <c r="G88" s="147"/>
      <c r="H88" s="147"/>
      <c r="I88" s="147"/>
      <c r="J88" s="147"/>
      <c r="K88" s="147"/>
      <c r="L88" s="147"/>
      <c r="M88" s="147"/>
      <c r="N88" s="147"/>
      <c r="O88" s="147"/>
      <c r="P88" s="147"/>
      <c r="Q88" s="147"/>
      <c r="R88" s="516">
        <f t="shared" si="21"/>
        <v>50000</v>
      </c>
      <c r="S88" s="148"/>
      <c r="T88" s="148"/>
      <c r="U88" s="143"/>
    </row>
    <row r="89" spans="1:21" s="144" customFormat="1">
      <c r="A89" s="145" t="s">
        <v>772</v>
      </c>
      <c r="B89" s="146">
        <f t="shared" si="20"/>
        <v>20000</v>
      </c>
      <c r="C89" s="147">
        <v>20000</v>
      </c>
      <c r="D89" s="147"/>
      <c r="E89" s="147">
        <f t="shared" si="22"/>
        <v>20000</v>
      </c>
      <c r="F89" s="147"/>
      <c r="G89" s="147"/>
      <c r="H89" s="147"/>
      <c r="I89" s="147"/>
      <c r="J89" s="147"/>
      <c r="K89" s="147"/>
      <c r="L89" s="147"/>
      <c r="M89" s="147"/>
      <c r="N89" s="147"/>
      <c r="O89" s="147"/>
      <c r="P89" s="147"/>
      <c r="Q89" s="147"/>
      <c r="R89" s="516">
        <f t="shared" si="21"/>
        <v>20000</v>
      </c>
      <c r="S89" s="147">
        <f>C89</f>
        <v>20000</v>
      </c>
      <c r="T89" s="147"/>
      <c r="U89" s="143"/>
    </row>
    <row r="90" spans="1:21" s="144" customFormat="1">
      <c r="A90" s="145" t="s">
        <v>773</v>
      </c>
      <c r="B90" s="146">
        <f t="shared" si="20"/>
        <v>10000</v>
      </c>
      <c r="C90" s="147">
        <v>10000</v>
      </c>
      <c r="D90" s="147"/>
      <c r="E90" s="147">
        <f t="shared" si="22"/>
        <v>10000</v>
      </c>
      <c r="F90" s="147"/>
      <c r="G90" s="147"/>
      <c r="H90" s="147"/>
      <c r="I90" s="147"/>
      <c r="J90" s="147"/>
      <c r="K90" s="147"/>
      <c r="L90" s="147"/>
      <c r="M90" s="147"/>
      <c r="N90" s="147"/>
      <c r="O90" s="147"/>
      <c r="P90" s="147"/>
      <c r="Q90" s="147"/>
      <c r="R90" s="516">
        <f t="shared" si="21"/>
        <v>10000</v>
      </c>
      <c r="S90" s="147">
        <f>C90</f>
        <v>10000</v>
      </c>
      <c r="T90" s="147"/>
      <c r="U90" s="143"/>
    </row>
    <row r="91" spans="1:21" s="144" customFormat="1">
      <c r="A91" s="145" t="s">
        <v>372</v>
      </c>
      <c r="B91" s="146">
        <f t="shared" si="20"/>
        <v>27287</v>
      </c>
      <c r="C91" s="147">
        <v>27287</v>
      </c>
      <c r="D91" s="147"/>
      <c r="E91" s="147">
        <f t="shared" si="22"/>
        <v>27287</v>
      </c>
      <c r="F91" s="147"/>
      <c r="G91" s="147"/>
      <c r="H91" s="147"/>
      <c r="I91" s="147"/>
      <c r="J91" s="147"/>
      <c r="K91" s="147"/>
      <c r="L91" s="147"/>
      <c r="M91" s="147"/>
      <c r="N91" s="147"/>
      <c r="O91" s="147"/>
      <c r="P91" s="147"/>
      <c r="Q91" s="147"/>
      <c r="R91" s="516">
        <f t="shared" si="21"/>
        <v>27287</v>
      </c>
      <c r="S91" s="147">
        <f>C91</f>
        <v>27287</v>
      </c>
      <c r="T91" s="147"/>
      <c r="U91" s="143"/>
    </row>
    <row r="92" spans="1:21" s="144" customFormat="1">
      <c r="A92" s="283" t="s">
        <v>1211</v>
      </c>
      <c r="B92" s="146">
        <f t="shared" si="20"/>
        <v>10000</v>
      </c>
      <c r="C92" s="147">
        <v>10000</v>
      </c>
      <c r="D92" s="147"/>
      <c r="E92" s="147">
        <f t="shared" si="22"/>
        <v>10000</v>
      </c>
      <c r="F92" s="147"/>
      <c r="G92" s="147"/>
      <c r="H92" s="147"/>
      <c r="I92" s="147"/>
      <c r="J92" s="147"/>
      <c r="K92" s="147"/>
      <c r="L92" s="147"/>
      <c r="M92" s="147"/>
      <c r="N92" s="147"/>
      <c r="O92" s="147"/>
      <c r="P92" s="147"/>
      <c r="Q92" s="147"/>
      <c r="R92" s="516">
        <f t="shared" si="21"/>
        <v>10000</v>
      </c>
      <c r="S92" s="147">
        <f>C92</f>
        <v>10000</v>
      </c>
      <c r="T92" s="147"/>
      <c r="U92" s="143"/>
    </row>
    <row r="93" spans="1:21" s="144" customFormat="1">
      <c r="A93" s="1143"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792179</v>
      </c>
      <c r="C96" s="146">
        <f t="shared" ref="C96:R96" si="23">SUM(C83:C95)</f>
        <v>792179</v>
      </c>
      <c r="D96" s="146">
        <f t="shared" si="23"/>
        <v>0</v>
      </c>
      <c r="E96" s="146">
        <f t="shared" si="23"/>
        <v>792179</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792179</v>
      </c>
      <c r="S96" s="150">
        <f>SUM(S84:S87,S89:S95)</f>
        <v>660914</v>
      </c>
      <c r="T96" s="146">
        <f>SUM(T84:T87,T89:T95)</f>
        <v>0</v>
      </c>
      <c r="U96" s="143"/>
    </row>
    <row r="97" spans="1:21" s="144" customFormat="1">
      <c r="A97" s="149" t="s">
        <v>775</v>
      </c>
      <c r="B97" s="146">
        <f>SUM(C97:D97)</f>
        <v>19061228</v>
      </c>
      <c r="C97" s="146">
        <f t="shared" ref="C97:R97" si="24">SUM(C63+C70+C77+C81+C96)</f>
        <v>19061228</v>
      </c>
      <c r="D97" s="146">
        <f t="shared" si="24"/>
        <v>0</v>
      </c>
      <c r="E97" s="146">
        <f t="shared" si="24"/>
        <v>8839880</v>
      </c>
      <c r="F97" s="146">
        <f t="shared" si="24"/>
        <v>5423153</v>
      </c>
      <c r="G97" s="146">
        <f t="shared" si="24"/>
        <v>4798195</v>
      </c>
      <c r="H97" s="146">
        <f t="shared" si="24"/>
        <v>0</v>
      </c>
      <c r="I97" s="146">
        <f t="shared" si="24"/>
        <v>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19061228</v>
      </c>
      <c r="S97" s="146">
        <f>SUM(S63+S70+S81+S96)</f>
        <v>16974399</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2546159</v>
      </c>
      <c r="C99" s="974">
        <v>2546159</v>
      </c>
      <c r="D99" s="974"/>
      <c r="E99" s="974">
        <f>C99-SUM(F99:Q99)</f>
        <v>466182</v>
      </c>
      <c r="F99" s="147"/>
      <c r="G99" s="147"/>
      <c r="H99" s="147">
        <f>H108</f>
        <v>2079977</v>
      </c>
      <c r="I99" s="147"/>
      <c r="J99" s="147"/>
      <c r="K99" s="147"/>
      <c r="L99" s="147"/>
      <c r="M99" s="147"/>
      <c r="N99" s="147"/>
      <c r="O99" s="147"/>
      <c r="P99" s="147"/>
      <c r="Q99" s="147"/>
      <c r="R99" s="516">
        <f>SUM(E99:Q99)</f>
        <v>2546159</v>
      </c>
      <c r="S99" s="147">
        <f>C99</f>
        <v>2546159</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2546159</v>
      </c>
      <c r="C104" s="146">
        <f>SUM(C99:C103)</f>
        <v>2546159</v>
      </c>
      <c r="D104" s="146">
        <f t="shared" ref="D104:T104" si="25">SUM(D99:D103)</f>
        <v>0</v>
      </c>
      <c r="E104" s="146">
        <f t="shared" si="25"/>
        <v>466182</v>
      </c>
      <c r="F104" s="146">
        <f t="shared" si="25"/>
        <v>0</v>
      </c>
      <c r="G104" s="146">
        <f t="shared" si="25"/>
        <v>0</v>
      </c>
      <c r="H104" s="146">
        <f t="shared" si="25"/>
        <v>2079977</v>
      </c>
      <c r="I104" s="146">
        <f t="shared" si="25"/>
        <v>0</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42">
        <f t="shared" si="25"/>
        <v>2546159</v>
      </c>
      <c r="S104" s="150">
        <f t="shared" si="25"/>
        <v>2546159</v>
      </c>
      <c r="T104" s="150">
        <f t="shared" si="25"/>
        <v>0</v>
      </c>
      <c r="U104" s="143"/>
    </row>
    <row r="105" spans="1:21" s="144" customFormat="1">
      <c r="A105" s="149" t="s">
        <v>780</v>
      </c>
      <c r="B105" s="150">
        <f>SUM(C105:D105)</f>
        <v>21607387</v>
      </c>
      <c r="C105" s="150">
        <f t="shared" ref="C105:R105" si="26">SUM(C97+C104)</f>
        <v>21607387</v>
      </c>
      <c r="D105" s="150">
        <f t="shared" si="26"/>
        <v>0</v>
      </c>
      <c r="E105" s="150">
        <f t="shared" si="26"/>
        <v>9306062</v>
      </c>
      <c r="F105" s="150">
        <f t="shared" si="26"/>
        <v>5423153</v>
      </c>
      <c r="G105" s="150">
        <f t="shared" si="26"/>
        <v>4798195</v>
      </c>
      <c r="H105" s="150">
        <f t="shared" si="26"/>
        <v>2079977</v>
      </c>
      <c r="I105" s="150">
        <f t="shared" si="26"/>
        <v>0</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42">
        <f t="shared" si="26"/>
        <v>21607387</v>
      </c>
      <c r="S105" s="150">
        <f>S97+S104</f>
        <v>19520558</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19520558</v>
      </c>
      <c r="T107" s="150">
        <f>T105+T106</f>
        <v>0</v>
      </c>
    </row>
    <row r="108" spans="1:21" s="189" customFormat="1">
      <c r="A108" s="162" t="s">
        <v>879</v>
      </c>
      <c r="B108" s="157"/>
      <c r="C108" s="157"/>
      <c r="D108" s="157"/>
      <c r="E108" s="301">
        <f>Application!AO648</f>
        <v>9306062</v>
      </c>
      <c r="F108" s="301">
        <f>Application!AO635</f>
        <v>5423153</v>
      </c>
      <c r="G108" s="301">
        <f>Application!AO636</f>
        <v>4798195</v>
      </c>
      <c r="H108" s="301">
        <f>Application!AO637</f>
        <v>2079977</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1" t="s">
        <v>990</v>
      </c>
      <c r="E122" s="1871"/>
      <c r="F122" s="1871"/>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3" t="s">
        <v>1224</v>
      </c>
      <c r="E123" s="1711"/>
      <c r="F123" s="1711"/>
      <c r="G123" s="1711"/>
      <c r="H123" s="1711"/>
      <c r="I123" s="1711"/>
      <c r="J123" s="1711"/>
      <c r="K123" s="1711"/>
      <c r="L123" s="1711"/>
      <c r="M123" s="1711"/>
      <c r="N123" s="1711"/>
      <c r="O123" s="1711"/>
      <c r="P123" s="1711"/>
      <c r="Q123" s="1711"/>
      <c r="R123" s="1711"/>
      <c r="S123" s="1711"/>
      <c r="T123" s="324"/>
      <c r="U123" s="326"/>
    </row>
    <row r="124" spans="1:21" ht="12.75">
      <c r="A124" s="117" t="s">
        <v>992</v>
      </c>
      <c r="B124" s="333"/>
      <c r="C124" s="117"/>
      <c r="D124" s="1711"/>
      <c r="E124" s="1711"/>
      <c r="F124" s="1711"/>
      <c r="G124" s="1711"/>
      <c r="H124" s="1711"/>
      <c r="I124" s="1711"/>
      <c r="J124" s="1711"/>
      <c r="K124" s="1711"/>
      <c r="L124" s="1711"/>
      <c r="M124" s="1711"/>
      <c r="N124" s="1711"/>
      <c r="O124" s="1711"/>
      <c r="P124" s="1711"/>
      <c r="Q124" s="1711"/>
      <c r="R124" s="1711"/>
      <c r="S124" s="1711"/>
      <c r="T124" s="324"/>
      <c r="U124" s="326"/>
    </row>
    <row r="125" spans="1:21" ht="12.75">
      <c r="A125" s="117" t="s">
        <v>993</v>
      </c>
      <c r="B125" s="333"/>
      <c r="C125" s="117"/>
      <c r="D125" s="1711"/>
      <c r="E125" s="1711"/>
      <c r="F125" s="1711"/>
      <c r="G125" s="1711"/>
      <c r="H125" s="1711"/>
      <c r="I125" s="1711"/>
      <c r="J125" s="1711"/>
      <c r="K125" s="1711"/>
      <c r="L125" s="1711"/>
      <c r="M125" s="1711"/>
      <c r="N125" s="1711"/>
      <c r="O125" s="1711"/>
      <c r="P125" s="1711"/>
      <c r="Q125" s="1711"/>
      <c r="R125" s="1711"/>
      <c r="S125" s="1711"/>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8"/>
      <c r="E128" s="1868"/>
      <c r="F128" s="1868"/>
      <c r="G128" s="1868"/>
      <c r="H128" s="1868"/>
      <c r="I128" s="117"/>
      <c r="J128" s="1869"/>
      <c r="K128" s="1869"/>
      <c r="L128" s="117"/>
      <c r="M128" s="117"/>
      <c r="N128" s="117"/>
      <c r="O128" s="117"/>
      <c r="P128" s="117"/>
      <c r="Q128" s="117"/>
      <c r="R128" s="117"/>
      <c r="S128" s="117"/>
      <c r="T128" s="324"/>
      <c r="U128" s="326"/>
    </row>
    <row r="129" spans="1:21" ht="12.75">
      <c r="A129" s="117" t="s">
        <v>300</v>
      </c>
      <c r="B129" s="333"/>
      <c r="C129" s="117"/>
      <c r="D129" s="1870" t="s">
        <v>997</v>
      </c>
      <c r="E129" s="1870"/>
      <c r="F129" s="1870"/>
      <c r="G129" s="1870"/>
      <c r="H129" s="1870"/>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720"/>
      <c r="E131" s="1720"/>
      <c r="F131" s="1720"/>
      <c r="G131" s="1720"/>
      <c r="H131" s="1720"/>
      <c r="I131" s="117"/>
      <c r="J131" s="1720"/>
      <c r="K131" s="1720"/>
      <c r="L131" s="1720"/>
      <c r="M131" s="1720"/>
      <c r="N131" s="117"/>
      <c r="O131" s="117"/>
      <c r="P131" s="117"/>
      <c r="Q131" s="117"/>
      <c r="R131" s="117"/>
      <c r="S131" s="117"/>
      <c r="T131" s="324"/>
      <c r="U131" s="326"/>
    </row>
    <row r="132" spans="1:21" ht="12" customHeight="1">
      <c r="A132" s="336"/>
      <c r="B132" s="117"/>
      <c r="C132" s="117"/>
      <c r="D132" s="1874" t="s">
        <v>1000</v>
      </c>
      <c r="E132" s="1874"/>
      <c r="F132" s="1874"/>
      <c r="G132" s="1874"/>
      <c r="H132" s="1874"/>
      <c r="I132" s="117"/>
      <c r="J132" s="1874" t="s">
        <v>1001</v>
      </c>
      <c r="K132" s="1874"/>
      <c r="L132" s="1874"/>
      <c r="M132" s="187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5"/>
      <c r="B138" s="1868"/>
      <c r="C138" s="1868"/>
      <c r="D138" s="328"/>
      <c r="E138" s="1869"/>
      <c r="F138" s="1869"/>
      <c r="G138" s="117"/>
      <c r="H138" s="117"/>
      <c r="I138" s="117"/>
      <c r="J138" s="117"/>
      <c r="K138" s="117"/>
      <c r="L138" s="117"/>
      <c r="M138" s="117"/>
      <c r="N138" s="117"/>
      <c r="O138" s="117"/>
      <c r="P138" s="117"/>
      <c r="Q138" s="117"/>
      <c r="R138" s="117"/>
      <c r="S138" s="117"/>
      <c r="T138" s="330"/>
      <c r="U138" s="331"/>
    </row>
    <row r="139" spans="1:21" ht="12.75">
      <c r="A139" s="1872" t="s">
        <v>1004</v>
      </c>
      <c r="B139" s="1872"/>
      <c r="C139" s="1872"/>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8" t="s">
        <v>1227</v>
      </c>
      <c r="B1" s="1879"/>
      <c r="C1" s="1879"/>
      <c r="D1" s="1879"/>
      <c r="E1" s="1879"/>
      <c r="F1" s="1879"/>
      <c r="G1" s="1879"/>
      <c r="H1" s="1879"/>
      <c r="I1" s="1879"/>
      <c r="J1" s="1880"/>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200000</v>
      </c>
      <c r="C7" s="362"/>
      <c r="D7" s="362"/>
      <c r="E7" s="363"/>
      <c r="F7" s="363"/>
      <c r="G7" s="363"/>
      <c r="H7" s="363"/>
      <c r="I7" s="363"/>
      <c r="J7" s="363"/>
      <c r="K7" s="359"/>
    </row>
    <row r="8" spans="1:11" s="360" customFormat="1">
      <c r="A8" s="365" t="s">
        <v>593</v>
      </c>
      <c r="B8" s="361">
        <f>'Sources and Uses Budget'!C8</f>
        <v>200000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200000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353782</v>
      </c>
      <c r="C29" s="362"/>
      <c r="D29" s="362"/>
      <c r="E29" s="361">
        <f>'Sources and Uses Budget'!S29</f>
        <v>83782</v>
      </c>
      <c r="F29" s="362"/>
      <c r="G29" s="362"/>
      <c r="H29" s="361">
        <f>'Sources and Uses Budget'!T29</f>
        <v>0</v>
      </c>
      <c r="I29" s="362"/>
      <c r="J29" s="362"/>
      <c r="K29" s="359"/>
    </row>
    <row r="30" spans="1:11" s="360" customFormat="1">
      <c r="A30" s="145" t="s">
        <v>599</v>
      </c>
      <c r="B30" s="361">
        <f>'Sources and Uses Budget'!C30</f>
        <v>11000000</v>
      </c>
      <c r="C30" s="362"/>
      <c r="D30" s="362"/>
      <c r="E30" s="361">
        <f>'Sources and Uses Budget'!S30</f>
        <v>11000000</v>
      </c>
      <c r="F30" s="362"/>
      <c r="G30" s="362"/>
      <c r="H30" s="361">
        <f>'Sources and Uses Budget'!T30</f>
        <v>0</v>
      </c>
      <c r="I30" s="362"/>
      <c r="J30" s="362"/>
      <c r="K30" s="359"/>
    </row>
    <row r="31" spans="1:11" s="360" customFormat="1">
      <c r="A31" s="145" t="s">
        <v>600</v>
      </c>
      <c r="B31" s="361">
        <f>'Sources and Uses Budget'!C31</f>
        <v>567689</v>
      </c>
      <c r="C31" s="362"/>
      <c r="D31" s="362"/>
      <c r="E31" s="361">
        <f>'Sources and Uses Budget'!S31</f>
        <v>567689</v>
      </c>
      <c r="F31" s="362"/>
      <c r="G31" s="362"/>
      <c r="H31" s="361">
        <f>'Sources and Uses Budget'!T31</f>
        <v>0</v>
      </c>
      <c r="I31" s="362"/>
      <c r="J31" s="362"/>
      <c r="K31" s="359"/>
    </row>
    <row r="32" spans="1:11" s="360" customFormat="1">
      <c r="A32" s="145" t="s">
        <v>137</v>
      </c>
      <c r="B32" s="361">
        <f>'Sources and Uses Budget'!C32</f>
        <v>455000</v>
      </c>
      <c r="C32" s="362"/>
      <c r="D32" s="362"/>
      <c r="E32" s="361">
        <f>'Sources and Uses Budget'!S32</f>
        <v>455000</v>
      </c>
      <c r="F32" s="362"/>
      <c r="G32" s="362"/>
      <c r="H32" s="361">
        <f>'Sources and Uses Budget'!T32</f>
        <v>0</v>
      </c>
      <c r="I32" s="362"/>
      <c r="J32" s="362"/>
      <c r="K32" s="359"/>
    </row>
    <row r="33" spans="1:11" s="360" customFormat="1">
      <c r="A33" s="145" t="s">
        <v>138</v>
      </c>
      <c r="B33" s="361">
        <f>'Sources and Uses Budget'!C33</f>
        <v>566840</v>
      </c>
      <c r="C33" s="362"/>
      <c r="D33" s="362"/>
      <c r="E33" s="361">
        <f>'Sources and Uses Budget'!S33</f>
        <v>566840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250000</v>
      </c>
      <c r="C35" s="362"/>
      <c r="D35" s="362"/>
      <c r="E35" s="361">
        <f>'Sources and Uses Budget'!S35</f>
        <v>250000</v>
      </c>
      <c r="F35" s="362"/>
      <c r="G35" s="362"/>
      <c r="H35" s="361">
        <f>'Sources and Uses Budget'!T35</f>
        <v>0</v>
      </c>
      <c r="I35" s="362"/>
      <c r="J35" s="362"/>
      <c r="K35" s="359"/>
    </row>
    <row r="36" spans="1:11" s="360" customFormat="1">
      <c r="A36" s="508" t="s">
        <v>1629</v>
      </c>
      <c r="B36" s="361">
        <f>'Sources and Uses Budget'!C36</f>
        <v>200000</v>
      </c>
      <c r="C36" s="362"/>
      <c r="D36" s="362"/>
      <c r="E36" s="361">
        <f>'Sources and Uses Budget'!S36</f>
        <v>200000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13393311</v>
      </c>
      <c r="C38" s="361">
        <f>SUM(C29:C37)</f>
        <v>0</v>
      </c>
      <c r="D38" s="361">
        <f>SUM(D29:D37)</f>
        <v>0</v>
      </c>
      <c r="E38" s="361">
        <f>'Sources and Uses Budget'!S38</f>
        <v>13123311</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242000</v>
      </c>
      <c r="C40" s="362"/>
      <c r="D40" s="362"/>
      <c r="E40" s="361">
        <f>'Sources and Uses Budget'!S40</f>
        <v>242000</v>
      </c>
      <c r="F40" s="362"/>
      <c r="G40" s="362"/>
      <c r="H40" s="361">
        <f>'Sources and Uses Budget'!T40</f>
        <v>0</v>
      </c>
      <c r="I40" s="362"/>
      <c r="J40" s="362"/>
      <c r="K40" s="359"/>
    </row>
    <row r="41" spans="1:11" s="360" customFormat="1">
      <c r="A41" s="364" t="s">
        <v>146</v>
      </c>
      <c r="B41" s="361">
        <f>'Sources and Uses Budget'!C41</f>
        <v>200000</v>
      </c>
      <c r="C41" s="362"/>
      <c r="D41" s="362"/>
      <c r="E41" s="361">
        <f>'Sources and Uses Budget'!S41</f>
        <v>200000</v>
      </c>
      <c r="F41" s="362"/>
      <c r="G41" s="362"/>
      <c r="H41" s="361">
        <f>'Sources and Uses Budget'!T41</f>
        <v>0</v>
      </c>
      <c r="I41" s="362"/>
      <c r="J41" s="362"/>
      <c r="K41" s="359"/>
    </row>
    <row r="42" spans="1:11" s="360" customFormat="1">
      <c r="A42" s="365" t="s">
        <v>147</v>
      </c>
      <c r="B42" s="361">
        <f>'Sources and Uses Budget'!C42</f>
        <v>442000</v>
      </c>
      <c r="C42" s="361">
        <f>SUM(C39:C41)</f>
        <v>0</v>
      </c>
      <c r="D42" s="361">
        <f>SUM(D39:D41)</f>
        <v>0</v>
      </c>
      <c r="E42" s="361">
        <f>'Sources and Uses Budget'!S42</f>
        <v>442000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631086</v>
      </c>
      <c r="C43" s="362"/>
      <c r="D43" s="362"/>
      <c r="E43" s="361">
        <f>'Sources and Uses Budget'!S43</f>
        <v>631086</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1139086</v>
      </c>
      <c r="C45" s="362"/>
      <c r="D45" s="362"/>
      <c r="E45" s="361">
        <f>'Sources and Uses Budget'!S45</f>
        <v>613744</v>
      </c>
      <c r="F45" s="362"/>
      <c r="G45" s="362"/>
      <c r="H45" s="361">
        <f>'Sources and Uses Budget'!T45</f>
        <v>0</v>
      </c>
      <c r="I45" s="362"/>
      <c r="J45" s="362"/>
      <c r="K45" s="359"/>
    </row>
    <row r="46" spans="1:11" s="360" customFormat="1">
      <c r="A46" s="364" t="s">
        <v>151</v>
      </c>
      <c r="B46" s="361">
        <f>'Sources and Uses Budget'!C46</f>
        <v>158137</v>
      </c>
      <c r="C46" s="362"/>
      <c r="D46" s="362"/>
      <c r="E46" s="361">
        <f>'Sources and Uses Budget'!S46</f>
        <v>85205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375000</v>
      </c>
      <c r="C49" s="362"/>
      <c r="D49" s="362"/>
      <c r="E49" s="361">
        <f>'Sources and Uses Budget'!S49</f>
        <v>250000</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37500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1747223</v>
      </c>
      <c r="C54" s="367">
        <f>SUM(C45:C53)</f>
        <v>0</v>
      </c>
      <c r="D54" s="367">
        <f>SUM(D45:D53)</f>
        <v>0</v>
      </c>
      <c r="E54" s="361">
        <f>'Sources and Uses Budget'!S54</f>
        <v>986449</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102213</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75000</v>
      </c>
      <c r="C58" s="362"/>
      <c r="D58" s="362"/>
      <c r="E58" s="363"/>
      <c r="F58" s="363"/>
      <c r="G58" s="363"/>
      <c r="H58" s="363"/>
      <c r="I58" s="363"/>
      <c r="J58" s="363"/>
      <c r="K58" s="359"/>
    </row>
    <row r="59" spans="1:11" s="360" customFormat="1">
      <c r="A59" s="364" t="s">
        <v>154</v>
      </c>
      <c r="B59" s="361">
        <f>'Sources and Uses Budget'!C59</f>
        <v>44620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221833</v>
      </c>
      <c r="C62" s="361">
        <f>SUM(C56:C61)</f>
        <v>0</v>
      </c>
      <c r="D62" s="361">
        <f>SUM(D56:D61)</f>
        <v>0</v>
      </c>
      <c r="E62" s="363"/>
      <c r="F62" s="363"/>
      <c r="G62" s="363"/>
      <c r="H62" s="363"/>
      <c r="I62" s="363"/>
      <c r="J62" s="363"/>
      <c r="K62" s="359"/>
    </row>
    <row r="63" spans="1:11" s="360" customFormat="1">
      <c r="A63" s="370" t="s">
        <v>302</v>
      </c>
      <c r="B63" s="361">
        <f>'Sources and Uses Budget'!C63</f>
        <v>16635453</v>
      </c>
      <c r="C63" s="361">
        <f>SUM(C8+C11+C13+C14+C15+C26+C27+C38+C42+C43+C54+C62)</f>
        <v>0</v>
      </c>
      <c r="D63" s="361">
        <f>SUM(D8+D11+D13+D14+D15+D26+D27+D38+D42+D43+D54+D62)</f>
        <v>0</v>
      </c>
      <c r="E63" s="361">
        <f>'Sources and Uses Budget'!S63</f>
        <v>15182846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200000</v>
      </c>
      <c r="C65" s="362"/>
      <c r="D65" s="362"/>
      <c r="E65" s="361">
        <f>'Sources and Uses Budget'!S65</f>
        <v>175000</v>
      </c>
      <c r="F65" s="362"/>
      <c r="G65" s="362"/>
      <c r="H65" s="361">
        <f>'Sources and Uses Budget'!T65</f>
        <v>0</v>
      </c>
      <c r="I65" s="362"/>
      <c r="J65" s="362"/>
      <c r="K65" s="359"/>
    </row>
    <row r="66" spans="1:11" s="360" customFormat="1" ht="24">
      <c r="A66" s="283" t="s">
        <v>1630</v>
      </c>
      <c r="B66" s="361">
        <f>'Sources and Uses Budget'!C66</f>
        <v>300000</v>
      </c>
      <c r="C66" s="362"/>
      <c r="D66" s="362"/>
      <c r="E66" s="361">
        <f>'Sources and Uses Budget'!S66</f>
        <v>300000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(Outside Issuance Fees)</v>
      </c>
      <c r="B69" s="361">
        <f>'Sources and Uses Budget'!C69</f>
        <v>75000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575000</v>
      </c>
      <c r="C70" s="361">
        <f>SUM(C64:C69)</f>
        <v>0</v>
      </c>
      <c r="D70" s="361">
        <f>SUM(D64:D69)</f>
        <v>0</v>
      </c>
      <c r="E70" s="361">
        <f>'Sources and Uses Budget'!S70</f>
        <v>475000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295463</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295463</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567689</v>
      </c>
      <c r="C79" s="362"/>
      <c r="D79" s="362"/>
      <c r="E79" s="361">
        <f>'Sources and Uses Budget'!S79</f>
        <v>567689</v>
      </c>
      <c r="F79" s="362"/>
      <c r="G79" s="362"/>
      <c r="H79" s="361">
        <f>'Sources and Uses Budget'!T79</f>
        <v>0</v>
      </c>
      <c r="I79" s="362"/>
      <c r="J79" s="362"/>
      <c r="K79" s="359"/>
    </row>
    <row r="80" spans="1:11" s="360" customFormat="1">
      <c r="A80" s="364" t="s">
        <v>58</v>
      </c>
      <c r="B80" s="361">
        <f>'Sources and Uses Budget'!C80</f>
        <v>195444</v>
      </c>
      <c r="C80" s="362"/>
      <c r="D80" s="362"/>
      <c r="E80" s="361">
        <f>'Sources and Uses Budget'!S80</f>
        <v>87950</v>
      </c>
      <c r="F80" s="362"/>
      <c r="G80" s="362"/>
      <c r="H80" s="361">
        <f>'Sources and Uses Budget'!T80</f>
        <v>0</v>
      </c>
      <c r="I80" s="362"/>
      <c r="J80" s="362"/>
      <c r="K80" s="359"/>
    </row>
    <row r="81" spans="1:11" s="360" customFormat="1">
      <c r="A81" s="365" t="s">
        <v>1209</v>
      </c>
      <c r="B81" s="361">
        <f>'Sources and Uses Budget'!C81</f>
        <v>763133</v>
      </c>
      <c r="C81" s="361">
        <f>SUM(C79:C80)</f>
        <v>0</v>
      </c>
      <c r="D81" s="361">
        <f>SUM(D79:D80)</f>
        <v>0</v>
      </c>
      <c r="E81" s="361">
        <f>'Sources and Uses Budget'!S81</f>
        <v>655639</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81265</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593627</v>
      </c>
      <c r="C86" s="362"/>
      <c r="D86" s="362"/>
      <c r="E86" s="361">
        <f>'Sources and Uses Budget'!S86</f>
        <v>593627</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50000</v>
      </c>
      <c r="C88" s="362"/>
      <c r="D88" s="362"/>
      <c r="E88" s="363"/>
      <c r="F88" s="363"/>
      <c r="G88" s="363"/>
      <c r="H88" s="363"/>
      <c r="I88" s="363"/>
      <c r="J88" s="363"/>
      <c r="K88" s="359"/>
    </row>
    <row r="89" spans="1:11" s="360" customFormat="1">
      <c r="A89" s="145" t="s">
        <v>772</v>
      </c>
      <c r="B89" s="361">
        <f>'Sources and Uses Budget'!C89</f>
        <v>20000</v>
      </c>
      <c r="C89" s="362"/>
      <c r="D89" s="362"/>
      <c r="E89" s="361">
        <f>'Sources and Uses Budget'!S89</f>
        <v>20000</v>
      </c>
      <c r="F89" s="362"/>
      <c r="G89" s="362"/>
      <c r="H89" s="361">
        <f>'Sources and Uses Budget'!T89</f>
        <v>0</v>
      </c>
      <c r="I89" s="362"/>
      <c r="J89" s="362"/>
      <c r="K89" s="359"/>
    </row>
    <row r="90" spans="1:11" s="360" customFormat="1">
      <c r="A90" s="145" t="s">
        <v>773</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27287</v>
      </c>
      <c r="C91" s="362"/>
      <c r="D91" s="362"/>
      <c r="E91" s="361">
        <f>'Sources and Uses Budget'!S91</f>
        <v>27287</v>
      </c>
      <c r="F91" s="362"/>
      <c r="G91" s="362"/>
      <c r="H91" s="361">
        <f>'Sources and Uses Budget'!T91</f>
        <v>0</v>
      </c>
      <c r="I91" s="362"/>
      <c r="J91" s="362"/>
      <c r="K91" s="359"/>
    </row>
    <row r="92" spans="1:11" s="360" customFormat="1">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792179</v>
      </c>
      <c r="C96" s="361">
        <f>SUM(C83:C95)</f>
        <v>0</v>
      </c>
      <c r="D96" s="361">
        <f>SUM(D83:D95)</f>
        <v>0</v>
      </c>
      <c r="E96" s="361">
        <f>'Sources and Uses Budget'!S96</f>
        <v>660914</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19061228</v>
      </c>
      <c r="C97" s="361">
        <f>SUM(C63+C70+C77+C81+C96)</f>
        <v>0</v>
      </c>
      <c r="D97" s="361">
        <f>SUM(D63+D70+D77+D81+D96)</f>
        <v>0</v>
      </c>
      <c r="E97" s="361">
        <f>'Sources and Uses Budget'!S97</f>
        <v>16974399</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2546159</v>
      </c>
      <c r="C99" s="362"/>
      <c r="D99" s="362"/>
      <c r="E99" s="361">
        <f>'Sources and Uses Budget'!S99</f>
        <v>2546159</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2546159</v>
      </c>
      <c r="C104" s="361">
        <f>SUM(C99:C103)</f>
        <v>0</v>
      </c>
      <c r="D104" s="361">
        <f>SUM(D99:D103)</f>
        <v>0</v>
      </c>
      <c r="E104" s="361">
        <f>'Sources and Uses Budget'!S104</f>
        <v>2546159</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21607387</v>
      </c>
      <c r="C105" s="367">
        <f>SUM(C97+C104)</f>
        <v>0</v>
      </c>
      <c r="D105" s="367">
        <f>SUM(D97+D104)</f>
        <v>0</v>
      </c>
      <c r="E105" s="361">
        <f>'Sources and Uses Budget'!S105</f>
        <v>19520558</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19520558</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6"/>
      <c r="E124" s="1849"/>
      <c r="F124" s="1849"/>
      <c r="G124" s="1849"/>
      <c r="H124" s="1849"/>
      <c r="I124" s="1849"/>
      <c r="J124" s="376"/>
      <c r="K124" s="359"/>
    </row>
    <row r="125" spans="1:11" s="360" customFormat="1" ht="12.75">
      <c r="A125" s="385"/>
      <c r="B125" s="384"/>
      <c r="C125" s="385"/>
      <c r="D125" s="1849"/>
      <c r="E125" s="1849"/>
      <c r="F125" s="1849"/>
      <c r="G125" s="1849"/>
      <c r="H125" s="1849"/>
      <c r="I125" s="1849"/>
      <c r="J125" s="376"/>
      <c r="K125" s="359"/>
    </row>
    <row r="126" spans="1:11" s="360" customFormat="1" ht="12.75">
      <c r="A126" s="385"/>
      <c r="B126" s="384"/>
      <c r="C126" s="385"/>
      <c r="D126" s="1849"/>
      <c r="E126" s="1849"/>
      <c r="F126" s="1849"/>
      <c r="G126" s="1849"/>
      <c r="H126" s="1849"/>
      <c r="I126" s="1849"/>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849"/>
      <c r="C139" s="1849"/>
      <c r="D139" s="356"/>
      <c r="E139" s="385"/>
      <c r="F139" s="385"/>
      <c r="G139" s="385"/>
    </row>
    <row r="140" spans="1:11" ht="12" customHeight="1">
      <c r="A140" s="1832"/>
      <c r="B140" s="1832"/>
      <c r="C140" s="183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zoomScale="115" zoomScaleNormal="115" workbookViewId="0">
      <selection activeCell="AU202" sqref="AU202"/>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89" t="s">
        <v>2379</v>
      </c>
      <c r="B1" s="1890"/>
      <c r="C1" s="1890"/>
      <c r="D1" s="1890"/>
      <c r="E1" s="1890"/>
      <c r="F1" s="1890"/>
      <c r="G1" s="1890"/>
      <c r="H1" s="1890"/>
      <c r="I1" s="1890"/>
      <c r="J1" s="1890"/>
      <c r="K1" s="1890"/>
      <c r="L1" s="1890"/>
      <c r="M1" s="1890"/>
      <c r="N1" s="1890"/>
      <c r="O1" s="1890"/>
      <c r="P1" s="1890"/>
      <c r="Q1" s="1890"/>
      <c r="R1" s="1890"/>
      <c r="S1" s="1890"/>
      <c r="T1" s="1890"/>
      <c r="U1" s="1890"/>
      <c r="V1" s="1890"/>
      <c r="W1" s="1890"/>
      <c r="X1" s="1890"/>
      <c r="Y1" s="1890"/>
      <c r="Z1" s="1890"/>
      <c r="AA1" s="1890"/>
      <c r="AB1" s="1890"/>
      <c r="AC1" s="1890"/>
      <c r="AD1" s="1890"/>
      <c r="AE1" s="1890"/>
      <c r="AF1" s="1890"/>
      <c r="AG1" s="1890"/>
      <c r="AH1" s="1890"/>
      <c r="AI1" s="1890"/>
      <c r="AJ1" s="1890"/>
      <c r="AK1" s="1890"/>
      <c r="AL1" s="1890"/>
      <c r="AM1" s="1890"/>
      <c r="AN1" s="1890"/>
      <c r="AO1" s="1890"/>
      <c r="AP1" s="1890"/>
      <c r="AQ1" s="1890"/>
      <c r="AR1" s="1890"/>
      <c r="AS1" s="1890"/>
      <c r="AT1" s="1890"/>
      <c r="AU1" s="1890"/>
      <c r="AV1" s="1890"/>
      <c r="AW1" s="1890"/>
      <c r="AX1" s="1890"/>
      <c r="AY1" s="1890"/>
      <c r="AZ1" s="1890"/>
      <c r="BA1" s="1890"/>
      <c r="BB1" s="1890"/>
      <c r="BC1" s="1890"/>
      <c r="BD1" s="1890"/>
      <c r="BE1" s="1891"/>
    </row>
    <row r="2" spans="1:65" ht="15.75" customHeight="1">
      <c r="A2" s="1892" t="s">
        <v>2378</v>
      </c>
      <c r="B2" s="1893"/>
      <c r="C2" s="1893"/>
      <c r="D2" s="1893"/>
      <c r="E2" s="1893"/>
      <c r="F2" s="1893"/>
      <c r="G2" s="1893"/>
      <c r="H2" s="1893"/>
      <c r="I2" s="1893"/>
      <c r="J2" s="1893"/>
      <c r="K2" s="1893"/>
      <c r="L2" s="1893"/>
      <c r="M2" s="1893"/>
      <c r="N2" s="1893"/>
      <c r="O2" s="1893"/>
      <c r="P2" s="1893"/>
      <c r="Q2" s="1893"/>
      <c r="R2" s="1893"/>
      <c r="S2" s="1893"/>
      <c r="T2" s="1893"/>
      <c r="U2" s="1893"/>
      <c r="V2" s="1893"/>
      <c r="W2" s="1893"/>
      <c r="X2" s="1893"/>
      <c r="Y2" s="1893"/>
      <c r="Z2" s="1893"/>
      <c r="AA2" s="1893"/>
      <c r="AB2" s="1893"/>
      <c r="AC2" s="1893"/>
      <c r="AD2" s="1893"/>
      <c r="AE2" s="1893"/>
      <c r="AF2" s="1893"/>
      <c r="AG2" s="1893"/>
      <c r="AH2" s="1893"/>
      <c r="AI2" s="1893"/>
      <c r="AJ2" s="1893"/>
      <c r="AK2" s="1893"/>
      <c r="AL2" s="1893"/>
      <c r="AM2" s="1893"/>
      <c r="AN2" s="1893"/>
      <c r="AO2" s="1893"/>
      <c r="AP2" s="1893"/>
      <c r="AQ2" s="1893"/>
      <c r="AR2" s="1893"/>
      <c r="AS2" s="1893"/>
      <c r="AT2" s="1893"/>
      <c r="AU2" s="1893"/>
      <c r="AV2" s="1893"/>
      <c r="AW2" s="1893"/>
      <c r="AX2" s="1893"/>
      <c r="AY2" s="1893"/>
      <c r="AZ2" s="1893"/>
      <c r="BA2" s="1893"/>
      <c r="BB2" s="1893"/>
      <c r="BC2" s="1893"/>
      <c r="BD2" s="1893"/>
      <c r="BE2" s="1894"/>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5" t="s">
        <v>2579</v>
      </c>
      <c r="AY3" s="1896"/>
      <c r="AZ3" s="1896"/>
      <c r="BA3" s="1897"/>
      <c r="BB3" s="1895" t="s">
        <v>2580</v>
      </c>
      <c r="BC3" s="1896"/>
      <c r="BD3" s="1896"/>
      <c r="BE3" s="1897"/>
    </row>
    <row r="4" spans="1:65" ht="15.75" customHeight="1" thickBot="1">
      <c r="A4" s="1207"/>
      <c r="B4" s="1209" t="s">
        <v>656</v>
      </c>
      <c r="C4" s="1209"/>
      <c r="D4" s="1209"/>
      <c r="E4" s="1209"/>
      <c r="F4" s="1209"/>
      <c r="G4" s="1208"/>
      <c r="H4" s="1208"/>
      <c r="I4" s="1208"/>
      <c r="J4" s="1208"/>
      <c r="K4" s="1208"/>
      <c r="L4" s="1884" t="str">
        <f>IF(Application!H18="","",Application!H18)</f>
        <v>Calyx</v>
      </c>
      <c r="M4" s="1885"/>
      <c r="N4" s="1885"/>
      <c r="O4" s="1885"/>
      <c r="P4" s="1885"/>
      <c r="Q4" s="1885"/>
      <c r="R4" s="1885"/>
      <c r="S4" s="1885"/>
      <c r="T4" s="1885"/>
      <c r="U4" s="1885"/>
      <c r="V4" s="1885"/>
      <c r="W4" s="1885"/>
      <c r="X4" s="1885"/>
      <c r="Y4" s="1885"/>
      <c r="Z4" s="1885"/>
      <c r="AA4" s="1885"/>
      <c r="AB4" s="1885"/>
      <c r="AC4" s="1886"/>
      <c r="AD4" s="1208"/>
      <c r="AE4" s="1208"/>
      <c r="AF4" s="1898" t="s">
        <v>2377</v>
      </c>
      <c r="AG4" s="1898"/>
      <c r="AH4" s="1898"/>
      <c r="AI4" s="1898"/>
      <c r="AJ4" s="1898"/>
      <c r="AK4" s="1898"/>
      <c r="AL4" s="1898"/>
      <c r="AM4" s="1898"/>
      <c r="AN4" s="1898"/>
      <c r="AO4" s="1898"/>
      <c r="AP4" s="1899"/>
      <c r="AQ4" s="1900"/>
      <c r="AR4" s="1900"/>
      <c r="AS4" s="1900"/>
      <c r="AT4" s="1900"/>
      <c r="AU4" s="1900"/>
      <c r="AV4" s="1208"/>
      <c r="AW4" s="1208"/>
      <c r="AX4" s="1881" t="s">
        <v>2581</v>
      </c>
      <c r="AY4" s="1882"/>
      <c r="AZ4" s="1882"/>
      <c r="BA4" s="1883"/>
      <c r="BB4" s="1210">
        <f t="array" ref="BB4">ROUNDDOWN(SUM(IF((B19:I27&gt;0)*(B19:I27&lt;=30%),J19:O27,0))/J29,2)</f>
        <v>0.16</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8" t="s">
        <v>2376</v>
      </c>
      <c r="AG5" s="1898"/>
      <c r="AH5" s="1898"/>
      <c r="AI5" s="1898"/>
      <c r="AJ5" s="1898"/>
      <c r="AK5" s="1898"/>
      <c r="AL5" s="1898"/>
      <c r="AM5" s="1898"/>
      <c r="AN5" s="1898"/>
      <c r="AO5" s="1898"/>
      <c r="AP5" s="1899"/>
      <c r="AQ5" s="1900"/>
      <c r="AR5" s="1900"/>
      <c r="AS5" s="1900"/>
      <c r="AT5" s="1900"/>
      <c r="AU5" s="1900"/>
      <c r="AV5" s="1208"/>
      <c r="AW5" s="1208"/>
      <c r="AX5" s="1881" t="s">
        <v>2582</v>
      </c>
      <c r="AY5" s="1882"/>
      <c r="AZ5" s="1882"/>
      <c r="BA5" s="1883"/>
      <c r="BB5" s="1210">
        <f t="array" ref="BB5">ROUNDDOWN(SUM(IF((B19:I27&gt;0%)*(B19:I27&lt;=50%),J19:O27,0))/J29,2)</f>
        <v>0.32</v>
      </c>
      <c r="BC5" s="1211"/>
      <c r="BD5" s="1211"/>
      <c r="BE5" s="1212"/>
    </row>
    <row r="6" spans="1:65" ht="15.75" customHeight="1" thickBot="1">
      <c r="A6" s="1207"/>
      <c r="B6" s="1209" t="s">
        <v>2375</v>
      </c>
      <c r="C6" s="1208"/>
      <c r="D6" s="1208"/>
      <c r="E6" s="1208"/>
      <c r="F6" s="1208"/>
      <c r="G6" s="1208"/>
      <c r="H6" s="1208"/>
      <c r="I6" s="1208"/>
      <c r="J6" s="1208"/>
      <c r="K6" s="1208"/>
      <c r="L6" s="1884" t="str">
        <f>IF(Application!H16="","",Application!H16)</f>
        <v>Calyx 544 Mariposa, LP</v>
      </c>
      <c r="M6" s="1885"/>
      <c r="N6" s="1885"/>
      <c r="O6" s="1885"/>
      <c r="P6" s="1885"/>
      <c r="Q6" s="1885"/>
      <c r="R6" s="1885"/>
      <c r="S6" s="1885"/>
      <c r="T6" s="1885"/>
      <c r="U6" s="1885"/>
      <c r="V6" s="1885"/>
      <c r="W6" s="1885"/>
      <c r="X6" s="1885"/>
      <c r="Y6" s="1885"/>
      <c r="Z6" s="1885"/>
      <c r="AA6" s="1885"/>
      <c r="AB6" s="1885"/>
      <c r="AC6" s="1886"/>
      <c r="AD6" s="1208"/>
      <c r="AE6" s="1208"/>
      <c r="AF6" s="1887" t="s">
        <v>2374</v>
      </c>
      <c r="AG6" s="1887"/>
      <c r="AH6" s="1887"/>
      <c r="AI6" s="1887"/>
      <c r="AJ6" s="1887"/>
      <c r="AK6" s="1887"/>
      <c r="AL6" s="1887"/>
      <c r="AM6" s="1887"/>
      <c r="AN6" s="1887"/>
      <c r="AO6" s="1887"/>
      <c r="AP6" s="1888"/>
      <c r="AQ6" s="1888"/>
      <c r="AR6" s="1888"/>
      <c r="AS6" s="1888"/>
      <c r="AT6" s="1888"/>
      <c r="AU6" s="1888"/>
      <c r="AV6" s="1208"/>
      <c r="AW6" s="1208"/>
      <c r="AX6" s="1881" t="s">
        <v>2583</v>
      </c>
      <c r="AY6" s="1882"/>
      <c r="AZ6" s="1882"/>
      <c r="BA6" s="1883"/>
      <c r="BB6" s="1210">
        <f t="array" ref="BB6">ROUNDDOWN(SUM(IF((B19:I27&gt;60%)*(B19:I27&lt;=80%),J19:O27,0))/J29,2)</f>
        <v>0.66</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7" t="s">
        <v>2373</v>
      </c>
      <c r="AG7" s="1887"/>
      <c r="AH7" s="1887"/>
      <c r="AI7" s="1887"/>
      <c r="AJ7" s="1887"/>
      <c r="AK7" s="1887"/>
      <c r="AL7" s="1887"/>
      <c r="AM7" s="1887"/>
      <c r="AN7" s="1887"/>
      <c r="AO7" s="1887"/>
      <c r="AP7" s="1888"/>
      <c r="AQ7" s="1888"/>
      <c r="AR7" s="1888"/>
      <c r="AS7" s="1888"/>
      <c r="AT7" s="1888"/>
      <c r="AU7" s="1888"/>
      <c r="AV7" s="1208"/>
      <c r="AW7" s="1208"/>
      <c r="AX7" s="1208"/>
      <c r="AY7" s="1208"/>
      <c r="AZ7" s="1208"/>
      <c r="BA7" s="1208"/>
      <c r="BB7" s="1208"/>
      <c r="BC7" s="1208"/>
      <c r="BD7" s="1208"/>
      <c r="BE7" s="1213"/>
    </row>
    <row r="8" spans="1:65" thickBot="1">
      <c r="A8" s="1207"/>
      <c r="B8" s="1209" t="s">
        <v>2620</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1" t="str">
        <f>Application!T197</f>
        <v>No</v>
      </c>
      <c r="AC8" s="1902"/>
      <c r="AD8" s="1903"/>
      <c r="AE8" s="1208"/>
      <c r="AF8" s="1887" t="s">
        <v>2372</v>
      </c>
      <c r="AG8" s="1887"/>
      <c r="AH8" s="1887"/>
      <c r="AI8" s="1887"/>
      <c r="AJ8" s="1887"/>
      <c r="AK8" s="1887"/>
      <c r="AL8" s="1887"/>
      <c r="AM8" s="1887"/>
      <c r="AN8" s="1887"/>
      <c r="AO8" s="1887"/>
      <c r="AP8" s="1888"/>
      <c r="AQ8" s="1888"/>
      <c r="AR8" s="1888"/>
      <c r="AS8" s="1888"/>
      <c r="AT8" s="1888"/>
      <c r="AU8" s="1888"/>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8" t="s">
        <v>2371</v>
      </c>
      <c r="AG9" s="1898"/>
      <c r="AH9" s="1898"/>
      <c r="AI9" s="1898"/>
      <c r="AJ9" s="1898"/>
      <c r="AK9" s="1898"/>
      <c r="AL9" s="1898"/>
      <c r="AM9" s="1898"/>
      <c r="AN9" s="1898"/>
      <c r="AO9" s="1898"/>
      <c r="AP9" s="1899"/>
      <c r="AQ9" s="1900"/>
      <c r="AR9" s="1900"/>
      <c r="AS9" s="1900"/>
      <c r="AT9" s="1900"/>
      <c r="AU9" s="1900"/>
      <c r="AV9" s="1208"/>
      <c r="AW9" s="1208"/>
      <c r="AX9" s="1208"/>
      <c r="AY9" s="1208"/>
      <c r="AZ9" s="1208"/>
      <c r="BA9" s="1208"/>
      <c r="BB9" s="1208"/>
      <c r="BC9" s="1208"/>
      <c r="BD9" s="1208"/>
      <c r="BE9" s="1213"/>
      <c r="BM9" s="1204" t="s">
        <v>2370</v>
      </c>
    </row>
    <row r="10" spans="1:65" ht="15">
      <c r="A10" s="1207"/>
      <c r="B10" s="1209" t="s">
        <v>2369</v>
      </c>
      <c r="C10" s="1209"/>
      <c r="D10" s="1209"/>
      <c r="E10" s="1209"/>
      <c r="F10" s="1209"/>
      <c r="G10" s="1209"/>
      <c r="H10" s="1209"/>
      <c r="I10" s="1209"/>
      <c r="J10" s="1209"/>
      <c r="K10" s="1209"/>
      <c r="L10" s="1209"/>
      <c r="M10" s="1208"/>
      <c r="N10" s="1916">
        <f>Application!AO635</f>
        <v>5423153</v>
      </c>
      <c r="O10" s="1916"/>
      <c r="P10" s="1916"/>
      <c r="Q10" s="1916"/>
      <c r="R10" s="1916"/>
      <c r="S10" s="1916"/>
      <c r="T10" s="1916"/>
      <c r="U10" s="1208"/>
      <c r="V10" s="1208"/>
      <c r="W10" s="1208"/>
      <c r="X10" s="1214"/>
      <c r="Y10" s="1214"/>
      <c r="Z10" s="1214"/>
      <c r="AA10" s="1214"/>
      <c r="AB10" s="1214"/>
      <c r="AC10" s="1214"/>
      <c r="AD10" s="1214"/>
      <c r="AE10" s="1214"/>
      <c r="AF10" s="1898" t="s">
        <v>2368</v>
      </c>
      <c r="AG10" s="1898"/>
      <c r="AH10" s="1898"/>
      <c r="AI10" s="1898"/>
      <c r="AJ10" s="1898"/>
      <c r="AK10" s="1898"/>
      <c r="AL10" s="1898"/>
      <c r="AM10" s="1898"/>
      <c r="AN10" s="1898"/>
      <c r="AO10" s="1898"/>
      <c r="AP10" s="1899"/>
      <c r="AQ10" s="1900"/>
      <c r="AR10" s="1900"/>
      <c r="AS10" s="1900"/>
      <c r="AT10" s="1900"/>
      <c r="AU10" s="1900"/>
      <c r="AV10" s="1214"/>
      <c r="AW10" s="1214"/>
      <c r="AX10" s="1208"/>
      <c r="AY10" s="1208"/>
      <c r="AZ10" s="1208"/>
      <c r="BA10" s="1208"/>
      <c r="BB10" s="1208"/>
      <c r="BC10" s="1208"/>
      <c r="BD10" s="1208"/>
      <c r="BE10" s="1213"/>
      <c r="BM10" s="1204" t="s">
        <v>2367</v>
      </c>
    </row>
    <row r="11" spans="1:65" ht="15">
      <c r="A11" s="1207"/>
      <c r="B11" s="1209" t="s">
        <v>2366</v>
      </c>
      <c r="C11" s="1209"/>
      <c r="D11" s="1209"/>
      <c r="E11" s="1209"/>
      <c r="F11" s="1209"/>
      <c r="G11" s="1209"/>
      <c r="H11" s="1209"/>
      <c r="I11" s="1209"/>
      <c r="J11" s="1209"/>
      <c r="K11" s="1209"/>
      <c r="L11" s="1209"/>
      <c r="M11" s="1208"/>
      <c r="N11" s="1916">
        <f>Application!AA943</f>
        <v>0</v>
      </c>
      <c r="O11" s="1916"/>
      <c r="P11" s="1916"/>
      <c r="Q11" s="1916"/>
      <c r="R11" s="1916"/>
      <c r="S11" s="1916"/>
      <c r="T11" s="1916"/>
      <c r="U11" s="1208"/>
      <c r="V11" s="1208"/>
      <c r="W11" s="1208"/>
      <c r="X11" s="1214"/>
      <c r="Y11" s="1214"/>
      <c r="Z11" s="1214"/>
      <c r="AA11" s="1214"/>
      <c r="AB11" s="1214"/>
      <c r="AC11" s="1214"/>
      <c r="AD11" s="1214"/>
      <c r="AE11" s="1214"/>
      <c r="AF11" s="1898" t="s">
        <v>2365</v>
      </c>
      <c r="AG11" s="1898"/>
      <c r="AH11" s="1898"/>
      <c r="AI11" s="1898"/>
      <c r="AJ11" s="1898"/>
      <c r="AK11" s="1898"/>
      <c r="AL11" s="1898"/>
      <c r="AM11" s="1898"/>
      <c r="AN11" s="1898"/>
      <c r="AO11" s="1898"/>
      <c r="AP11" s="1899"/>
      <c r="AQ11" s="1900"/>
      <c r="AR11" s="1900"/>
      <c r="AS11" s="1900"/>
      <c r="AT11" s="1900"/>
      <c r="AU11" s="1900"/>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2364</v>
      </c>
    </row>
    <row r="13" spans="1:65" thickBot="1">
      <c r="A13" s="1208"/>
      <c r="B13" s="1904" t="s">
        <v>2363</v>
      </c>
      <c r="C13" s="1905"/>
      <c r="D13" s="1905"/>
      <c r="E13" s="1905"/>
      <c r="F13" s="1905"/>
      <c r="G13" s="1905"/>
      <c r="H13" s="1905"/>
      <c r="I13" s="1905"/>
      <c r="J13" s="1905"/>
      <c r="K13" s="1905"/>
      <c r="L13" s="1905"/>
      <c r="M13" s="1905"/>
      <c r="N13" s="1905"/>
      <c r="O13" s="1905"/>
      <c r="P13" s="1906"/>
      <c r="Q13" s="1907"/>
      <c r="R13" s="1908"/>
      <c r="S13" s="1908"/>
      <c r="T13" s="1909"/>
      <c r="U13" s="1214"/>
      <c r="V13" s="1208"/>
      <c r="W13" s="1208"/>
      <c r="X13" s="1208"/>
      <c r="Y13" s="1208"/>
      <c r="Z13" s="1208"/>
      <c r="AA13" s="1910" t="s">
        <v>2362</v>
      </c>
      <c r="AB13" s="1910"/>
      <c r="AC13" s="1910"/>
      <c r="AD13" s="1910"/>
      <c r="AE13" s="1910"/>
      <c r="AF13" s="1910"/>
      <c r="AG13" s="1910"/>
      <c r="AH13" s="1910"/>
      <c r="AI13" s="1910"/>
      <c r="AJ13" s="1910"/>
      <c r="AK13" s="1910"/>
      <c r="AL13" s="1910"/>
      <c r="AM13" s="1910"/>
      <c r="AN13" s="1910"/>
      <c r="AO13" s="1911">
        <f>Application!W481</f>
        <v>15</v>
      </c>
      <c r="AP13" s="1912"/>
      <c r="AQ13" s="1912"/>
      <c r="AR13" s="1912"/>
      <c r="AS13" s="1912"/>
      <c r="AT13" s="1214"/>
      <c r="AU13" s="1214"/>
      <c r="AV13" s="1214"/>
      <c r="AW13" s="1214"/>
      <c r="AX13" s="1214"/>
      <c r="AY13" s="1214"/>
      <c r="AZ13" s="1214"/>
      <c r="BA13" s="1214"/>
      <c r="BB13" s="1214"/>
      <c r="BC13" s="1214"/>
      <c r="BD13" s="1214"/>
      <c r="BE13" s="1215"/>
      <c r="BM13" s="1204" t="s">
        <v>2361</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3" t="s">
        <v>2360</v>
      </c>
      <c r="AB14" s="1913"/>
      <c r="AC14" s="1913"/>
      <c r="AD14" s="1913"/>
      <c r="AE14" s="1913"/>
      <c r="AF14" s="1913"/>
      <c r="AG14" s="1913"/>
      <c r="AH14" s="1913"/>
      <c r="AI14" s="1913"/>
      <c r="AJ14" s="1913"/>
      <c r="AK14" s="1913"/>
      <c r="AL14" s="1913"/>
      <c r="AM14" s="1913"/>
      <c r="AN14" s="1913"/>
      <c r="AO14" s="1914"/>
      <c r="AP14" s="1915"/>
      <c r="AQ14" s="1915"/>
      <c r="AR14" s="1915"/>
      <c r="AS14" s="1915"/>
      <c r="AT14" s="1214"/>
      <c r="AU14" s="1214"/>
      <c r="AV14" s="1214"/>
      <c r="AW14" s="1214"/>
      <c r="AX14" s="1214"/>
      <c r="AY14" s="1214"/>
      <c r="AZ14" s="1214"/>
      <c r="BA14" s="1214"/>
      <c r="BB14" s="1214"/>
      <c r="BC14" s="1214"/>
      <c r="BD14" s="1214"/>
      <c r="BE14" s="1215"/>
    </row>
    <row r="15" spans="1:65" thickBot="1">
      <c r="A15" s="1208"/>
      <c r="B15" s="1917" t="s">
        <v>2359</v>
      </c>
      <c r="C15" s="1918"/>
      <c r="D15" s="1918"/>
      <c r="E15" s="1918"/>
      <c r="F15" s="1918"/>
      <c r="G15" s="1918"/>
      <c r="H15" s="1918"/>
      <c r="I15" s="1918"/>
      <c r="J15" s="1918"/>
      <c r="K15" s="1918"/>
      <c r="L15" s="1918"/>
      <c r="M15" s="1918"/>
      <c r="N15" s="1918"/>
      <c r="O15" s="1918"/>
      <c r="P15" s="1918"/>
      <c r="Q15" s="1918"/>
      <c r="R15" s="1919"/>
      <c r="S15" s="1920" t="str">
        <f>IF(Application!AB215="","",Application!AB215)</f>
        <v/>
      </c>
      <c r="T15" s="1920"/>
      <c r="U15" s="1920"/>
      <c r="V15" s="1920"/>
      <c r="W15" s="1921"/>
      <c r="X15" s="1214"/>
      <c r="Y15" s="1208"/>
      <c r="Z15" s="1208"/>
      <c r="AA15" s="1910" t="s">
        <v>2358</v>
      </c>
      <c r="AB15" s="1910"/>
      <c r="AC15" s="1910"/>
      <c r="AD15" s="1910"/>
      <c r="AE15" s="1910"/>
      <c r="AF15" s="1910"/>
      <c r="AG15" s="1910"/>
      <c r="AH15" s="1910"/>
      <c r="AI15" s="1910"/>
      <c r="AJ15" s="1910"/>
      <c r="AK15" s="1910"/>
      <c r="AL15" s="1910"/>
      <c r="AM15" s="1910"/>
      <c r="AN15" s="1910"/>
      <c r="AO15" s="1914"/>
      <c r="AP15" s="1915"/>
      <c r="AQ15" s="1915"/>
      <c r="AR15" s="1915"/>
      <c r="AS15" s="1915"/>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2" t="s">
        <v>2357</v>
      </c>
      <c r="C17" s="1923"/>
      <c r="D17" s="1923"/>
      <c r="E17" s="1923"/>
      <c r="F17" s="1923"/>
      <c r="G17" s="1923"/>
      <c r="H17" s="1923"/>
      <c r="I17" s="1923"/>
      <c r="J17" s="1923"/>
      <c r="K17" s="1923"/>
      <c r="L17" s="1923"/>
      <c r="M17" s="1923"/>
      <c r="N17" s="1923"/>
      <c r="O17" s="1923"/>
      <c r="P17" s="1923"/>
      <c r="Q17" s="1923"/>
      <c r="R17" s="1923"/>
      <c r="S17" s="1923"/>
      <c r="T17" s="1923"/>
      <c r="U17" s="1923"/>
      <c r="V17" s="1923"/>
      <c r="W17" s="1923"/>
      <c r="X17" s="1923"/>
      <c r="Y17" s="1923"/>
      <c r="Z17" s="1923"/>
      <c r="AA17" s="1923"/>
      <c r="AB17" s="1923"/>
      <c r="AC17" s="1923"/>
      <c r="AD17" s="1923"/>
      <c r="AE17" s="1923"/>
      <c r="AF17" s="1923"/>
      <c r="AG17" s="1923"/>
      <c r="AH17" s="1923"/>
      <c r="AI17" s="1923"/>
      <c r="AJ17" s="1923"/>
      <c r="AK17" s="1923"/>
      <c r="AL17" s="1923"/>
      <c r="AM17" s="1923"/>
      <c r="AN17" s="1923"/>
      <c r="AO17" s="1923"/>
      <c r="AP17" s="1923"/>
      <c r="AQ17" s="1923"/>
      <c r="AR17" s="1923"/>
      <c r="AS17" s="1923"/>
      <c r="AT17" s="1923"/>
      <c r="AU17" s="1923"/>
      <c r="AV17" s="1923"/>
      <c r="AW17" s="1923"/>
      <c r="AX17" s="1923"/>
      <c r="AY17" s="1924"/>
      <c r="AZ17" s="1208"/>
      <c r="BA17" s="1208"/>
      <c r="BB17" s="1208"/>
      <c r="BC17" s="1208"/>
      <c r="BD17" s="1208"/>
      <c r="BE17" s="1215"/>
      <c r="BF17" s="1206"/>
    </row>
    <row r="18" spans="1:58" ht="15.75" customHeight="1">
      <c r="A18" s="1208"/>
      <c r="B18" s="1925" t="s">
        <v>2356</v>
      </c>
      <c r="C18" s="1926"/>
      <c r="D18" s="1926"/>
      <c r="E18" s="1926"/>
      <c r="F18" s="1926"/>
      <c r="G18" s="1926"/>
      <c r="H18" s="1926"/>
      <c r="I18" s="1927"/>
      <c r="J18" s="1928" t="s">
        <v>1575</v>
      </c>
      <c r="K18" s="1929"/>
      <c r="L18" s="1929"/>
      <c r="M18" s="1929"/>
      <c r="N18" s="1929"/>
      <c r="O18" s="1930"/>
      <c r="P18" s="1928" t="s">
        <v>324</v>
      </c>
      <c r="Q18" s="1929"/>
      <c r="R18" s="1929"/>
      <c r="S18" s="1929"/>
      <c r="T18" s="1929"/>
      <c r="U18" s="1930"/>
      <c r="V18" s="1928" t="s">
        <v>325</v>
      </c>
      <c r="W18" s="1929"/>
      <c r="X18" s="1929"/>
      <c r="Y18" s="1929"/>
      <c r="Z18" s="1929"/>
      <c r="AA18" s="1930"/>
      <c r="AB18" s="1928" t="s">
        <v>163</v>
      </c>
      <c r="AC18" s="1929"/>
      <c r="AD18" s="1929"/>
      <c r="AE18" s="1929"/>
      <c r="AF18" s="1929"/>
      <c r="AG18" s="1930"/>
      <c r="AH18" s="1928" t="s">
        <v>164</v>
      </c>
      <c r="AI18" s="1929"/>
      <c r="AJ18" s="1929"/>
      <c r="AK18" s="1929"/>
      <c r="AL18" s="1929"/>
      <c r="AM18" s="1930"/>
      <c r="AN18" s="1928" t="s">
        <v>165</v>
      </c>
      <c r="AO18" s="1929"/>
      <c r="AP18" s="1929"/>
      <c r="AQ18" s="1929"/>
      <c r="AR18" s="1929"/>
      <c r="AS18" s="1930"/>
      <c r="AT18" s="1928" t="s">
        <v>2355</v>
      </c>
      <c r="AU18" s="1929"/>
      <c r="AV18" s="1929"/>
      <c r="AW18" s="1929"/>
      <c r="AX18" s="1929"/>
      <c r="AY18" s="1931"/>
      <c r="AZ18" s="1208"/>
      <c r="BA18" s="1208"/>
      <c r="BB18" s="1208"/>
      <c r="BC18" s="1208"/>
      <c r="BD18" s="1208"/>
      <c r="BE18" s="1215"/>
    </row>
    <row r="19" spans="1:58" ht="15">
      <c r="A19" s="1208"/>
      <c r="B19" s="1932">
        <v>0.3</v>
      </c>
      <c r="C19" s="1933"/>
      <c r="D19" s="1933"/>
      <c r="E19" s="1933"/>
      <c r="F19" s="1933"/>
      <c r="G19" s="1933"/>
      <c r="H19" s="1933"/>
      <c r="I19" s="1934"/>
      <c r="J19" s="1935">
        <f t="shared" ref="J19:J24" si="0">SUM(P19:AS19)</f>
        <v>10</v>
      </c>
      <c r="K19" s="1936"/>
      <c r="L19" s="1936"/>
      <c r="M19" s="1936"/>
      <c r="N19" s="1936"/>
      <c r="O19" s="1937"/>
      <c r="P19" s="1935" cm="1">
        <f t="array" ref="P19">SUMPRODUCT((Application!$B$726:$B$760 = 'CalHFA Addendum'!P$18)*(Application!$AC$726:$AC$760 = 'CalHFA Addendum'!$B19),Application!$G$726:$G$760)</f>
        <v>3</v>
      </c>
      <c r="Q19" s="1936"/>
      <c r="R19" s="1936"/>
      <c r="S19" s="1936"/>
      <c r="T19" s="1936"/>
      <c r="U19" s="1937"/>
      <c r="V19" s="1935" cm="1">
        <f t="array" ref="V19">SUMPRODUCT((Application!$B$726:$B$760 = 'CalHFA Addendum'!V$18)*(Application!$AC$726:$AC$760 = 'CalHFA Addendum'!$B19),Application!$G$726:$G$760)</f>
        <v>5</v>
      </c>
      <c r="W19" s="1936"/>
      <c r="X19" s="1936"/>
      <c r="Y19" s="1936"/>
      <c r="Z19" s="1936"/>
      <c r="AA19" s="1937"/>
      <c r="AB19" s="1935" cm="1">
        <f t="array" ref="AB19">SUMPRODUCT((Application!$B$726:$B$760 = 'CalHFA Addendum'!AB$18)*(Application!$AC$726:$AC$760 = 'CalHFA Addendum'!$B19),Application!$G$726:$G$760)</f>
        <v>1</v>
      </c>
      <c r="AC19" s="1936"/>
      <c r="AD19" s="1936"/>
      <c r="AE19" s="1936"/>
      <c r="AF19" s="1936"/>
      <c r="AG19" s="1937"/>
      <c r="AH19" s="1935" cm="1">
        <f t="array" ref="AH19">SUMPRODUCT((Application!$B$726:$B$760 = 'CalHFA Addendum'!AH$18)*(Application!$AC$726:$AC$760 = 'CalHFA Addendum'!$B19),Application!$G$726:$G$760)</f>
        <v>1</v>
      </c>
      <c r="AI19" s="1936"/>
      <c r="AJ19" s="1936"/>
      <c r="AK19" s="1936"/>
      <c r="AL19" s="1936"/>
      <c r="AM19" s="1937"/>
      <c r="AN19" s="1935" cm="1">
        <f t="array" ref="AN19">SUMPRODUCT((Application!$B$726:$B$760 = 'CalHFA Addendum'!AN$18)*(Application!$AC$726:$AC$760 = 'CalHFA Addendum'!$B19),Application!$G$726:$G$760)</f>
        <v>0</v>
      </c>
      <c r="AO19" s="1936"/>
      <c r="AP19" s="1936"/>
      <c r="AQ19" s="1936"/>
      <c r="AR19" s="1936"/>
      <c r="AS19" s="1937"/>
      <c r="AT19" s="1938">
        <f>J19/$J$29</f>
        <v>0.16949152542372881</v>
      </c>
      <c r="AU19" s="1939"/>
      <c r="AV19" s="1939"/>
      <c r="AW19" s="1939"/>
      <c r="AX19" s="1939"/>
      <c r="AY19" s="1940"/>
      <c r="AZ19" s="1216"/>
      <c r="BA19" s="1208"/>
      <c r="BB19" s="1208"/>
      <c r="BC19" s="1208"/>
      <c r="BD19" s="1208"/>
      <c r="BE19" s="1215"/>
    </row>
    <row r="20" spans="1:58" ht="15" customHeight="1">
      <c r="A20" s="1208"/>
      <c r="B20" s="1932">
        <v>0.4</v>
      </c>
      <c r="C20" s="1933"/>
      <c r="D20" s="1933"/>
      <c r="E20" s="1933"/>
      <c r="F20" s="1933"/>
      <c r="G20" s="1933"/>
      <c r="H20" s="1933"/>
      <c r="I20" s="1934"/>
      <c r="J20" s="1935">
        <f t="shared" si="0"/>
        <v>0</v>
      </c>
      <c r="K20" s="1936"/>
      <c r="L20" s="1936"/>
      <c r="M20" s="1936"/>
      <c r="N20" s="1936"/>
      <c r="O20" s="1937"/>
      <c r="P20" s="1935" cm="1">
        <f t="array" ref="P20">SUMPRODUCT((Application!$B$726:$B$760 = 'CalHFA Addendum'!P$18)*(Application!$AC$726:$AC$760 = 'CalHFA Addendum'!$B20),Application!$G$726:$G$760)</f>
        <v>0</v>
      </c>
      <c r="Q20" s="1936"/>
      <c r="R20" s="1936"/>
      <c r="S20" s="1936"/>
      <c r="T20" s="1936"/>
      <c r="U20" s="1937"/>
      <c r="V20" s="1935" cm="1">
        <f t="array" ref="V20">SUMPRODUCT((Application!$B$726:$B$760 = 'CalHFA Addendum'!V$18)*(Application!$AC$726:$AC$760 = 'CalHFA Addendum'!$B20),Application!$G$726:$G$760)</f>
        <v>0</v>
      </c>
      <c r="W20" s="1936"/>
      <c r="X20" s="1936"/>
      <c r="Y20" s="1936"/>
      <c r="Z20" s="1936"/>
      <c r="AA20" s="1937"/>
      <c r="AB20" s="1935" cm="1">
        <f t="array" ref="AB20">SUMPRODUCT((Application!$B$726:$B$760 = 'CalHFA Addendum'!AB$18)*(Application!$AC$726:$AC$760 = 'CalHFA Addendum'!$B20),Application!$G$726:$G$760)</f>
        <v>0</v>
      </c>
      <c r="AC20" s="1936"/>
      <c r="AD20" s="1936"/>
      <c r="AE20" s="1936"/>
      <c r="AF20" s="1936"/>
      <c r="AG20" s="1937"/>
      <c r="AH20" s="1935" cm="1">
        <f t="array" ref="AH20">SUMPRODUCT((Application!$B$726:$B$760 = 'CalHFA Addendum'!AH$18)*(Application!$AC$726:$AC$760 = 'CalHFA Addendum'!$B20),Application!$G$726:$G$760)</f>
        <v>0</v>
      </c>
      <c r="AI20" s="1936"/>
      <c r="AJ20" s="1936"/>
      <c r="AK20" s="1936"/>
      <c r="AL20" s="1936"/>
      <c r="AM20" s="1937"/>
      <c r="AN20" s="1935" cm="1">
        <f t="array" ref="AN20">SUMPRODUCT((Application!$B$726:$B$760 = 'CalHFA Addendum'!AN$18)*(Application!$AC$726:$AC$760 = 'CalHFA Addendum'!$B20),Application!$G$726:$G$760)</f>
        <v>0</v>
      </c>
      <c r="AO20" s="1936"/>
      <c r="AP20" s="1936"/>
      <c r="AQ20" s="1936"/>
      <c r="AR20" s="1936"/>
      <c r="AS20" s="1937"/>
      <c r="AT20" s="1938">
        <f t="shared" ref="AT20:AT29" si="1">J20/$J$29</f>
        <v>0</v>
      </c>
      <c r="AU20" s="1939"/>
      <c r="AV20" s="1939"/>
      <c r="AW20" s="1939"/>
      <c r="AX20" s="1939"/>
      <c r="AY20" s="1940"/>
      <c r="AZ20" s="1208"/>
      <c r="BA20" s="1208"/>
      <c r="BB20" s="1208"/>
      <c r="BC20" s="1208"/>
      <c r="BD20" s="1208"/>
      <c r="BE20" s="1215"/>
    </row>
    <row r="21" spans="1:58" ht="15">
      <c r="A21" s="1208"/>
      <c r="B21" s="1932">
        <v>0.5</v>
      </c>
      <c r="C21" s="1933"/>
      <c r="D21" s="1933"/>
      <c r="E21" s="1933"/>
      <c r="F21" s="1933"/>
      <c r="G21" s="1933"/>
      <c r="H21" s="1933"/>
      <c r="I21" s="1934"/>
      <c r="J21" s="1935">
        <f t="shared" si="0"/>
        <v>9</v>
      </c>
      <c r="K21" s="1936"/>
      <c r="L21" s="1936"/>
      <c r="M21" s="1936"/>
      <c r="N21" s="1936"/>
      <c r="O21" s="1937"/>
      <c r="P21" s="1935" cm="1">
        <f t="array" ref="P21">SUMPRODUCT((Application!$B$726:$B$760 = 'CalHFA Addendum'!P$18)*(Application!$AC$726:$AC$760 = 'CalHFA Addendum'!$B21),Application!$G$726:$G$760)</f>
        <v>1</v>
      </c>
      <c r="Q21" s="1936"/>
      <c r="R21" s="1936"/>
      <c r="S21" s="1936"/>
      <c r="T21" s="1936"/>
      <c r="U21" s="1937"/>
      <c r="V21" s="1935" cm="1">
        <f t="array" ref="V21">SUMPRODUCT((Application!$B$726:$B$760 = 'CalHFA Addendum'!V$18)*(Application!$AC$726:$AC$760 = 'CalHFA Addendum'!$B21),Application!$G$726:$G$760)</f>
        <v>6</v>
      </c>
      <c r="W21" s="1936"/>
      <c r="X21" s="1936"/>
      <c r="Y21" s="1936"/>
      <c r="Z21" s="1936"/>
      <c r="AA21" s="1937"/>
      <c r="AB21" s="1935" cm="1">
        <f t="array" ref="AB21">SUMPRODUCT((Application!$B$726:$B$760 = 'CalHFA Addendum'!AB$18)*(Application!$AC$726:$AC$760 = 'CalHFA Addendum'!$B21),Application!$G$726:$G$760)</f>
        <v>1</v>
      </c>
      <c r="AC21" s="1936"/>
      <c r="AD21" s="1936"/>
      <c r="AE21" s="1936"/>
      <c r="AF21" s="1936"/>
      <c r="AG21" s="1937"/>
      <c r="AH21" s="1935" cm="1">
        <f t="array" ref="AH21">SUMPRODUCT((Application!$B$726:$B$760 = 'CalHFA Addendum'!AH$18)*(Application!$AC$726:$AC$760 = 'CalHFA Addendum'!$B21),Application!$G$726:$G$760)</f>
        <v>1</v>
      </c>
      <c r="AI21" s="1936"/>
      <c r="AJ21" s="1936"/>
      <c r="AK21" s="1936"/>
      <c r="AL21" s="1936"/>
      <c r="AM21" s="1937"/>
      <c r="AN21" s="1935" cm="1">
        <f t="array" ref="AN21">SUMPRODUCT((Application!$B$726:$B$760 = 'CalHFA Addendum'!AN$18)*(Application!$AC$726:$AC$760 = 'CalHFA Addendum'!$B21),Application!$G$726:$G$760)</f>
        <v>0</v>
      </c>
      <c r="AO21" s="1936"/>
      <c r="AP21" s="1936"/>
      <c r="AQ21" s="1936"/>
      <c r="AR21" s="1936"/>
      <c r="AS21" s="1937"/>
      <c r="AT21" s="1938">
        <f t="shared" si="1"/>
        <v>0.15254237288135594</v>
      </c>
      <c r="AU21" s="1939"/>
      <c r="AV21" s="1939"/>
      <c r="AW21" s="1939"/>
      <c r="AX21" s="1939"/>
      <c r="AY21" s="1940"/>
      <c r="AZ21" s="1208"/>
      <c r="BA21" s="1208"/>
      <c r="BB21" s="1208"/>
      <c r="BC21" s="1208"/>
      <c r="BD21" s="1208"/>
      <c r="BE21" s="1215"/>
    </row>
    <row r="22" spans="1:58" ht="15">
      <c r="A22" s="1208"/>
      <c r="B22" s="1932">
        <v>0.6</v>
      </c>
      <c r="C22" s="1933"/>
      <c r="D22" s="1933"/>
      <c r="E22" s="1933"/>
      <c r="F22" s="1933"/>
      <c r="G22" s="1933"/>
      <c r="H22" s="1933"/>
      <c r="I22" s="1934"/>
      <c r="J22" s="1935">
        <f t="shared" si="0"/>
        <v>0</v>
      </c>
      <c r="K22" s="1936"/>
      <c r="L22" s="1936"/>
      <c r="M22" s="1936"/>
      <c r="N22" s="1936"/>
      <c r="O22" s="1937"/>
      <c r="P22" s="1935" cm="1">
        <f t="array" ref="P22">SUMPRODUCT((Application!$B$726:$B$760 = 'CalHFA Addendum'!P$18)*(Application!$AC$726:$AC$760 = 'CalHFA Addendum'!$B22),Application!$G$726:$G$760)</f>
        <v>0</v>
      </c>
      <c r="Q22" s="1936"/>
      <c r="R22" s="1936"/>
      <c r="S22" s="1936"/>
      <c r="T22" s="1936"/>
      <c r="U22" s="1937"/>
      <c r="V22" s="1935" cm="1">
        <f t="array" ref="V22">SUMPRODUCT((Application!$B$726:$B$760 = 'CalHFA Addendum'!V$18)*(Application!$AC$726:$AC$760 = 'CalHFA Addendum'!$B22),Application!$G$726:$G$760)</f>
        <v>0</v>
      </c>
      <c r="W22" s="1936"/>
      <c r="X22" s="1936"/>
      <c r="Y22" s="1936"/>
      <c r="Z22" s="1936"/>
      <c r="AA22" s="1937"/>
      <c r="AB22" s="1935" cm="1">
        <f t="array" ref="AB22">SUMPRODUCT((Application!$B$726:$B$760 = 'CalHFA Addendum'!AB$18)*(Application!$AC$726:$AC$760 = 'CalHFA Addendum'!$B22),Application!$G$726:$G$760)</f>
        <v>0</v>
      </c>
      <c r="AC22" s="1936"/>
      <c r="AD22" s="1936"/>
      <c r="AE22" s="1936"/>
      <c r="AF22" s="1936"/>
      <c r="AG22" s="1937"/>
      <c r="AH22" s="1935" cm="1">
        <f t="array" ref="AH22">SUMPRODUCT((Application!$B$726:$B$760 = 'CalHFA Addendum'!AH$18)*(Application!$AC$726:$AC$760 = 'CalHFA Addendum'!$B22),Application!$G$726:$G$760)</f>
        <v>0</v>
      </c>
      <c r="AI22" s="1936"/>
      <c r="AJ22" s="1936"/>
      <c r="AK22" s="1936"/>
      <c r="AL22" s="1936"/>
      <c r="AM22" s="1937"/>
      <c r="AN22" s="1935" cm="1">
        <f t="array" ref="AN22">SUMPRODUCT((Application!$B$726:$B$760 = 'CalHFA Addendum'!AN$18)*(Application!$AC$726:$AC$760 = 'CalHFA Addendum'!$B22),Application!$G$726:$G$760)</f>
        <v>0</v>
      </c>
      <c r="AO22" s="1936"/>
      <c r="AP22" s="1936"/>
      <c r="AQ22" s="1936"/>
      <c r="AR22" s="1936"/>
      <c r="AS22" s="1937"/>
      <c r="AT22" s="1938">
        <f t="shared" si="1"/>
        <v>0</v>
      </c>
      <c r="AU22" s="1939"/>
      <c r="AV22" s="1939"/>
      <c r="AW22" s="1939"/>
      <c r="AX22" s="1939"/>
      <c r="AY22" s="1940"/>
      <c r="AZ22" s="1208"/>
      <c r="BA22" s="1208"/>
      <c r="BB22" s="1208"/>
      <c r="BC22" s="1208"/>
      <c r="BD22" s="1208"/>
      <c r="BE22" s="1215"/>
    </row>
    <row r="23" spans="1:58" ht="15">
      <c r="A23" s="1208"/>
      <c r="B23" s="1932">
        <v>0.7</v>
      </c>
      <c r="C23" s="1933"/>
      <c r="D23" s="1933"/>
      <c r="E23" s="1933"/>
      <c r="F23" s="1933"/>
      <c r="G23" s="1933"/>
      <c r="H23" s="1933"/>
      <c r="I23" s="1934"/>
      <c r="J23" s="1935">
        <f t="shared" si="0"/>
        <v>39</v>
      </c>
      <c r="K23" s="1936"/>
      <c r="L23" s="1936"/>
      <c r="M23" s="1936"/>
      <c r="N23" s="1936"/>
      <c r="O23" s="1937"/>
      <c r="P23" s="1935" cm="1">
        <f t="array" ref="P23">SUMPRODUCT((Application!$B$726:$B$760 = 'CalHFA Addendum'!P$18)*(Application!$AC$726:$AC$760 = 'CalHFA Addendum'!$B23),Application!$G$726:$G$760)</f>
        <v>3</v>
      </c>
      <c r="Q23" s="1936"/>
      <c r="R23" s="1936"/>
      <c r="S23" s="1936"/>
      <c r="T23" s="1936"/>
      <c r="U23" s="1937"/>
      <c r="V23" s="1935" cm="1">
        <f t="array" ref="V23">SUMPRODUCT((Application!$B$726:$B$760 = 'CalHFA Addendum'!V$18)*(Application!$AC$726:$AC$760 = 'CalHFA Addendum'!$B23),Application!$G$726:$G$760)</f>
        <v>26</v>
      </c>
      <c r="W23" s="1936"/>
      <c r="X23" s="1936"/>
      <c r="Y23" s="1936"/>
      <c r="Z23" s="1936"/>
      <c r="AA23" s="1937"/>
      <c r="AB23" s="1935" cm="1">
        <f t="array" ref="AB23">SUMPRODUCT((Application!$B$726:$B$760 = 'CalHFA Addendum'!AB$18)*(Application!$AC$726:$AC$760 = 'CalHFA Addendum'!$B23),Application!$G$726:$G$760)</f>
        <v>5</v>
      </c>
      <c r="AC23" s="1936"/>
      <c r="AD23" s="1936"/>
      <c r="AE23" s="1936"/>
      <c r="AF23" s="1936"/>
      <c r="AG23" s="1937"/>
      <c r="AH23" s="1935" cm="1">
        <f t="array" ref="AH23">SUMPRODUCT((Application!$B$726:$B$760 = 'CalHFA Addendum'!AH$18)*(Application!$AC$726:$AC$760 = 'CalHFA Addendum'!$B23),Application!$G$726:$G$760)</f>
        <v>5</v>
      </c>
      <c r="AI23" s="1936"/>
      <c r="AJ23" s="1936"/>
      <c r="AK23" s="1936"/>
      <c r="AL23" s="1936"/>
      <c r="AM23" s="1937"/>
      <c r="AN23" s="1935" cm="1">
        <f t="array" ref="AN23">SUMPRODUCT((Application!$B$726:$B$760 = 'CalHFA Addendum'!AN$18)*(Application!$AC$726:$AC$760 = 'CalHFA Addendum'!$B23),Application!$G$726:$G$760)</f>
        <v>0</v>
      </c>
      <c r="AO23" s="1936"/>
      <c r="AP23" s="1936"/>
      <c r="AQ23" s="1936"/>
      <c r="AR23" s="1936"/>
      <c r="AS23" s="1937"/>
      <c r="AT23" s="1938">
        <f t="shared" si="1"/>
        <v>0.66101694915254239</v>
      </c>
      <c r="AU23" s="1939"/>
      <c r="AV23" s="1939"/>
      <c r="AW23" s="1939"/>
      <c r="AX23" s="1939"/>
      <c r="AY23" s="1940"/>
      <c r="AZ23" s="1208"/>
      <c r="BA23" s="1208"/>
      <c r="BB23" s="1208"/>
      <c r="BC23" s="1208"/>
      <c r="BD23" s="1208"/>
      <c r="BE23" s="1215"/>
    </row>
    <row r="24" spans="1:58" ht="15">
      <c r="A24" s="1208"/>
      <c r="B24" s="1932">
        <v>0.8</v>
      </c>
      <c r="C24" s="1933"/>
      <c r="D24" s="1933"/>
      <c r="E24" s="1933"/>
      <c r="F24" s="1933"/>
      <c r="G24" s="1933"/>
      <c r="H24" s="1933"/>
      <c r="I24" s="1934"/>
      <c r="J24" s="1935">
        <f t="shared" si="0"/>
        <v>0</v>
      </c>
      <c r="K24" s="1936"/>
      <c r="L24" s="1936"/>
      <c r="M24" s="1936"/>
      <c r="N24" s="1936"/>
      <c r="O24" s="1937"/>
      <c r="P24" s="1935" cm="1">
        <f t="array" ref="P24">SUMPRODUCT((Application!$B$726:$B$760 = 'CalHFA Addendum'!P$18)*(Application!$AC$726:$AC$760 = 'CalHFA Addendum'!$B24),Application!$G$726:$G$760)</f>
        <v>0</v>
      </c>
      <c r="Q24" s="1936"/>
      <c r="R24" s="1936"/>
      <c r="S24" s="1936"/>
      <c r="T24" s="1936"/>
      <c r="U24" s="1937"/>
      <c r="V24" s="1935" cm="1">
        <f t="array" ref="V24">SUMPRODUCT((Application!$B$726:$B$760 = 'CalHFA Addendum'!V$18)*(Application!$AC$726:$AC$760 = 'CalHFA Addendum'!$B24),Application!$G$726:$G$760)</f>
        <v>0</v>
      </c>
      <c r="W24" s="1936"/>
      <c r="X24" s="1936"/>
      <c r="Y24" s="1936"/>
      <c r="Z24" s="1936"/>
      <c r="AA24" s="1937"/>
      <c r="AB24" s="1935" cm="1">
        <f t="array" ref="AB24">SUMPRODUCT((Application!$B$726:$B$760 = 'CalHFA Addendum'!AB$18)*(Application!$AC$726:$AC$760 = 'CalHFA Addendum'!$B24),Application!$G$726:$G$760)</f>
        <v>0</v>
      </c>
      <c r="AC24" s="1936"/>
      <c r="AD24" s="1936"/>
      <c r="AE24" s="1936"/>
      <c r="AF24" s="1936"/>
      <c r="AG24" s="1937"/>
      <c r="AH24" s="1935" cm="1">
        <f t="array" ref="AH24">SUMPRODUCT((Application!$B$726:$B$760 = 'CalHFA Addendum'!AH$18)*(Application!$AC$726:$AC$760 = 'CalHFA Addendum'!$B24),Application!$G$726:$G$760)</f>
        <v>0</v>
      </c>
      <c r="AI24" s="1936"/>
      <c r="AJ24" s="1936"/>
      <c r="AK24" s="1936"/>
      <c r="AL24" s="1936"/>
      <c r="AM24" s="1937"/>
      <c r="AN24" s="1935" cm="1">
        <f t="array" ref="AN24">SUMPRODUCT((Application!$B$726:$B$760 = 'CalHFA Addendum'!AN$18)*(Application!$AC$726:$AC$760 = 'CalHFA Addendum'!$B24),Application!$G$726:$G$760)</f>
        <v>0</v>
      </c>
      <c r="AO24" s="1936"/>
      <c r="AP24" s="1936"/>
      <c r="AQ24" s="1936"/>
      <c r="AR24" s="1936"/>
      <c r="AS24" s="1937"/>
      <c r="AT24" s="1938">
        <f t="shared" si="1"/>
        <v>0</v>
      </c>
      <c r="AU24" s="1939"/>
      <c r="AV24" s="1939"/>
      <c r="AW24" s="1939"/>
      <c r="AX24" s="1939"/>
      <c r="AY24" s="1940"/>
      <c r="AZ24" s="1208"/>
      <c r="BA24" s="1208"/>
      <c r="BB24" s="1208"/>
      <c r="BC24" s="1208"/>
      <c r="BD24" s="1208"/>
      <c r="BE24" s="1215"/>
    </row>
    <row r="25" spans="1:58" ht="15">
      <c r="A25" s="1208"/>
      <c r="B25" s="1932">
        <v>0.9</v>
      </c>
      <c r="C25" s="1933"/>
      <c r="D25" s="1933"/>
      <c r="E25" s="1933"/>
      <c r="F25" s="1933"/>
      <c r="G25" s="1933"/>
      <c r="H25" s="1933"/>
      <c r="I25" s="1934"/>
      <c r="J25" s="1941"/>
      <c r="K25" s="1942"/>
      <c r="L25" s="1942"/>
      <c r="M25" s="1942"/>
      <c r="N25" s="1942"/>
      <c r="O25" s="1943"/>
      <c r="P25" s="1941"/>
      <c r="Q25" s="1942"/>
      <c r="R25" s="1942"/>
      <c r="S25" s="1942"/>
      <c r="T25" s="1942"/>
      <c r="U25" s="1943"/>
      <c r="V25" s="1941"/>
      <c r="W25" s="1942"/>
      <c r="X25" s="1942"/>
      <c r="Y25" s="1942"/>
      <c r="Z25" s="1942"/>
      <c r="AA25" s="1943"/>
      <c r="AB25" s="1941"/>
      <c r="AC25" s="1942"/>
      <c r="AD25" s="1942"/>
      <c r="AE25" s="1942"/>
      <c r="AF25" s="1942"/>
      <c r="AG25" s="1943"/>
      <c r="AH25" s="1941"/>
      <c r="AI25" s="1942"/>
      <c r="AJ25" s="1942"/>
      <c r="AK25" s="1942"/>
      <c r="AL25" s="1942"/>
      <c r="AM25" s="1943"/>
      <c r="AN25" s="1941"/>
      <c r="AO25" s="1942"/>
      <c r="AP25" s="1942"/>
      <c r="AQ25" s="1942"/>
      <c r="AR25" s="1942"/>
      <c r="AS25" s="1943"/>
      <c r="AT25" s="1938">
        <f t="shared" si="1"/>
        <v>0</v>
      </c>
      <c r="AU25" s="1939"/>
      <c r="AV25" s="1939"/>
      <c r="AW25" s="1939"/>
      <c r="AX25" s="1939"/>
      <c r="AY25" s="1940"/>
      <c r="AZ25" s="1208"/>
      <c r="BA25" s="1208"/>
      <c r="BB25" s="1208"/>
      <c r="BC25" s="1208"/>
      <c r="BD25" s="1208"/>
      <c r="BE25" s="1215"/>
    </row>
    <row r="26" spans="1:58" ht="15">
      <c r="A26" s="1208"/>
      <c r="B26" s="1932">
        <v>1</v>
      </c>
      <c r="C26" s="1933"/>
      <c r="D26" s="1933"/>
      <c r="E26" s="1933"/>
      <c r="F26" s="1933"/>
      <c r="G26" s="1933"/>
      <c r="H26" s="1933"/>
      <c r="I26" s="1934"/>
      <c r="J26" s="1941"/>
      <c r="K26" s="1942"/>
      <c r="L26" s="1942"/>
      <c r="M26" s="1942"/>
      <c r="N26" s="1942"/>
      <c r="O26" s="1943"/>
      <c r="P26" s="1941"/>
      <c r="Q26" s="1942"/>
      <c r="R26" s="1942"/>
      <c r="S26" s="1942"/>
      <c r="T26" s="1942"/>
      <c r="U26" s="1943"/>
      <c r="V26" s="1941"/>
      <c r="W26" s="1942"/>
      <c r="X26" s="1942"/>
      <c r="Y26" s="1942"/>
      <c r="Z26" s="1942"/>
      <c r="AA26" s="1943"/>
      <c r="AB26" s="1941"/>
      <c r="AC26" s="1942"/>
      <c r="AD26" s="1942"/>
      <c r="AE26" s="1942"/>
      <c r="AF26" s="1942"/>
      <c r="AG26" s="1943"/>
      <c r="AH26" s="1941"/>
      <c r="AI26" s="1942"/>
      <c r="AJ26" s="1942"/>
      <c r="AK26" s="1942"/>
      <c r="AL26" s="1942"/>
      <c r="AM26" s="1943"/>
      <c r="AN26" s="1941"/>
      <c r="AO26" s="1942"/>
      <c r="AP26" s="1942"/>
      <c r="AQ26" s="1942"/>
      <c r="AR26" s="1942"/>
      <c r="AS26" s="1943"/>
      <c r="AT26" s="1938">
        <f t="shared" si="1"/>
        <v>0</v>
      </c>
      <c r="AU26" s="1939"/>
      <c r="AV26" s="1939"/>
      <c r="AW26" s="1939"/>
      <c r="AX26" s="1939"/>
      <c r="AY26" s="1940"/>
      <c r="AZ26" s="1208"/>
      <c r="BA26" s="1208"/>
      <c r="BB26" s="1208"/>
      <c r="BC26" s="1208"/>
      <c r="BD26" s="1208"/>
      <c r="BE26" s="1215"/>
    </row>
    <row r="27" spans="1:58" ht="15">
      <c r="A27" s="1208"/>
      <c r="B27" s="1932">
        <v>1.2</v>
      </c>
      <c r="C27" s="1933"/>
      <c r="D27" s="1933"/>
      <c r="E27" s="1933"/>
      <c r="F27" s="1933"/>
      <c r="G27" s="1933"/>
      <c r="H27" s="1933"/>
      <c r="I27" s="1934"/>
      <c r="J27" s="1941"/>
      <c r="K27" s="1942"/>
      <c r="L27" s="1942"/>
      <c r="M27" s="1942"/>
      <c r="N27" s="1942"/>
      <c r="O27" s="1943"/>
      <c r="P27" s="1941"/>
      <c r="Q27" s="1942"/>
      <c r="R27" s="1942"/>
      <c r="S27" s="1942"/>
      <c r="T27" s="1942"/>
      <c r="U27" s="1943"/>
      <c r="V27" s="1941"/>
      <c r="W27" s="1942"/>
      <c r="X27" s="1942"/>
      <c r="Y27" s="1942"/>
      <c r="Z27" s="1942"/>
      <c r="AA27" s="1943"/>
      <c r="AB27" s="1941"/>
      <c r="AC27" s="1942"/>
      <c r="AD27" s="1942"/>
      <c r="AE27" s="1942"/>
      <c r="AF27" s="1942"/>
      <c r="AG27" s="1943"/>
      <c r="AH27" s="1941"/>
      <c r="AI27" s="1942"/>
      <c r="AJ27" s="1942"/>
      <c r="AK27" s="1942"/>
      <c r="AL27" s="1942"/>
      <c r="AM27" s="1943"/>
      <c r="AN27" s="1941"/>
      <c r="AO27" s="1942"/>
      <c r="AP27" s="1942"/>
      <c r="AQ27" s="1942"/>
      <c r="AR27" s="1942"/>
      <c r="AS27" s="1943"/>
      <c r="AT27" s="1938">
        <f t="shared" si="1"/>
        <v>0</v>
      </c>
      <c r="AU27" s="1939"/>
      <c r="AV27" s="1939"/>
      <c r="AW27" s="1939"/>
      <c r="AX27" s="1939"/>
      <c r="AY27" s="1940"/>
      <c r="AZ27" s="1208"/>
      <c r="BA27" s="1208"/>
      <c r="BB27" s="1208"/>
      <c r="BC27" s="1208"/>
      <c r="BD27" s="1208"/>
      <c r="BE27" s="1215"/>
    </row>
    <row r="28" spans="1:58" thickBot="1">
      <c r="A28" s="1208"/>
      <c r="B28" s="1944" t="s">
        <v>2354</v>
      </c>
      <c r="C28" s="1945"/>
      <c r="D28" s="1945"/>
      <c r="E28" s="1945"/>
      <c r="F28" s="1945"/>
      <c r="G28" s="1945"/>
      <c r="H28" s="1945"/>
      <c r="I28" s="1946"/>
      <c r="J28" s="1947">
        <f>SUM(P28:AS28)</f>
        <v>1</v>
      </c>
      <c r="K28" s="1948"/>
      <c r="L28" s="1948"/>
      <c r="M28" s="1948"/>
      <c r="N28" s="1948"/>
      <c r="O28" s="1949"/>
      <c r="P28" s="1947">
        <f>_xlfn.IFNA(VLOOKUP(P$18,Application!$J$781:$S$784,6,FALSE), 0)</f>
        <v>0</v>
      </c>
      <c r="Q28" s="1948"/>
      <c r="R28" s="1948"/>
      <c r="S28" s="1948"/>
      <c r="T28" s="1948"/>
      <c r="U28" s="1949"/>
      <c r="V28" s="1947">
        <f>_xlfn.IFNA(VLOOKUP(V$18,Application!$J$781:$S$784,6,FALSE), 0)</f>
        <v>1</v>
      </c>
      <c r="W28" s="1948"/>
      <c r="X28" s="1948"/>
      <c r="Y28" s="1948"/>
      <c r="Z28" s="1948"/>
      <c r="AA28" s="1949"/>
      <c r="AB28" s="1947">
        <f>_xlfn.IFNA(VLOOKUP(AB$18,Application!$J$781:$S$784,6,FALSE), 0)</f>
        <v>0</v>
      </c>
      <c r="AC28" s="1948"/>
      <c r="AD28" s="1948"/>
      <c r="AE28" s="1948"/>
      <c r="AF28" s="1948"/>
      <c r="AG28" s="1949"/>
      <c r="AH28" s="1947">
        <f>_xlfn.IFNA(VLOOKUP(AH$18,Application!$J$781:$S$784,6,FALSE), 0)</f>
        <v>0</v>
      </c>
      <c r="AI28" s="1948"/>
      <c r="AJ28" s="1948"/>
      <c r="AK28" s="1948"/>
      <c r="AL28" s="1948"/>
      <c r="AM28" s="1949"/>
      <c r="AN28" s="1947">
        <f>_xlfn.IFNA(VLOOKUP(AN$18,Application!$J$781:$S$784,6,FALSE), 0)</f>
        <v>0</v>
      </c>
      <c r="AO28" s="1948"/>
      <c r="AP28" s="1948"/>
      <c r="AQ28" s="1948"/>
      <c r="AR28" s="1948"/>
      <c r="AS28" s="1949"/>
      <c r="AT28" s="1950">
        <f t="shared" si="1"/>
        <v>1.6949152542372881E-2</v>
      </c>
      <c r="AU28" s="1951"/>
      <c r="AV28" s="1951"/>
      <c r="AW28" s="1951"/>
      <c r="AX28" s="1951"/>
      <c r="AY28" s="1952"/>
      <c r="AZ28" s="1208"/>
      <c r="BA28" s="1208"/>
      <c r="BB28" s="1208"/>
      <c r="BC28" s="1208"/>
      <c r="BD28" s="1208"/>
      <c r="BE28" s="1215"/>
    </row>
    <row r="29" spans="1:58" thickBot="1">
      <c r="A29" s="1208"/>
      <c r="B29" s="1981" t="s">
        <v>1575</v>
      </c>
      <c r="C29" s="1954"/>
      <c r="D29" s="1954"/>
      <c r="E29" s="1954"/>
      <c r="F29" s="1954"/>
      <c r="G29" s="1954"/>
      <c r="H29" s="1954"/>
      <c r="I29" s="1955"/>
      <c r="J29" s="1953">
        <f>SUM(J19:O28)</f>
        <v>59</v>
      </c>
      <c r="K29" s="1954"/>
      <c r="L29" s="1954"/>
      <c r="M29" s="1954"/>
      <c r="N29" s="1954"/>
      <c r="O29" s="1955"/>
      <c r="P29" s="1953">
        <f>SUM(P19:U28)</f>
        <v>7</v>
      </c>
      <c r="Q29" s="1954"/>
      <c r="R29" s="1954"/>
      <c r="S29" s="1954"/>
      <c r="T29" s="1954"/>
      <c r="U29" s="1955"/>
      <c r="V29" s="1953">
        <f>SUM(V19:AA28)</f>
        <v>38</v>
      </c>
      <c r="W29" s="1954"/>
      <c r="X29" s="1954"/>
      <c r="Y29" s="1954"/>
      <c r="Z29" s="1954"/>
      <c r="AA29" s="1955"/>
      <c r="AB29" s="1953">
        <f>SUM(AB19:AG28)</f>
        <v>7</v>
      </c>
      <c r="AC29" s="1954"/>
      <c r="AD29" s="1954"/>
      <c r="AE29" s="1954"/>
      <c r="AF29" s="1954"/>
      <c r="AG29" s="1955"/>
      <c r="AH29" s="1953">
        <f>SUM(AH19:AM28)</f>
        <v>7</v>
      </c>
      <c r="AI29" s="1954"/>
      <c r="AJ29" s="1954"/>
      <c r="AK29" s="1954"/>
      <c r="AL29" s="1954"/>
      <c r="AM29" s="1955"/>
      <c r="AN29" s="1953">
        <f>SUM(AN19:AS28)</f>
        <v>0</v>
      </c>
      <c r="AO29" s="1954"/>
      <c r="AP29" s="1954"/>
      <c r="AQ29" s="1954"/>
      <c r="AR29" s="1954"/>
      <c r="AS29" s="1955"/>
      <c r="AT29" s="1956">
        <f t="shared" si="1"/>
        <v>1</v>
      </c>
      <c r="AU29" s="1957"/>
      <c r="AV29" s="1957"/>
      <c r="AW29" s="1957"/>
      <c r="AX29" s="1957"/>
      <c r="AY29" s="1958"/>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59" t="s">
        <v>2353</v>
      </c>
      <c r="C31" s="1960"/>
      <c r="D31" s="1960"/>
      <c r="E31" s="1960"/>
      <c r="F31" s="1960"/>
      <c r="G31" s="1960"/>
      <c r="H31" s="1960"/>
      <c r="I31" s="1960"/>
      <c r="J31" s="1960"/>
      <c r="K31" s="1960"/>
      <c r="L31" s="1960"/>
      <c r="M31" s="1960"/>
      <c r="N31" s="1960"/>
      <c r="O31" s="1960"/>
      <c r="P31" s="1960"/>
      <c r="Q31" s="1960"/>
      <c r="R31" s="1960"/>
      <c r="S31" s="1960"/>
      <c r="T31" s="1960"/>
      <c r="U31" s="1960"/>
      <c r="V31" s="1960"/>
      <c r="W31" s="1960"/>
      <c r="X31" s="1960"/>
      <c r="Y31" s="1960"/>
      <c r="Z31" s="1960"/>
      <c r="AA31" s="1960"/>
      <c r="AB31" s="1960"/>
      <c r="AC31" s="1960"/>
      <c r="AD31" s="1960"/>
      <c r="AE31" s="1960"/>
      <c r="AF31" s="1960"/>
      <c r="AG31" s="1960"/>
      <c r="AH31" s="1960"/>
      <c r="AI31" s="1960"/>
      <c r="AJ31" s="1960"/>
      <c r="AK31" s="1960"/>
      <c r="AL31" s="1960"/>
      <c r="AM31" s="1960"/>
      <c r="AN31" s="1960"/>
      <c r="AO31" s="1960"/>
      <c r="AP31" s="1960"/>
      <c r="AQ31" s="1960"/>
      <c r="AR31" s="1960"/>
      <c r="AS31" s="1960"/>
      <c r="AT31" s="1960"/>
      <c r="AU31" s="1960"/>
      <c r="AV31" s="1960"/>
      <c r="AW31" s="1960"/>
      <c r="AX31" s="1960"/>
      <c r="AY31" s="1960"/>
      <c r="AZ31" s="1960"/>
      <c r="BA31" s="1960"/>
      <c r="BB31" s="1960"/>
      <c r="BC31" s="1960"/>
      <c r="BD31" s="1961"/>
      <c r="BE31" s="1215"/>
    </row>
    <row r="32" spans="1:58" thickBot="1">
      <c r="A32" s="1208"/>
      <c r="B32" s="1962" t="s">
        <v>2352</v>
      </c>
      <c r="C32" s="1963"/>
      <c r="D32" s="1963"/>
      <c r="E32" s="1963"/>
      <c r="F32" s="1963"/>
      <c r="G32" s="1963"/>
      <c r="H32" s="1963"/>
      <c r="I32" s="1963"/>
      <c r="J32" s="1966" t="s">
        <v>2351</v>
      </c>
      <c r="K32" s="1967"/>
      <c r="L32" s="1967"/>
      <c r="M32" s="1967"/>
      <c r="N32" s="1966" t="s">
        <v>2350</v>
      </c>
      <c r="O32" s="1967"/>
      <c r="P32" s="1967"/>
      <c r="Q32" s="1969"/>
      <c r="R32" s="1971" t="s">
        <v>2349</v>
      </c>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72"/>
      <c r="AO32" s="1972"/>
      <c r="AP32" s="1972"/>
      <c r="AQ32" s="1972"/>
      <c r="AR32" s="1972"/>
      <c r="AS32" s="1972"/>
      <c r="AT32" s="1972"/>
      <c r="AU32" s="1972"/>
      <c r="AV32" s="1972"/>
      <c r="AW32" s="1972"/>
      <c r="AX32" s="1972"/>
      <c r="AY32" s="1972"/>
      <c r="AZ32" s="1972"/>
      <c r="BA32" s="1972"/>
      <c r="BB32" s="1972"/>
      <c r="BC32" s="1972"/>
      <c r="BD32" s="1973"/>
      <c r="BE32" s="1215"/>
    </row>
    <row r="33" spans="1:58" ht="15" customHeight="1">
      <c r="A33" s="1208"/>
      <c r="B33" s="1964"/>
      <c r="C33" s="1965"/>
      <c r="D33" s="1965"/>
      <c r="E33" s="1965"/>
      <c r="F33" s="1965"/>
      <c r="G33" s="1965"/>
      <c r="H33" s="1965"/>
      <c r="I33" s="1965"/>
      <c r="J33" s="1968"/>
      <c r="K33" s="1968"/>
      <c r="L33" s="1968"/>
      <c r="M33" s="1968"/>
      <c r="N33" s="1968"/>
      <c r="O33" s="1968"/>
      <c r="P33" s="1968"/>
      <c r="Q33" s="1970"/>
      <c r="R33" s="1974" t="s">
        <v>2348</v>
      </c>
      <c r="S33" s="1975"/>
      <c r="T33" s="1975"/>
      <c r="U33" s="1975"/>
      <c r="V33" s="1975"/>
      <c r="W33" s="1975"/>
      <c r="X33" s="1975"/>
      <c r="Y33" s="1975"/>
      <c r="Z33" s="1975"/>
      <c r="AA33" s="1975"/>
      <c r="AB33" s="1975"/>
      <c r="AC33" s="1975"/>
      <c r="AD33" s="1975"/>
      <c r="AE33" s="1975"/>
      <c r="AF33" s="1975"/>
      <c r="AG33" s="1975"/>
      <c r="AH33" s="1975"/>
      <c r="AI33" s="1975"/>
      <c r="AJ33" s="1975"/>
      <c r="AK33" s="1975"/>
      <c r="AL33" s="1975"/>
      <c r="AM33" s="1975"/>
      <c r="AN33" s="1975"/>
      <c r="AO33" s="1975"/>
      <c r="AP33" s="1975"/>
      <c r="AQ33" s="1975"/>
      <c r="AR33" s="1975"/>
      <c r="AS33" s="1975"/>
      <c r="AT33" s="1975"/>
      <c r="AU33" s="1975"/>
      <c r="AV33" s="1975"/>
      <c r="AW33" s="1975"/>
      <c r="AX33" s="1975"/>
      <c r="AY33" s="1975"/>
      <c r="AZ33" s="1975"/>
      <c r="BA33" s="1975"/>
      <c r="BB33" s="1975"/>
      <c r="BC33" s="1975"/>
      <c r="BD33" s="1976"/>
      <c r="BE33" s="1215"/>
    </row>
    <row r="34" spans="1:58" ht="15.75" customHeight="1" thickBot="1">
      <c r="A34" s="1208"/>
      <c r="B34" s="1964"/>
      <c r="C34" s="1965"/>
      <c r="D34" s="1965"/>
      <c r="E34" s="1965"/>
      <c r="F34" s="1965"/>
      <c r="G34" s="1965"/>
      <c r="H34" s="1965"/>
      <c r="I34" s="1965"/>
      <c r="J34" s="1968"/>
      <c r="K34" s="1968"/>
      <c r="L34" s="1968"/>
      <c r="M34" s="1968"/>
      <c r="N34" s="1968"/>
      <c r="O34" s="1968"/>
      <c r="P34" s="1968"/>
      <c r="Q34" s="1970"/>
      <c r="R34" s="1977"/>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c r="AN34" s="1978"/>
      <c r="AO34" s="1978"/>
      <c r="AP34" s="1978"/>
      <c r="AQ34" s="1978"/>
      <c r="AR34" s="1978"/>
      <c r="AS34" s="1978"/>
      <c r="AT34" s="1978"/>
      <c r="AU34" s="1978"/>
      <c r="AV34" s="1978"/>
      <c r="AW34" s="1978"/>
      <c r="AX34" s="1978"/>
      <c r="AY34" s="1978"/>
      <c r="AZ34" s="1978"/>
      <c r="BA34" s="1978"/>
      <c r="BB34" s="1978"/>
      <c r="BC34" s="1978"/>
      <c r="BD34" s="1979"/>
      <c r="BE34" s="1215"/>
    </row>
    <row r="35" spans="1:58" ht="15.75" customHeight="1">
      <c r="A35" s="1208"/>
      <c r="B35" s="1964"/>
      <c r="C35" s="1965"/>
      <c r="D35" s="1965"/>
      <c r="E35" s="1965"/>
      <c r="F35" s="1965"/>
      <c r="G35" s="1965"/>
      <c r="H35" s="1965"/>
      <c r="I35" s="1965"/>
      <c r="J35" s="1968"/>
      <c r="K35" s="1968"/>
      <c r="L35" s="1968"/>
      <c r="M35" s="1968"/>
      <c r="N35" s="1968"/>
      <c r="O35" s="1968"/>
      <c r="P35" s="1968"/>
      <c r="Q35" s="1968"/>
      <c r="R35" s="1980">
        <v>0.3</v>
      </c>
      <c r="S35" s="1980"/>
      <c r="T35" s="1980"/>
      <c r="U35" s="1980"/>
      <c r="V35" s="1980">
        <v>0.4</v>
      </c>
      <c r="W35" s="1980"/>
      <c r="X35" s="1980"/>
      <c r="Y35" s="1980"/>
      <c r="Z35" s="1980">
        <v>0.5</v>
      </c>
      <c r="AA35" s="1980"/>
      <c r="AB35" s="1980"/>
      <c r="AC35" s="1980"/>
      <c r="AD35" s="1980">
        <v>0.6</v>
      </c>
      <c r="AE35" s="1980"/>
      <c r="AF35" s="1980"/>
      <c r="AG35" s="1980"/>
      <c r="AH35" s="1980">
        <v>0.7</v>
      </c>
      <c r="AI35" s="1980"/>
      <c r="AJ35" s="1980"/>
      <c r="AK35" s="1980"/>
      <c r="AL35" s="1985">
        <v>0.8</v>
      </c>
      <c r="AM35" s="1986"/>
      <c r="AN35" s="1986"/>
      <c r="AO35" s="1987"/>
      <c r="AP35" s="1988">
        <v>1.2</v>
      </c>
      <c r="AQ35" s="1989"/>
      <c r="AR35" s="1990"/>
      <c r="AS35" s="1982" t="s">
        <v>2347</v>
      </c>
      <c r="AT35" s="1983"/>
      <c r="AU35" s="1983"/>
      <c r="AV35" s="1983"/>
      <c r="AW35" s="1983"/>
      <c r="AX35" s="1991"/>
      <c r="AY35" s="1982" t="s">
        <v>2346</v>
      </c>
      <c r="AZ35" s="1983"/>
      <c r="BA35" s="1983"/>
      <c r="BB35" s="1983"/>
      <c r="BC35" s="1983"/>
      <c r="BD35" s="1984"/>
      <c r="BE35" s="1215"/>
    </row>
    <row r="36" spans="1:58" ht="15.75" customHeight="1">
      <c r="A36" s="1208"/>
      <c r="B36" s="2001" t="s">
        <v>2345</v>
      </c>
      <c r="C36" s="2002"/>
      <c r="D36" s="2002"/>
      <c r="E36" s="2002"/>
      <c r="F36" s="2002"/>
      <c r="G36" s="2002"/>
      <c r="H36" s="2002"/>
      <c r="I36" s="2002"/>
      <c r="J36" s="2003"/>
      <c r="K36" s="2003"/>
      <c r="L36" s="2003"/>
      <c r="M36" s="2003"/>
      <c r="N36" s="2003"/>
      <c r="O36" s="2003"/>
      <c r="P36" s="2003"/>
      <c r="Q36" s="2003"/>
      <c r="R36" s="2004"/>
      <c r="S36" s="2004"/>
      <c r="T36" s="2004"/>
      <c r="U36" s="2004"/>
      <c r="V36" s="2004"/>
      <c r="W36" s="2004"/>
      <c r="X36" s="2004"/>
      <c r="Y36" s="2004"/>
      <c r="Z36" s="2004"/>
      <c r="AA36" s="2004"/>
      <c r="AB36" s="2004"/>
      <c r="AC36" s="2004"/>
      <c r="AD36" s="2004"/>
      <c r="AE36" s="2004"/>
      <c r="AF36" s="2004"/>
      <c r="AG36" s="2004"/>
      <c r="AH36" s="2004"/>
      <c r="AI36" s="2004"/>
      <c r="AJ36" s="2004"/>
      <c r="AK36" s="2004"/>
      <c r="AL36" s="1992"/>
      <c r="AM36" s="1993"/>
      <c r="AN36" s="1993"/>
      <c r="AO36" s="1994"/>
      <c r="AP36" s="1992"/>
      <c r="AQ36" s="1993"/>
      <c r="AR36" s="1994"/>
      <c r="AS36" s="1995">
        <f t="shared" ref="AS36:AS47" si="2">SUM(R36:AR36)</f>
        <v>0</v>
      </c>
      <c r="AT36" s="1996"/>
      <c r="AU36" s="1996"/>
      <c r="AV36" s="1996"/>
      <c r="AW36" s="1996"/>
      <c r="AX36" s="1997"/>
      <c r="AY36" s="1998">
        <f t="shared" ref="AY36:AY47" si="3">AS36/$J$29</f>
        <v>0</v>
      </c>
      <c r="AZ36" s="1999"/>
      <c r="BA36" s="1999"/>
      <c r="BB36" s="1999"/>
      <c r="BC36" s="1999"/>
      <c r="BD36" s="2000"/>
      <c r="BE36" s="1215"/>
    </row>
    <row r="37" spans="1:58" ht="15.75" customHeight="1">
      <c r="A37" s="1208"/>
      <c r="B37" s="2001" t="s">
        <v>2344</v>
      </c>
      <c r="C37" s="2002"/>
      <c r="D37" s="2002"/>
      <c r="E37" s="2002"/>
      <c r="F37" s="2002"/>
      <c r="G37" s="2002"/>
      <c r="H37" s="2002"/>
      <c r="I37" s="2002"/>
      <c r="J37" s="2003"/>
      <c r="K37" s="2003"/>
      <c r="L37" s="2003"/>
      <c r="M37" s="2003"/>
      <c r="N37" s="2003"/>
      <c r="O37" s="2003"/>
      <c r="P37" s="2003"/>
      <c r="Q37" s="2003"/>
      <c r="R37" s="2004"/>
      <c r="S37" s="2004"/>
      <c r="T37" s="2004"/>
      <c r="U37" s="2004"/>
      <c r="V37" s="2004"/>
      <c r="W37" s="2004"/>
      <c r="X37" s="2004"/>
      <c r="Y37" s="2004"/>
      <c r="Z37" s="2004"/>
      <c r="AA37" s="2004"/>
      <c r="AB37" s="2004"/>
      <c r="AC37" s="2004"/>
      <c r="AD37" s="2004"/>
      <c r="AE37" s="2004"/>
      <c r="AF37" s="2004"/>
      <c r="AG37" s="2004"/>
      <c r="AH37" s="2004"/>
      <c r="AI37" s="2004"/>
      <c r="AJ37" s="2004"/>
      <c r="AK37" s="2004"/>
      <c r="AL37" s="1992"/>
      <c r="AM37" s="1993"/>
      <c r="AN37" s="1993"/>
      <c r="AO37" s="1994"/>
      <c r="AP37" s="1992"/>
      <c r="AQ37" s="1993"/>
      <c r="AR37" s="1994"/>
      <c r="AS37" s="1995">
        <f t="shared" si="2"/>
        <v>0</v>
      </c>
      <c r="AT37" s="1996"/>
      <c r="AU37" s="1996"/>
      <c r="AV37" s="1996"/>
      <c r="AW37" s="1996"/>
      <c r="AX37" s="1997"/>
      <c r="AY37" s="1998">
        <f t="shared" si="3"/>
        <v>0</v>
      </c>
      <c r="AZ37" s="1999"/>
      <c r="BA37" s="1999"/>
      <c r="BB37" s="1999"/>
      <c r="BC37" s="1999"/>
      <c r="BD37" s="2000"/>
      <c r="BE37" s="1215"/>
    </row>
    <row r="38" spans="1:58" ht="15.75" customHeight="1">
      <c r="A38" s="1208"/>
      <c r="B38" s="2001" t="s">
        <v>2343</v>
      </c>
      <c r="C38" s="2002"/>
      <c r="D38" s="2002"/>
      <c r="E38" s="2002"/>
      <c r="F38" s="2002"/>
      <c r="G38" s="2002"/>
      <c r="H38" s="2002"/>
      <c r="I38" s="2002"/>
      <c r="J38" s="2003"/>
      <c r="K38" s="2003"/>
      <c r="L38" s="2003"/>
      <c r="M38" s="2003"/>
      <c r="N38" s="2003"/>
      <c r="O38" s="2003"/>
      <c r="P38" s="2003"/>
      <c r="Q38" s="2003"/>
      <c r="R38" s="2004"/>
      <c r="S38" s="2004"/>
      <c r="T38" s="2004"/>
      <c r="U38" s="2004"/>
      <c r="V38" s="2004"/>
      <c r="W38" s="2004"/>
      <c r="X38" s="2004"/>
      <c r="Y38" s="2004"/>
      <c r="Z38" s="2004"/>
      <c r="AA38" s="2004"/>
      <c r="AB38" s="2004"/>
      <c r="AC38" s="2004"/>
      <c r="AD38" s="2004"/>
      <c r="AE38" s="2004"/>
      <c r="AF38" s="2004"/>
      <c r="AG38" s="2004"/>
      <c r="AH38" s="2004"/>
      <c r="AI38" s="2004"/>
      <c r="AJ38" s="2004"/>
      <c r="AK38" s="2004"/>
      <c r="AL38" s="1992"/>
      <c r="AM38" s="1993"/>
      <c r="AN38" s="1993"/>
      <c r="AO38" s="1994"/>
      <c r="AP38" s="1992"/>
      <c r="AQ38" s="1993"/>
      <c r="AR38" s="1994"/>
      <c r="AS38" s="1995">
        <f t="shared" si="2"/>
        <v>0</v>
      </c>
      <c r="AT38" s="1996"/>
      <c r="AU38" s="1996"/>
      <c r="AV38" s="1996"/>
      <c r="AW38" s="1996"/>
      <c r="AX38" s="1997"/>
      <c r="AY38" s="1998">
        <f t="shared" si="3"/>
        <v>0</v>
      </c>
      <c r="AZ38" s="1999"/>
      <c r="BA38" s="1999"/>
      <c r="BB38" s="1999"/>
      <c r="BC38" s="1999"/>
      <c r="BD38" s="2000"/>
      <c r="BE38" s="1215"/>
    </row>
    <row r="39" spans="1:58" ht="15.75" customHeight="1">
      <c r="A39" s="1208"/>
      <c r="B39" s="2001" t="s">
        <v>2342</v>
      </c>
      <c r="C39" s="2002"/>
      <c r="D39" s="2002"/>
      <c r="E39" s="2002"/>
      <c r="F39" s="2002"/>
      <c r="G39" s="2002"/>
      <c r="H39" s="2002"/>
      <c r="I39" s="2002"/>
      <c r="J39" s="2003"/>
      <c r="K39" s="2003"/>
      <c r="L39" s="2003"/>
      <c r="M39" s="2003"/>
      <c r="N39" s="2003"/>
      <c r="O39" s="2003"/>
      <c r="P39" s="2003"/>
      <c r="Q39" s="2003"/>
      <c r="R39" s="2004"/>
      <c r="S39" s="2004"/>
      <c r="T39" s="2004"/>
      <c r="U39" s="2004"/>
      <c r="V39" s="2004"/>
      <c r="W39" s="2004"/>
      <c r="X39" s="2004"/>
      <c r="Y39" s="2004"/>
      <c r="Z39" s="2004"/>
      <c r="AA39" s="2004"/>
      <c r="AB39" s="2004"/>
      <c r="AC39" s="2004"/>
      <c r="AD39" s="2004"/>
      <c r="AE39" s="2004"/>
      <c r="AF39" s="2004"/>
      <c r="AG39" s="2004"/>
      <c r="AH39" s="2004"/>
      <c r="AI39" s="2004"/>
      <c r="AJ39" s="2004"/>
      <c r="AK39" s="2004"/>
      <c r="AL39" s="1992"/>
      <c r="AM39" s="1993"/>
      <c r="AN39" s="1993"/>
      <c r="AO39" s="1994"/>
      <c r="AP39" s="1992"/>
      <c r="AQ39" s="1993"/>
      <c r="AR39" s="1994"/>
      <c r="AS39" s="1995">
        <f t="shared" si="2"/>
        <v>0</v>
      </c>
      <c r="AT39" s="1996"/>
      <c r="AU39" s="1996"/>
      <c r="AV39" s="1996"/>
      <c r="AW39" s="1996"/>
      <c r="AX39" s="1997"/>
      <c r="AY39" s="1998">
        <f t="shared" si="3"/>
        <v>0</v>
      </c>
      <c r="AZ39" s="1999"/>
      <c r="BA39" s="1999"/>
      <c r="BB39" s="1999"/>
      <c r="BC39" s="1999"/>
      <c r="BD39" s="2000"/>
      <c r="BE39" s="1215"/>
    </row>
    <row r="40" spans="1:58" ht="15.75" customHeight="1">
      <c r="A40" s="1208"/>
      <c r="B40" s="2001" t="s">
        <v>2342</v>
      </c>
      <c r="C40" s="2002"/>
      <c r="D40" s="2002"/>
      <c r="E40" s="2002"/>
      <c r="F40" s="2002"/>
      <c r="G40" s="2002"/>
      <c r="H40" s="2002"/>
      <c r="I40" s="2002"/>
      <c r="J40" s="2003"/>
      <c r="K40" s="2003"/>
      <c r="L40" s="2003"/>
      <c r="M40" s="2003"/>
      <c r="N40" s="2003"/>
      <c r="O40" s="2003"/>
      <c r="P40" s="2003"/>
      <c r="Q40" s="2003"/>
      <c r="R40" s="2004"/>
      <c r="S40" s="2004"/>
      <c r="T40" s="2004"/>
      <c r="U40" s="2004"/>
      <c r="V40" s="2004"/>
      <c r="W40" s="2004"/>
      <c r="X40" s="2004"/>
      <c r="Y40" s="2004"/>
      <c r="Z40" s="2004"/>
      <c r="AA40" s="2004"/>
      <c r="AB40" s="2004"/>
      <c r="AC40" s="2004"/>
      <c r="AD40" s="2004"/>
      <c r="AE40" s="2004"/>
      <c r="AF40" s="2004"/>
      <c r="AG40" s="2004"/>
      <c r="AH40" s="2004"/>
      <c r="AI40" s="2004"/>
      <c r="AJ40" s="2004"/>
      <c r="AK40" s="2004"/>
      <c r="AL40" s="1992"/>
      <c r="AM40" s="1993"/>
      <c r="AN40" s="1993"/>
      <c r="AO40" s="1994"/>
      <c r="AP40" s="1992"/>
      <c r="AQ40" s="1993"/>
      <c r="AR40" s="1994"/>
      <c r="AS40" s="1995">
        <f t="shared" si="2"/>
        <v>0</v>
      </c>
      <c r="AT40" s="1996"/>
      <c r="AU40" s="1996"/>
      <c r="AV40" s="1996"/>
      <c r="AW40" s="1996"/>
      <c r="AX40" s="1997"/>
      <c r="AY40" s="1998">
        <f t="shared" si="3"/>
        <v>0</v>
      </c>
      <c r="AZ40" s="1999"/>
      <c r="BA40" s="1999"/>
      <c r="BB40" s="1999"/>
      <c r="BC40" s="1999"/>
      <c r="BD40" s="2000"/>
      <c r="BE40" s="1215"/>
    </row>
    <row r="41" spans="1:58" ht="15.75" customHeight="1">
      <c r="A41" s="1208"/>
      <c r="B41" s="2001" t="s">
        <v>2341</v>
      </c>
      <c r="C41" s="2002"/>
      <c r="D41" s="2002"/>
      <c r="E41" s="2002"/>
      <c r="F41" s="2002"/>
      <c r="G41" s="2002"/>
      <c r="H41" s="2002"/>
      <c r="I41" s="2002"/>
      <c r="J41" s="2003"/>
      <c r="K41" s="2003"/>
      <c r="L41" s="2003"/>
      <c r="M41" s="2003"/>
      <c r="N41" s="2003"/>
      <c r="O41" s="2003"/>
      <c r="P41" s="2003"/>
      <c r="Q41" s="2003"/>
      <c r="R41" s="2004"/>
      <c r="S41" s="2004"/>
      <c r="T41" s="2004"/>
      <c r="U41" s="2004"/>
      <c r="V41" s="2004"/>
      <c r="W41" s="2004"/>
      <c r="X41" s="2004"/>
      <c r="Y41" s="2004"/>
      <c r="Z41" s="2004"/>
      <c r="AA41" s="2004"/>
      <c r="AB41" s="2004"/>
      <c r="AC41" s="2004"/>
      <c r="AD41" s="2004"/>
      <c r="AE41" s="2004"/>
      <c r="AF41" s="2004"/>
      <c r="AG41" s="2004"/>
      <c r="AH41" s="2004"/>
      <c r="AI41" s="2004"/>
      <c r="AJ41" s="2004"/>
      <c r="AK41" s="2004"/>
      <c r="AL41" s="1992"/>
      <c r="AM41" s="1993"/>
      <c r="AN41" s="1993"/>
      <c r="AO41" s="1994"/>
      <c r="AP41" s="1992"/>
      <c r="AQ41" s="1993"/>
      <c r="AR41" s="1994"/>
      <c r="AS41" s="1995">
        <f t="shared" si="2"/>
        <v>0</v>
      </c>
      <c r="AT41" s="1996"/>
      <c r="AU41" s="1996"/>
      <c r="AV41" s="1996"/>
      <c r="AW41" s="1996"/>
      <c r="AX41" s="1997"/>
      <c r="AY41" s="1998">
        <f t="shared" si="3"/>
        <v>0</v>
      </c>
      <c r="AZ41" s="1999"/>
      <c r="BA41" s="1999"/>
      <c r="BB41" s="1999"/>
      <c r="BC41" s="1999"/>
      <c r="BD41" s="2000"/>
      <c r="BE41" s="1215"/>
    </row>
    <row r="42" spans="1:58" ht="15.75" customHeight="1">
      <c r="A42" s="1208"/>
      <c r="B42" s="2001" t="s">
        <v>2341</v>
      </c>
      <c r="C42" s="2002"/>
      <c r="D42" s="2002"/>
      <c r="E42" s="2002"/>
      <c r="F42" s="2002"/>
      <c r="G42" s="2002"/>
      <c r="H42" s="2002"/>
      <c r="I42" s="2002"/>
      <c r="J42" s="2003"/>
      <c r="K42" s="2003"/>
      <c r="L42" s="2003"/>
      <c r="M42" s="2003"/>
      <c r="N42" s="2003"/>
      <c r="O42" s="2003"/>
      <c r="P42" s="2003"/>
      <c r="Q42" s="2003"/>
      <c r="R42" s="2004"/>
      <c r="S42" s="2004"/>
      <c r="T42" s="2004"/>
      <c r="U42" s="2004"/>
      <c r="V42" s="2004"/>
      <c r="W42" s="2004"/>
      <c r="X42" s="2004"/>
      <c r="Y42" s="2004"/>
      <c r="Z42" s="2004"/>
      <c r="AA42" s="2004"/>
      <c r="AB42" s="2004"/>
      <c r="AC42" s="2004"/>
      <c r="AD42" s="2004"/>
      <c r="AE42" s="2004"/>
      <c r="AF42" s="2004"/>
      <c r="AG42" s="2004"/>
      <c r="AH42" s="2004"/>
      <c r="AI42" s="2004"/>
      <c r="AJ42" s="2004"/>
      <c r="AK42" s="2004"/>
      <c r="AL42" s="1992"/>
      <c r="AM42" s="1993"/>
      <c r="AN42" s="1993"/>
      <c r="AO42" s="1994"/>
      <c r="AP42" s="1992"/>
      <c r="AQ42" s="1993"/>
      <c r="AR42" s="1994"/>
      <c r="AS42" s="1995">
        <f t="shared" si="2"/>
        <v>0</v>
      </c>
      <c r="AT42" s="1996"/>
      <c r="AU42" s="1996"/>
      <c r="AV42" s="1996"/>
      <c r="AW42" s="1996"/>
      <c r="AX42" s="1997"/>
      <c r="AY42" s="1998">
        <f t="shared" si="3"/>
        <v>0</v>
      </c>
      <c r="AZ42" s="1999"/>
      <c r="BA42" s="1999"/>
      <c r="BB42" s="1999"/>
      <c r="BC42" s="1999"/>
      <c r="BD42" s="2000"/>
      <c r="BE42" s="1215"/>
    </row>
    <row r="43" spans="1:58" ht="15.75" customHeight="1">
      <c r="A43" s="1208"/>
      <c r="B43" s="2005" t="s">
        <v>2340</v>
      </c>
      <c r="C43" s="2006"/>
      <c r="D43" s="2006"/>
      <c r="E43" s="2006"/>
      <c r="F43" s="2006"/>
      <c r="G43" s="2006"/>
      <c r="H43" s="2006"/>
      <c r="I43" s="2006"/>
      <c r="J43" s="2003"/>
      <c r="K43" s="2003"/>
      <c r="L43" s="2003"/>
      <c r="M43" s="2003"/>
      <c r="N43" s="2003"/>
      <c r="O43" s="2003"/>
      <c r="P43" s="2003"/>
      <c r="Q43" s="2003"/>
      <c r="R43" s="2004"/>
      <c r="S43" s="2004"/>
      <c r="T43" s="2004"/>
      <c r="U43" s="2004"/>
      <c r="V43" s="2004"/>
      <c r="W43" s="2004"/>
      <c r="X43" s="2004"/>
      <c r="Y43" s="2004"/>
      <c r="Z43" s="2004"/>
      <c r="AA43" s="2004"/>
      <c r="AB43" s="2004"/>
      <c r="AC43" s="2004"/>
      <c r="AD43" s="2004"/>
      <c r="AE43" s="2004"/>
      <c r="AF43" s="2004"/>
      <c r="AG43" s="2004"/>
      <c r="AH43" s="2004"/>
      <c r="AI43" s="2004"/>
      <c r="AJ43" s="2004"/>
      <c r="AK43" s="2004"/>
      <c r="AL43" s="1992"/>
      <c r="AM43" s="1993"/>
      <c r="AN43" s="1993"/>
      <c r="AO43" s="1994"/>
      <c r="AP43" s="1992"/>
      <c r="AQ43" s="1993"/>
      <c r="AR43" s="1994"/>
      <c r="AS43" s="1995">
        <f t="shared" si="2"/>
        <v>0</v>
      </c>
      <c r="AT43" s="1996"/>
      <c r="AU43" s="1996"/>
      <c r="AV43" s="1996"/>
      <c r="AW43" s="1996"/>
      <c r="AX43" s="1997"/>
      <c r="AY43" s="1998">
        <f t="shared" si="3"/>
        <v>0</v>
      </c>
      <c r="AZ43" s="1999"/>
      <c r="BA43" s="1999"/>
      <c r="BB43" s="1999"/>
      <c r="BC43" s="1999"/>
      <c r="BD43" s="2000"/>
      <c r="BE43" s="1215"/>
    </row>
    <row r="44" spans="1:58" ht="15.75" customHeight="1">
      <c r="A44" s="1208"/>
      <c r="B44" s="2005" t="s">
        <v>2339</v>
      </c>
      <c r="C44" s="2006"/>
      <c r="D44" s="2006"/>
      <c r="E44" s="2006"/>
      <c r="F44" s="2006"/>
      <c r="G44" s="2006"/>
      <c r="H44" s="2006"/>
      <c r="I44" s="2006"/>
      <c r="J44" s="2003"/>
      <c r="K44" s="2003"/>
      <c r="L44" s="2003"/>
      <c r="M44" s="2003"/>
      <c r="N44" s="2003"/>
      <c r="O44" s="2003"/>
      <c r="P44" s="2003"/>
      <c r="Q44" s="2003"/>
      <c r="R44" s="2004"/>
      <c r="S44" s="2004"/>
      <c r="T44" s="2004"/>
      <c r="U44" s="2004"/>
      <c r="V44" s="2004"/>
      <c r="W44" s="2004"/>
      <c r="X44" s="2004"/>
      <c r="Y44" s="2004"/>
      <c r="Z44" s="2004"/>
      <c r="AA44" s="2004"/>
      <c r="AB44" s="2004"/>
      <c r="AC44" s="2004"/>
      <c r="AD44" s="2004"/>
      <c r="AE44" s="2004"/>
      <c r="AF44" s="2004"/>
      <c r="AG44" s="2004"/>
      <c r="AH44" s="2004"/>
      <c r="AI44" s="2004"/>
      <c r="AJ44" s="2004"/>
      <c r="AK44" s="2004"/>
      <c r="AL44" s="1992"/>
      <c r="AM44" s="1993"/>
      <c r="AN44" s="1993"/>
      <c r="AO44" s="1994"/>
      <c r="AP44" s="1992"/>
      <c r="AQ44" s="1993"/>
      <c r="AR44" s="1994"/>
      <c r="AS44" s="1995">
        <f t="shared" si="2"/>
        <v>0</v>
      </c>
      <c r="AT44" s="1996"/>
      <c r="AU44" s="1996"/>
      <c r="AV44" s="1996"/>
      <c r="AW44" s="1996"/>
      <c r="AX44" s="1997"/>
      <c r="AY44" s="1998">
        <f t="shared" si="3"/>
        <v>0</v>
      </c>
      <c r="AZ44" s="1999"/>
      <c r="BA44" s="1999"/>
      <c r="BB44" s="1999"/>
      <c r="BC44" s="1999"/>
      <c r="BD44" s="2000"/>
      <c r="BE44" s="1215"/>
    </row>
    <row r="45" spans="1:58" ht="15.75" customHeight="1">
      <c r="A45" s="1208"/>
      <c r="B45" s="2005" t="s">
        <v>2338</v>
      </c>
      <c r="C45" s="2006"/>
      <c r="D45" s="2006"/>
      <c r="E45" s="2006"/>
      <c r="F45" s="2006"/>
      <c r="G45" s="2006"/>
      <c r="H45" s="2006"/>
      <c r="I45" s="2006"/>
      <c r="J45" s="2003"/>
      <c r="K45" s="2003"/>
      <c r="L45" s="2003"/>
      <c r="M45" s="2003"/>
      <c r="N45" s="2003"/>
      <c r="O45" s="2003"/>
      <c r="P45" s="2003"/>
      <c r="Q45" s="2003"/>
      <c r="R45" s="2004"/>
      <c r="S45" s="2004"/>
      <c r="T45" s="2004"/>
      <c r="U45" s="2004"/>
      <c r="V45" s="2004"/>
      <c r="W45" s="2004"/>
      <c r="X45" s="2004"/>
      <c r="Y45" s="2004"/>
      <c r="Z45" s="2004"/>
      <c r="AA45" s="2004"/>
      <c r="AB45" s="2004"/>
      <c r="AC45" s="2004"/>
      <c r="AD45" s="2004"/>
      <c r="AE45" s="2004"/>
      <c r="AF45" s="2004"/>
      <c r="AG45" s="2004"/>
      <c r="AH45" s="2004"/>
      <c r="AI45" s="2004"/>
      <c r="AJ45" s="2004"/>
      <c r="AK45" s="2004"/>
      <c r="AL45" s="1992"/>
      <c r="AM45" s="1993"/>
      <c r="AN45" s="1993"/>
      <c r="AO45" s="1994"/>
      <c r="AP45" s="1992"/>
      <c r="AQ45" s="1993"/>
      <c r="AR45" s="1994"/>
      <c r="AS45" s="1995">
        <f t="shared" si="2"/>
        <v>0</v>
      </c>
      <c r="AT45" s="1996"/>
      <c r="AU45" s="1996"/>
      <c r="AV45" s="1996"/>
      <c r="AW45" s="1996"/>
      <c r="AX45" s="1997"/>
      <c r="AY45" s="1998">
        <f t="shared" si="3"/>
        <v>0</v>
      </c>
      <c r="AZ45" s="1999"/>
      <c r="BA45" s="1999"/>
      <c r="BB45" s="1999"/>
      <c r="BC45" s="1999"/>
      <c r="BD45" s="2000"/>
      <c r="BE45" s="1215"/>
    </row>
    <row r="46" spans="1:58" ht="15.75" customHeight="1">
      <c r="A46" s="1208"/>
      <c r="B46" s="2005" t="s">
        <v>2275</v>
      </c>
      <c r="C46" s="2006"/>
      <c r="D46" s="2006"/>
      <c r="E46" s="2006"/>
      <c r="F46" s="2006"/>
      <c r="G46" s="2006"/>
      <c r="H46" s="2006"/>
      <c r="I46" s="2006"/>
      <c r="J46" s="2003"/>
      <c r="K46" s="2003"/>
      <c r="L46" s="2003"/>
      <c r="M46" s="2003"/>
      <c r="N46" s="2003"/>
      <c r="O46" s="2003"/>
      <c r="P46" s="2003"/>
      <c r="Q46" s="2003"/>
      <c r="R46" s="2004"/>
      <c r="S46" s="2004"/>
      <c r="T46" s="2004"/>
      <c r="U46" s="2004"/>
      <c r="V46" s="2004"/>
      <c r="W46" s="2004"/>
      <c r="X46" s="2004"/>
      <c r="Y46" s="2004"/>
      <c r="Z46" s="2004"/>
      <c r="AA46" s="2004"/>
      <c r="AB46" s="2004"/>
      <c r="AC46" s="2004"/>
      <c r="AD46" s="2004"/>
      <c r="AE46" s="2004"/>
      <c r="AF46" s="2004"/>
      <c r="AG46" s="2004"/>
      <c r="AH46" s="2004"/>
      <c r="AI46" s="2004"/>
      <c r="AJ46" s="2004"/>
      <c r="AK46" s="2004"/>
      <c r="AL46" s="1992"/>
      <c r="AM46" s="1993"/>
      <c r="AN46" s="1993"/>
      <c r="AO46" s="1994"/>
      <c r="AP46" s="1992"/>
      <c r="AQ46" s="1993"/>
      <c r="AR46" s="1994"/>
      <c r="AS46" s="1995">
        <f t="shared" si="2"/>
        <v>0</v>
      </c>
      <c r="AT46" s="1996"/>
      <c r="AU46" s="1996"/>
      <c r="AV46" s="1996"/>
      <c r="AW46" s="1996"/>
      <c r="AX46" s="1997"/>
      <c r="AY46" s="1998">
        <f t="shared" si="3"/>
        <v>0</v>
      </c>
      <c r="AZ46" s="1999"/>
      <c r="BA46" s="1999"/>
      <c r="BB46" s="1999"/>
      <c r="BC46" s="1999"/>
      <c r="BD46" s="2000"/>
      <c r="BE46" s="1215"/>
    </row>
    <row r="47" spans="1:58" ht="15.75" customHeight="1" thickBot="1">
      <c r="A47" s="1208"/>
      <c r="B47" s="2007" t="s">
        <v>300</v>
      </c>
      <c r="C47" s="2008"/>
      <c r="D47" s="2008"/>
      <c r="E47" s="2008"/>
      <c r="F47" s="2008"/>
      <c r="G47" s="2008"/>
      <c r="H47" s="2008"/>
      <c r="I47" s="2008"/>
      <c r="J47" s="2009"/>
      <c r="K47" s="2009"/>
      <c r="L47" s="2009"/>
      <c r="M47" s="2009"/>
      <c r="N47" s="2009"/>
      <c r="O47" s="2009"/>
      <c r="P47" s="2009"/>
      <c r="Q47" s="2009"/>
      <c r="R47" s="2010"/>
      <c r="S47" s="2010"/>
      <c r="T47" s="2010"/>
      <c r="U47" s="2010"/>
      <c r="V47" s="2010"/>
      <c r="W47" s="2010"/>
      <c r="X47" s="2010"/>
      <c r="Y47" s="2010"/>
      <c r="Z47" s="2010"/>
      <c r="AA47" s="2010"/>
      <c r="AB47" s="2010"/>
      <c r="AC47" s="2010"/>
      <c r="AD47" s="2010"/>
      <c r="AE47" s="2010"/>
      <c r="AF47" s="2010"/>
      <c r="AG47" s="2010"/>
      <c r="AH47" s="2010"/>
      <c r="AI47" s="2010"/>
      <c r="AJ47" s="2010"/>
      <c r="AK47" s="2010"/>
      <c r="AL47" s="2014"/>
      <c r="AM47" s="2015"/>
      <c r="AN47" s="2015"/>
      <c r="AO47" s="2016"/>
      <c r="AP47" s="2014"/>
      <c r="AQ47" s="2015"/>
      <c r="AR47" s="2016"/>
      <c r="AS47" s="1995">
        <f t="shared" si="2"/>
        <v>0</v>
      </c>
      <c r="AT47" s="1996"/>
      <c r="AU47" s="1996"/>
      <c r="AV47" s="1996"/>
      <c r="AW47" s="1996"/>
      <c r="AX47" s="1997"/>
      <c r="AY47" s="2011">
        <f t="shared" si="3"/>
        <v>0</v>
      </c>
      <c r="AZ47" s="2012"/>
      <c r="BA47" s="2012"/>
      <c r="BB47" s="2012"/>
      <c r="BC47" s="2012"/>
      <c r="BD47" s="2013"/>
      <c r="BE47" s="1215"/>
    </row>
    <row r="48" spans="1:58" ht="15.75" customHeight="1">
      <c r="A48" s="1208"/>
      <c r="B48" s="1217" t="s">
        <v>2337</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2336</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7" t="s">
        <v>2335</v>
      </c>
      <c r="C50" s="2018"/>
      <c r="D50" s="2018"/>
      <c r="E50" s="2018"/>
      <c r="F50" s="2018"/>
      <c r="G50" s="2018"/>
      <c r="H50" s="2018"/>
      <c r="I50" s="2018"/>
      <c r="J50" s="2018"/>
      <c r="K50" s="2018"/>
      <c r="L50" s="2018"/>
      <c r="M50" s="2018"/>
      <c r="N50" s="2018"/>
      <c r="O50" s="2018"/>
      <c r="P50" s="2018"/>
      <c r="Q50" s="2018"/>
      <c r="R50" s="2018"/>
      <c r="S50" s="2018"/>
      <c r="T50" s="2018"/>
      <c r="U50" s="2018"/>
      <c r="V50" s="2018"/>
      <c r="W50" s="2018"/>
      <c r="X50" s="2018"/>
      <c r="Y50" s="2018"/>
      <c r="Z50" s="2018"/>
      <c r="AA50" s="2018"/>
      <c r="AB50" s="2018"/>
      <c r="AC50" s="2018"/>
      <c r="AD50" s="2018"/>
      <c r="AE50" s="2018"/>
      <c r="AF50" s="2018"/>
      <c r="AG50" s="2018"/>
      <c r="AH50" s="2018"/>
      <c r="AI50" s="2018"/>
      <c r="AJ50" s="2018"/>
      <c r="AK50" s="2018"/>
      <c r="AL50" s="2018"/>
      <c r="AM50" s="2018"/>
      <c r="AN50" s="2018"/>
      <c r="AO50" s="2019"/>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0" t="s">
        <v>2330</v>
      </c>
      <c r="C51" s="2021"/>
      <c r="D51" s="2021"/>
      <c r="E51" s="2021"/>
      <c r="F51" s="2021"/>
      <c r="G51" s="2021"/>
      <c r="H51" s="2021"/>
      <c r="I51" s="2021"/>
      <c r="J51" s="2021" t="s">
        <v>2334</v>
      </c>
      <c r="K51" s="2021"/>
      <c r="L51" s="2021"/>
      <c r="M51" s="2021"/>
      <c r="N51" s="2021"/>
      <c r="O51" s="2021"/>
      <c r="P51" s="2021"/>
      <c r="Q51" s="2021"/>
      <c r="R51" s="2022" t="s">
        <v>2333</v>
      </c>
      <c r="S51" s="2022"/>
      <c r="T51" s="2022"/>
      <c r="U51" s="2022"/>
      <c r="V51" s="2022"/>
      <c r="W51" s="2022"/>
      <c r="X51" s="2022"/>
      <c r="Y51" s="2022"/>
      <c r="Z51" s="2022" t="s">
        <v>2332</v>
      </c>
      <c r="AA51" s="2022"/>
      <c r="AB51" s="2022"/>
      <c r="AC51" s="2022"/>
      <c r="AD51" s="2022"/>
      <c r="AE51" s="2022"/>
      <c r="AF51" s="2022"/>
      <c r="AG51" s="2022"/>
      <c r="AH51" s="2022" t="s">
        <v>2331</v>
      </c>
      <c r="AI51" s="2022"/>
      <c r="AJ51" s="2022"/>
      <c r="AK51" s="2022"/>
      <c r="AL51" s="2022"/>
      <c r="AM51" s="2022"/>
      <c r="AN51" s="2022"/>
      <c r="AO51" s="2023"/>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5"/>
      <c r="C52" s="2006"/>
      <c r="D52" s="2006"/>
      <c r="E52" s="2006"/>
      <c r="F52" s="2006"/>
      <c r="G52" s="2006"/>
      <c r="H52" s="2006"/>
      <c r="I52" s="2006"/>
      <c r="J52" s="2024"/>
      <c r="K52" s="2024"/>
      <c r="L52" s="2024"/>
      <c r="M52" s="2024"/>
      <c r="N52" s="2024"/>
      <c r="O52" s="2024"/>
      <c r="P52" s="2024"/>
      <c r="Q52" s="2024"/>
      <c r="R52" s="2025"/>
      <c r="S52" s="2025"/>
      <c r="T52" s="2025"/>
      <c r="U52" s="2025"/>
      <c r="V52" s="2025"/>
      <c r="W52" s="2025"/>
      <c r="X52" s="2025"/>
      <c r="Y52" s="2025"/>
      <c r="Z52" s="2026"/>
      <c r="AA52" s="2026"/>
      <c r="AB52" s="2026"/>
      <c r="AC52" s="2026"/>
      <c r="AD52" s="2026"/>
      <c r="AE52" s="2026"/>
      <c r="AF52" s="2026"/>
      <c r="AG52" s="2026"/>
      <c r="AH52" s="2027"/>
      <c r="AI52" s="2027"/>
      <c r="AJ52" s="2027"/>
      <c r="AK52" s="2027"/>
      <c r="AL52" s="2027"/>
      <c r="AM52" s="2027"/>
      <c r="AN52" s="2027"/>
      <c r="AO52" s="2028"/>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5"/>
      <c r="C53" s="2006"/>
      <c r="D53" s="2006"/>
      <c r="E53" s="2006"/>
      <c r="F53" s="2006"/>
      <c r="G53" s="2006"/>
      <c r="H53" s="2006"/>
      <c r="I53" s="2006"/>
      <c r="J53" s="2024"/>
      <c r="K53" s="2024"/>
      <c r="L53" s="2024"/>
      <c r="M53" s="2024"/>
      <c r="N53" s="2024"/>
      <c r="O53" s="2024"/>
      <c r="P53" s="2024"/>
      <c r="Q53" s="2024"/>
      <c r="R53" s="2025"/>
      <c r="S53" s="2025"/>
      <c r="T53" s="2025"/>
      <c r="U53" s="2025"/>
      <c r="V53" s="2025"/>
      <c r="W53" s="2025"/>
      <c r="X53" s="2025"/>
      <c r="Y53" s="2025"/>
      <c r="Z53" s="2026"/>
      <c r="AA53" s="2026"/>
      <c r="AB53" s="2026"/>
      <c r="AC53" s="2026"/>
      <c r="AD53" s="2026"/>
      <c r="AE53" s="2026"/>
      <c r="AF53" s="2026"/>
      <c r="AG53" s="2026"/>
      <c r="AH53" s="2027"/>
      <c r="AI53" s="2027"/>
      <c r="AJ53" s="2027"/>
      <c r="AK53" s="2027"/>
      <c r="AL53" s="2027"/>
      <c r="AM53" s="2027"/>
      <c r="AN53" s="2027"/>
      <c r="AO53" s="2028"/>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5"/>
      <c r="C54" s="2006"/>
      <c r="D54" s="2006"/>
      <c r="E54" s="2006"/>
      <c r="F54" s="2006"/>
      <c r="G54" s="2006"/>
      <c r="H54" s="2006"/>
      <c r="I54" s="2006"/>
      <c r="J54" s="2024"/>
      <c r="K54" s="2024"/>
      <c r="L54" s="2024"/>
      <c r="M54" s="2024"/>
      <c r="N54" s="2024"/>
      <c r="O54" s="2024"/>
      <c r="P54" s="2024"/>
      <c r="Q54" s="2024"/>
      <c r="R54" s="2025"/>
      <c r="S54" s="2025"/>
      <c r="T54" s="2025"/>
      <c r="U54" s="2025"/>
      <c r="V54" s="2025"/>
      <c r="W54" s="2025"/>
      <c r="X54" s="2025"/>
      <c r="Y54" s="2025"/>
      <c r="Z54" s="2026"/>
      <c r="AA54" s="2026"/>
      <c r="AB54" s="2026"/>
      <c r="AC54" s="2026"/>
      <c r="AD54" s="2026"/>
      <c r="AE54" s="2026"/>
      <c r="AF54" s="2026"/>
      <c r="AG54" s="2026"/>
      <c r="AH54" s="2027"/>
      <c r="AI54" s="2027"/>
      <c r="AJ54" s="2027"/>
      <c r="AK54" s="2027"/>
      <c r="AL54" s="2027"/>
      <c r="AM54" s="2027"/>
      <c r="AN54" s="2027"/>
      <c r="AO54" s="2028"/>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5"/>
      <c r="C55" s="2006"/>
      <c r="D55" s="2006"/>
      <c r="E55" s="2006"/>
      <c r="F55" s="2006"/>
      <c r="G55" s="2006"/>
      <c r="H55" s="2006"/>
      <c r="I55" s="2006"/>
      <c r="J55" s="2024"/>
      <c r="K55" s="2024"/>
      <c r="L55" s="2024"/>
      <c r="M55" s="2024"/>
      <c r="N55" s="2024"/>
      <c r="O55" s="2024"/>
      <c r="P55" s="2024"/>
      <c r="Q55" s="2024"/>
      <c r="R55" s="2025"/>
      <c r="S55" s="2025"/>
      <c r="T55" s="2025"/>
      <c r="U55" s="2025"/>
      <c r="V55" s="2025"/>
      <c r="W55" s="2025"/>
      <c r="X55" s="2025"/>
      <c r="Y55" s="2025"/>
      <c r="Z55" s="2026"/>
      <c r="AA55" s="2026"/>
      <c r="AB55" s="2026"/>
      <c r="AC55" s="2026"/>
      <c r="AD55" s="2026"/>
      <c r="AE55" s="2026"/>
      <c r="AF55" s="2026"/>
      <c r="AG55" s="2026"/>
      <c r="AH55" s="2027"/>
      <c r="AI55" s="2027"/>
      <c r="AJ55" s="2027"/>
      <c r="AK55" s="2027"/>
      <c r="AL55" s="2027"/>
      <c r="AM55" s="2027"/>
      <c r="AN55" s="2027"/>
      <c r="AO55" s="2028"/>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5"/>
      <c r="C56" s="2006"/>
      <c r="D56" s="2006"/>
      <c r="E56" s="2006"/>
      <c r="F56" s="2006"/>
      <c r="G56" s="2006"/>
      <c r="H56" s="2006"/>
      <c r="I56" s="2006"/>
      <c r="J56" s="2024"/>
      <c r="K56" s="2024"/>
      <c r="L56" s="2024"/>
      <c r="M56" s="2024"/>
      <c r="N56" s="2024"/>
      <c r="O56" s="2024"/>
      <c r="P56" s="2024"/>
      <c r="Q56" s="2024"/>
      <c r="R56" s="2025"/>
      <c r="S56" s="2025"/>
      <c r="T56" s="2025"/>
      <c r="U56" s="2025"/>
      <c r="V56" s="2025"/>
      <c r="W56" s="2025"/>
      <c r="X56" s="2025"/>
      <c r="Y56" s="2025"/>
      <c r="Z56" s="2026"/>
      <c r="AA56" s="2026"/>
      <c r="AB56" s="2026"/>
      <c r="AC56" s="2026"/>
      <c r="AD56" s="2026"/>
      <c r="AE56" s="2026"/>
      <c r="AF56" s="2026"/>
      <c r="AG56" s="2026"/>
      <c r="AH56" s="2027"/>
      <c r="AI56" s="2027"/>
      <c r="AJ56" s="2027"/>
      <c r="AK56" s="2027"/>
      <c r="AL56" s="2027"/>
      <c r="AM56" s="2027"/>
      <c r="AN56" s="2027"/>
      <c r="AO56" s="2028"/>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8" t="s">
        <v>1575</v>
      </c>
      <c r="C57" s="2039"/>
      <c r="D57" s="2039"/>
      <c r="E57" s="2039"/>
      <c r="F57" s="2039"/>
      <c r="G57" s="2039"/>
      <c r="H57" s="2039"/>
      <c r="I57" s="2039"/>
      <c r="J57" s="2039"/>
      <c r="K57" s="2039"/>
      <c r="L57" s="2039"/>
      <c r="M57" s="2039"/>
      <c r="N57" s="2039"/>
      <c r="O57" s="2039"/>
      <c r="P57" s="2039"/>
      <c r="Q57" s="2039"/>
      <c r="R57" s="2040">
        <f>SUM(R52:Y56)</f>
        <v>0</v>
      </c>
      <c r="S57" s="2040"/>
      <c r="T57" s="2040"/>
      <c r="U57" s="2040"/>
      <c r="V57" s="2040"/>
      <c r="W57" s="2040"/>
      <c r="X57" s="2040"/>
      <c r="Y57" s="2040"/>
      <c r="Z57" s="2041">
        <f>SUM(Z52:AG56)</f>
        <v>0</v>
      </c>
      <c r="AA57" s="2041"/>
      <c r="AB57" s="2041"/>
      <c r="AC57" s="2041"/>
      <c r="AD57" s="2041"/>
      <c r="AE57" s="2041"/>
      <c r="AF57" s="2041"/>
      <c r="AG57" s="2041"/>
      <c r="AH57" s="2042"/>
      <c r="AI57" s="2042"/>
      <c r="AJ57" s="2042"/>
      <c r="AK57" s="2042"/>
      <c r="AL57" s="2042"/>
      <c r="AM57" s="2042"/>
      <c r="AN57" s="2042"/>
      <c r="AO57" s="2043"/>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9" t="s">
        <v>2330</v>
      </c>
      <c r="C59" s="2030"/>
      <c r="D59" s="2030"/>
      <c r="E59" s="2030"/>
      <c r="F59" s="2030"/>
      <c r="G59" s="2030"/>
      <c r="H59" s="2030"/>
      <c r="I59" s="2031"/>
      <c r="J59" s="1923" t="s">
        <v>2329</v>
      </c>
      <c r="K59" s="1923"/>
      <c r="L59" s="1923"/>
      <c r="M59" s="1923"/>
      <c r="N59" s="1923"/>
      <c r="O59" s="1923"/>
      <c r="P59" s="1923"/>
      <c r="Q59" s="1923"/>
      <c r="R59" s="1923"/>
      <c r="S59" s="1923"/>
      <c r="T59" s="1923"/>
      <c r="U59" s="1923"/>
      <c r="V59" s="1923"/>
      <c r="W59" s="1923"/>
      <c r="X59" s="1923"/>
      <c r="Y59" s="1923"/>
      <c r="Z59" s="1923"/>
      <c r="AA59" s="1923"/>
      <c r="AB59" s="1923"/>
      <c r="AC59" s="1923"/>
      <c r="AD59" s="1923"/>
      <c r="AE59" s="1923"/>
      <c r="AF59" s="1923"/>
      <c r="AG59" s="1923"/>
      <c r="AH59" s="1923"/>
      <c r="AI59" s="1923"/>
      <c r="AJ59" s="1923"/>
      <c r="AK59" s="1923"/>
      <c r="AL59" s="1923"/>
      <c r="AM59" s="1923"/>
      <c r="AN59" s="1923"/>
      <c r="AO59" s="1923"/>
      <c r="AP59" s="1923"/>
      <c r="AQ59" s="1923"/>
      <c r="AR59" s="1923"/>
      <c r="AS59" s="1923"/>
      <c r="AT59" s="1923"/>
      <c r="AU59" s="1923"/>
      <c r="AV59" s="1923"/>
      <c r="AW59" s="1924"/>
      <c r="AX59" s="1208"/>
      <c r="AY59" s="1208"/>
      <c r="AZ59" s="1208"/>
      <c r="BA59" s="1208"/>
      <c r="BB59" s="1208"/>
      <c r="BC59" s="1208"/>
      <c r="BD59" s="1208"/>
      <c r="BE59" s="1215"/>
    </row>
    <row r="60" spans="1:77" ht="15.75" customHeight="1">
      <c r="A60" s="1208"/>
      <c r="B60" s="2032"/>
      <c r="C60" s="2033"/>
      <c r="D60" s="2033"/>
      <c r="E60" s="2033"/>
      <c r="F60" s="2033"/>
      <c r="G60" s="2033"/>
      <c r="H60" s="2033"/>
      <c r="I60" s="2034"/>
      <c r="J60" s="2035"/>
      <c r="K60" s="2036"/>
      <c r="L60" s="2036"/>
      <c r="M60" s="2036"/>
      <c r="N60" s="2036"/>
      <c r="O60" s="2036"/>
      <c r="P60" s="2036"/>
      <c r="Q60" s="2036"/>
      <c r="R60" s="2036"/>
      <c r="S60" s="2036"/>
      <c r="T60" s="2036"/>
      <c r="U60" s="2036"/>
      <c r="V60" s="2036"/>
      <c r="W60" s="2036"/>
      <c r="X60" s="2036"/>
      <c r="Y60" s="2036"/>
      <c r="Z60" s="2036"/>
      <c r="AA60" s="2036"/>
      <c r="AB60" s="2036"/>
      <c r="AC60" s="2036"/>
      <c r="AD60" s="2036"/>
      <c r="AE60" s="2036"/>
      <c r="AF60" s="2036"/>
      <c r="AG60" s="2036"/>
      <c r="AH60" s="2036"/>
      <c r="AI60" s="2036"/>
      <c r="AJ60" s="2036"/>
      <c r="AK60" s="2036"/>
      <c r="AL60" s="2036"/>
      <c r="AM60" s="2036"/>
      <c r="AN60" s="2036"/>
      <c r="AO60" s="2036"/>
      <c r="AP60" s="2036"/>
      <c r="AQ60" s="2036"/>
      <c r="AR60" s="2036"/>
      <c r="AS60" s="2036"/>
      <c r="AT60" s="2036"/>
      <c r="AU60" s="2036"/>
      <c r="AV60" s="2036"/>
      <c r="AW60" s="2037"/>
      <c r="AX60" s="1208"/>
      <c r="AY60" s="1208"/>
      <c r="AZ60" s="1208"/>
      <c r="BA60" s="1208"/>
      <c r="BB60" s="1208"/>
      <c r="BC60" s="1208"/>
      <c r="BD60" s="1208"/>
      <c r="BE60" s="1215"/>
    </row>
    <row r="61" spans="1:77" ht="15.75" customHeight="1">
      <c r="A61" s="1208"/>
      <c r="B61" s="2032"/>
      <c r="C61" s="2033"/>
      <c r="D61" s="2033"/>
      <c r="E61" s="2033"/>
      <c r="F61" s="2033"/>
      <c r="G61" s="2033"/>
      <c r="H61" s="2033"/>
      <c r="I61" s="2034"/>
      <c r="J61" s="2035"/>
      <c r="K61" s="2036"/>
      <c r="L61" s="2036"/>
      <c r="M61" s="2036"/>
      <c r="N61" s="2036"/>
      <c r="O61" s="2036"/>
      <c r="P61" s="2036"/>
      <c r="Q61" s="2036"/>
      <c r="R61" s="2036"/>
      <c r="S61" s="2036"/>
      <c r="T61" s="2036"/>
      <c r="U61" s="2036"/>
      <c r="V61" s="2036"/>
      <c r="W61" s="2036"/>
      <c r="X61" s="2036"/>
      <c r="Y61" s="2036"/>
      <c r="Z61" s="2036"/>
      <c r="AA61" s="2036"/>
      <c r="AB61" s="2036"/>
      <c r="AC61" s="2036"/>
      <c r="AD61" s="2036"/>
      <c r="AE61" s="2036"/>
      <c r="AF61" s="2036"/>
      <c r="AG61" s="2036"/>
      <c r="AH61" s="2036"/>
      <c r="AI61" s="2036"/>
      <c r="AJ61" s="2036"/>
      <c r="AK61" s="2036"/>
      <c r="AL61" s="2036"/>
      <c r="AM61" s="2036"/>
      <c r="AN61" s="2036"/>
      <c r="AO61" s="2036"/>
      <c r="AP61" s="2036"/>
      <c r="AQ61" s="2036"/>
      <c r="AR61" s="2036"/>
      <c r="AS61" s="2036"/>
      <c r="AT61" s="2036"/>
      <c r="AU61" s="2036"/>
      <c r="AV61" s="2036"/>
      <c r="AW61" s="2037"/>
      <c r="AX61" s="1208"/>
      <c r="AY61" s="1208"/>
      <c r="AZ61" s="1208"/>
      <c r="BA61" s="1208"/>
      <c r="BB61" s="1208"/>
      <c r="BC61" s="1208"/>
      <c r="BD61" s="1208"/>
      <c r="BE61" s="1215"/>
    </row>
    <row r="62" spans="1:77" ht="15.75" customHeight="1">
      <c r="A62" s="1208"/>
      <c r="B62" s="2032" t="str">
        <f>IF(B54="", "", B54)</f>
        <v/>
      </c>
      <c r="C62" s="2033"/>
      <c r="D62" s="2033"/>
      <c r="E62" s="2033"/>
      <c r="F62" s="2033"/>
      <c r="G62" s="2033"/>
      <c r="H62" s="2033"/>
      <c r="I62" s="2034"/>
      <c r="J62" s="2035"/>
      <c r="K62" s="2036"/>
      <c r="L62" s="2036"/>
      <c r="M62" s="2036"/>
      <c r="N62" s="2036"/>
      <c r="O62" s="2036"/>
      <c r="P62" s="2036"/>
      <c r="Q62" s="2036"/>
      <c r="R62" s="2036"/>
      <c r="S62" s="2036"/>
      <c r="T62" s="2036"/>
      <c r="U62" s="2036"/>
      <c r="V62" s="2036"/>
      <c r="W62" s="2036"/>
      <c r="X62" s="2036"/>
      <c r="Y62" s="2036"/>
      <c r="Z62" s="2036"/>
      <c r="AA62" s="2036"/>
      <c r="AB62" s="2036"/>
      <c r="AC62" s="2036"/>
      <c r="AD62" s="2036"/>
      <c r="AE62" s="2036"/>
      <c r="AF62" s="2036"/>
      <c r="AG62" s="2036"/>
      <c r="AH62" s="2036"/>
      <c r="AI62" s="2036"/>
      <c r="AJ62" s="2036"/>
      <c r="AK62" s="2036"/>
      <c r="AL62" s="2036"/>
      <c r="AM62" s="2036"/>
      <c r="AN62" s="2036"/>
      <c r="AO62" s="2036"/>
      <c r="AP62" s="2036"/>
      <c r="AQ62" s="2036"/>
      <c r="AR62" s="2036"/>
      <c r="AS62" s="2036"/>
      <c r="AT62" s="2036"/>
      <c r="AU62" s="2036"/>
      <c r="AV62" s="2036"/>
      <c r="AW62" s="2037"/>
      <c r="AX62" s="1208"/>
      <c r="AY62" s="1208"/>
      <c r="AZ62" s="1208"/>
      <c r="BA62" s="1208"/>
      <c r="BB62" s="1208"/>
      <c r="BC62" s="1208"/>
      <c r="BD62" s="1208"/>
      <c r="BE62" s="1215"/>
    </row>
    <row r="63" spans="1:77" ht="15.75" customHeight="1">
      <c r="A63" s="1208"/>
      <c r="B63" s="2032" t="str">
        <f>IF(B55="", "", B55)</f>
        <v/>
      </c>
      <c r="C63" s="2033"/>
      <c r="D63" s="2033"/>
      <c r="E63" s="2033"/>
      <c r="F63" s="2033"/>
      <c r="G63" s="2033"/>
      <c r="H63" s="2033"/>
      <c r="I63" s="2034"/>
      <c r="J63" s="2035"/>
      <c r="K63" s="2036"/>
      <c r="L63" s="2036"/>
      <c r="M63" s="2036"/>
      <c r="N63" s="2036"/>
      <c r="O63" s="2036"/>
      <c r="P63" s="2036"/>
      <c r="Q63" s="2036"/>
      <c r="R63" s="2036"/>
      <c r="S63" s="2036"/>
      <c r="T63" s="2036"/>
      <c r="U63" s="2036"/>
      <c r="V63" s="2036"/>
      <c r="W63" s="2036"/>
      <c r="X63" s="2036"/>
      <c r="Y63" s="2036"/>
      <c r="Z63" s="2036"/>
      <c r="AA63" s="2036"/>
      <c r="AB63" s="2036"/>
      <c r="AC63" s="2036"/>
      <c r="AD63" s="2036"/>
      <c r="AE63" s="2036"/>
      <c r="AF63" s="2036"/>
      <c r="AG63" s="2036"/>
      <c r="AH63" s="2036"/>
      <c r="AI63" s="2036"/>
      <c r="AJ63" s="2036"/>
      <c r="AK63" s="2036"/>
      <c r="AL63" s="2036"/>
      <c r="AM63" s="2036"/>
      <c r="AN63" s="2036"/>
      <c r="AO63" s="2036"/>
      <c r="AP63" s="2036"/>
      <c r="AQ63" s="2036"/>
      <c r="AR63" s="2036"/>
      <c r="AS63" s="2036"/>
      <c r="AT63" s="2036"/>
      <c r="AU63" s="2036"/>
      <c r="AV63" s="2036"/>
      <c r="AW63" s="2037"/>
      <c r="AX63" s="1208"/>
      <c r="AY63" s="1208"/>
      <c r="AZ63" s="1208"/>
      <c r="BA63" s="1208"/>
      <c r="BB63" s="1208"/>
      <c r="BC63" s="1208"/>
      <c r="BD63" s="1208"/>
      <c r="BE63" s="1215"/>
    </row>
    <row r="64" spans="1:77" ht="15.75" customHeight="1" thickBot="1">
      <c r="A64" s="1208"/>
      <c r="B64" s="2052" t="str">
        <f>IF(B56="", "", B56)</f>
        <v/>
      </c>
      <c r="C64" s="2053"/>
      <c r="D64" s="2053"/>
      <c r="E64" s="2053"/>
      <c r="F64" s="2053"/>
      <c r="G64" s="2053"/>
      <c r="H64" s="2053"/>
      <c r="I64" s="2054"/>
      <c r="J64" s="2055"/>
      <c r="K64" s="2056"/>
      <c r="L64" s="2056"/>
      <c r="M64" s="2056"/>
      <c r="N64" s="2056"/>
      <c r="O64" s="2056"/>
      <c r="P64" s="2056"/>
      <c r="Q64" s="2056"/>
      <c r="R64" s="2056"/>
      <c r="S64" s="2056"/>
      <c r="T64" s="2056"/>
      <c r="U64" s="2056"/>
      <c r="V64" s="2056"/>
      <c r="W64" s="2056"/>
      <c r="X64" s="2056"/>
      <c r="Y64" s="2056"/>
      <c r="Z64" s="2056"/>
      <c r="AA64" s="2056"/>
      <c r="AB64" s="2056"/>
      <c r="AC64" s="2056"/>
      <c r="AD64" s="2056"/>
      <c r="AE64" s="2056"/>
      <c r="AF64" s="2056"/>
      <c r="AG64" s="2056"/>
      <c r="AH64" s="2056"/>
      <c r="AI64" s="2056"/>
      <c r="AJ64" s="2056"/>
      <c r="AK64" s="2056"/>
      <c r="AL64" s="2056"/>
      <c r="AM64" s="2056"/>
      <c r="AN64" s="2056"/>
      <c r="AO64" s="2056"/>
      <c r="AP64" s="2056"/>
      <c r="AQ64" s="2056"/>
      <c r="AR64" s="2056"/>
      <c r="AS64" s="2056"/>
      <c r="AT64" s="2056"/>
      <c r="AU64" s="2056"/>
      <c r="AV64" s="2056"/>
      <c r="AW64" s="2057"/>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2328</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2" t="s">
        <v>2327</v>
      </c>
      <c r="C68" s="1923"/>
      <c r="D68" s="1923"/>
      <c r="E68" s="1923"/>
      <c r="F68" s="1923"/>
      <c r="G68" s="1923"/>
      <c r="H68" s="1923"/>
      <c r="I68" s="1923"/>
      <c r="J68" s="1923"/>
      <c r="K68" s="1923"/>
      <c r="L68" s="1923"/>
      <c r="M68" s="1923"/>
      <c r="N68" s="1923"/>
      <c r="O68" s="1923"/>
      <c r="P68" s="1923"/>
      <c r="Q68" s="1923"/>
      <c r="R68" s="1923"/>
      <c r="S68" s="1923"/>
      <c r="T68" s="1923"/>
      <c r="U68" s="1923"/>
      <c r="V68" s="1923"/>
      <c r="W68" s="1923"/>
      <c r="X68" s="1923"/>
      <c r="Y68" s="1923"/>
      <c r="Z68" s="1923"/>
      <c r="AA68" s="1924"/>
      <c r="AB68" s="1208"/>
      <c r="AC68" s="2064" t="s">
        <v>2326</v>
      </c>
      <c r="AD68" s="2065"/>
      <c r="AE68" s="2065"/>
      <c r="AF68" s="2065"/>
      <c r="AG68" s="2065"/>
      <c r="AH68" s="2065"/>
      <c r="AI68" s="2065"/>
      <c r="AJ68" s="2065"/>
      <c r="AK68" s="2065"/>
      <c r="AL68" s="2065"/>
      <c r="AM68" s="2065"/>
      <c r="AN68" s="2065"/>
      <c r="AO68" s="2065"/>
      <c r="AP68" s="2065"/>
      <c r="AQ68" s="2065"/>
      <c r="AR68" s="2065"/>
      <c r="AS68" s="2065"/>
      <c r="AT68" s="2065"/>
      <c r="AU68" s="2065"/>
      <c r="AV68" s="2044" t="s">
        <v>669</v>
      </c>
      <c r="AW68" s="2045"/>
      <c r="AX68" s="2045"/>
      <c r="AY68" s="2045"/>
      <c r="AZ68" s="2045"/>
      <c r="BA68" s="2045"/>
      <c r="BB68" s="2045"/>
      <c r="BC68" s="2046"/>
      <c r="BD68" s="1208"/>
      <c r="BE68" s="1215"/>
      <c r="BM68" s="1221" t="s">
        <v>2325</v>
      </c>
    </row>
    <row r="69" spans="1:94" ht="15.75" customHeight="1" thickTop="1" thickBot="1">
      <c r="A69" s="1208"/>
      <c r="B69" s="2047" t="s">
        <v>2324</v>
      </c>
      <c r="C69" s="2048"/>
      <c r="D69" s="2048"/>
      <c r="E69" s="2048"/>
      <c r="F69" s="2048"/>
      <c r="G69" s="2048"/>
      <c r="H69" s="2048"/>
      <c r="I69" s="2048"/>
      <c r="J69" s="2048"/>
      <c r="K69" s="2048"/>
      <c r="L69" s="2048"/>
      <c r="M69" s="2048"/>
      <c r="N69" s="2048"/>
      <c r="O69" s="1895" t="s">
        <v>2323</v>
      </c>
      <c r="P69" s="1896"/>
      <c r="Q69" s="1896"/>
      <c r="R69" s="1896"/>
      <c r="S69" s="1896"/>
      <c r="T69" s="1896"/>
      <c r="U69" s="1896"/>
      <c r="V69" s="1896"/>
      <c r="W69" s="1896"/>
      <c r="X69" s="1896"/>
      <c r="Y69" s="1896"/>
      <c r="Z69" s="1896"/>
      <c r="AA69" s="2049"/>
      <c r="AB69" s="1208"/>
      <c r="AC69" s="2050" t="s">
        <v>2322</v>
      </c>
      <c r="AD69" s="2051"/>
      <c r="AE69" s="2051"/>
      <c r="AF69" s="2051"/>
      <c r="AG69" s="2051"/>
      <c r="AH69" s="2051"/>
      <c r="AI69" s="2051"/>
      <c r="AJ69" s="2051"/>
      <c r="AK69" s="2051"/>
      <c r="AL69" s="2051"/>
      <c r="AM69" s="2051"/>
      <c r="AN69" s="2051"/>
      <c r="AO69" s="2051"/>
      <c r="AP69" s="2051"/>
      <c r="AQ69" s="2051"/>
      <c r="AR69" s="2051"/>
      <c r="AS69" s="2051"/>
      <c r="AT69" s="2051"/>
      <c r="AU69" s="2051"/>
      <c r="AV69" s="2044" t="s">
        <v>669</v>
      </c>
      <c r="AW69" s="2045"/>
      <c r="AX69" s="2045"/>
      <c r="AY69" s="2045"/>
      <c r="AZ69" s="2045"/>
      <c r="BA69" s="2045"/>
      <c r="BB69" s="2045"/>
      <c r="BC69" s="2046"/>
      <c r="BD69" s="1208"/>
      <c r="BE69" s="1215"/>
      <c r="BM69" s="1222" t="s">
        <v>545</v>
      </c>
    </row>
    <row r="70" spans="1:94" ht="15.75" customHeight="1">
      <c r="A70" s="1208"/>
      <c r="B70" s="2001" t="s">
        <v>2321</v>
      </c>
      <c r="C70" s="2002"/>
      <c r="D70" s="2002"/>
      <c r="E70" s="2002"/>
      <c r="F70" s="2002"/>
      <c r="G70" s="2002"/>
      <c r="H70" s="2002"/>
      <c r="I70" s="2002"/>
      <c r="J70" s="2002"/>
      <c r="K70" s="2002"/>
      <c r="L70" s="2002"/>
      <c r="M70" s="2002"/>
      <c r="N70" s="2002"/>
      <c r="O70" s="2058">
        <v>0</v>
      </c>
      <c r="P70" s="2058"/>
      <c r="Q70" s="2058"/>
      <c r="R70" s="2058"/>
      <c r="S70" s="2058"/>
      <c r="T70" s="2058"/>
      <c r="U70" s="2058"/>
      <c r="V70" s="2058"/>
      <c r="W70" s="2058"/>
      <c r="X70" s="2058"/>
      <c r="Y70" s="2058"/>
      <c r="Z70" s="2058"/>
      <c r="AA70" s="2059"/>
      <c r="AB70" s="1208"/>
      <c r="AC70" s="2017" t="s">
        <v>2320</v>
      </c>
      <c r="AD70" s="2018"/>
      <c r="AE70" s="2018"/>
      <c r="AF70" s="2060"/>
      <c r="AG70" s="2060"/>
      <c r="AH70" s="2060"/>
      <c r="AI70" s="2060"/>
      <c r="AJ70" s="2060"/>
      <c r="AK70" s="2060"/>
      <c r="AL70" s="2060"/>
      <c r="AM70" s="2060"/>
      <c r="AN70" s="2060"/>
      <c r="AO70" s="2060"/>
      <c r="AP70" s="2060"/>
      <c r="AQ70" s="2060"/>
      <c r="AR70" s="2060"/>
      <c r="AS70" s="2060"/>
      <c r="AT70" s="2060"/>
      <c r="AU70" s="2061"/>
      <c r="AV70" s="1208"/>
      <c r="AW70" s="1208"/>
      <c r="AX70" s="1208"/>
      <c r="AY70" s="1208"/>
      <c r="AZ70" s="1208"/>
      <c r="BA70" s="1208"/>
      <c r="BB70" s="1208"/>
      <c r="BC70" s="1208"/>
      <c r="BD70" s="1208"/>
      <c r="BE70" s="1215"/>
      <c r="BM70" s="1223" t="s">
        <v>669</v>
      </c>
    </row>
    <row r="71" spans="1:94" ht="15.75" customHeight="1" thickBot="1">
      <c r="A71" s="1208"/>
      <c r="B71" s="2001" t="s">
        <v>2319</v>
      </c>
      <c r="C71" s="2002"/>
      <c r="D71" s="2002"/>
      <c r="E71" s="2002"/>
      <c r="F71" s="2002"/>
      <c r="G71" s="2002"/>
      <c r="H71" s="2002"/>
      <c r="I71" s="2002"/>
      <c r="J71" s="2002"/>
      <c r="K71" s="2002"/>
      <c r="L71" s="2002"/>
      <c r="M71" s="2002"/>
      <c r="N71" s="2002"/>
      <c r="O71" s="2058">
        <v>0</v>
      </c>
      <c r="P71" s="2058"/>
      <c r="Q71" s="2058"/>
      <c r="R71" s="2058"/>
      <c r="S71" s="2058"/>
      <c r="T71" s="2058"/>
      <c r="U71" s="2058"/>
      <c r="V71" s="2058"/>
      <c r="W71" s="2058"/>
      <c r="X71" s="2058"/>
      <c r="Y71" s="2058"/>
      <c r="Z71" s="2058"/>
      <c r="AA71" s="2059"/>
      <c r="AB71" s="1208"/>
      <c r="AC71" s="2062" t="s">
        <v>2318</v>
      </c>
      <c r="AD71" s="2063"/>
      <c r="AE71" s="2063"/>
      <c r="AF71" s="2056"/>
      <c r="AG71" s="2056"/>
      <c r="AH71" s="2056"/>
      <c r="AI71" s="2056"/>
      <c r="AJ71" s="2056"/>
      <c r="AK71" s="2056"/>
      <c r="AL71" s="2056"/>
      <c r="AM71" s="2056"/>
      <c r="AN71" s="2056"/>
      <c r="AO71" s="2056"/>
      <c r="AP71" s="2056"/>
      <c r="AQ71" s="2056"/>
      <c r="AR71" s="2056"/>
      <c r="AS71" s="2056"/>
      <c r="AT71" s="2056"/>
      <c r="AU71" s="2057"/>
      <c r="AV71" s="1208"/>
      <c r="AW71" s="1208"/>
      <c r="AX71" s="1208"/>
      <c r="AY71" s="1208"/>
      <c r="AZ71" s="1208"/>
      <c r="BA71" s="1208"/>
      <c r="BB71" s="1208"/>
      <c r="BC71" s="1208"/>
      <c r="BD71" s="1208"/>
      <c r="BE71" s="1215"/>
      <c r="BM71" s="1204" t="s">
        <v>2317</v>
      </c>
    </row>
    <row r="72" spans="1:94" ht="15.75" customHeight="1">
      <c r="A72" s="1208"/>
      <c r="B72" s="2001" t="s">
        <v>2316</v>
      </c>
      <c r="C72" s="2002"/>
      <c r="D72" s="2002"/>
      <c r="E72" s="2002"/>
      <c r="F72" s="2002"/>
      <c r="G72" s="2002"/>
      <c r="H72" s="2002"/>
      <c r="I72" s="2002"/>
      <c r="J72" s="2002"/>
      <c r="K72" s="2002"/>
      <c r="L72" s="2002"/>
      <c r="M72" s="2002"/>
      <c r="N72" s="2002"/>
      <c r="O72" s="2058">
        <v>0</v>
      </c>
      <c r="P72" s="2058"/>
      <c r="Q72" s="2058"/>
      <c r="R72" s="2058"/>
      <c r="S72" s="2058"/>
      <c r="T72" s="2058"/>
      <c r="U72" s="2058"/>
      <c r="V72" s="2058"/>
      <c r="W72" s="2058"/>
      <c r="X72" s="2058"/>
      <c r="Y72" s="2058"/>
      <c r="Z72" s="2058"/>
      <c r="AA72" s="2059"/>
      <c r="AB72" s="1208"/>
      <c r="AC72" s="2066" t="s">
        <v>2315</v>
      </c>
      <c r="AD72" s="2067"/>
      <c r="AE72" s="2067"/>
      <c r="AF72" s="2067"/>
      <c r="AG72" s="2067"/>
      <c r="AH72" s="2067"/>
      <c r="AI72" s="2067"/>
      <c r="AJ72" s="2067"/>
      <c r="AK72" s="2067"/>
      <c r="AL72" s="2067"/>
      <c r="AM72" s="2067"/>
      <c r="AN72" s="2067"/>
      <c r="AO72" s="2067"/>
      <c r="AP72" s="2067"/>
      <c r="AQ72" s="2067"/>
      <c r="AR72" s="2067"/>
      <c r="AS72" s="2067"/>
      <c r="AT72" s="2067"/>
      <c r="AU72" s="2067"/>
      <c r="AV72" s="2018"/>
      <c r="AW72" s="2018"/>
      <c r="AX72" s="2018"/>
      <c r="AY72" s="2018"/>
      <c r="AZ72" s="2018"/>
      <c r="BA72" s="2018"/>
      <c r="BB72" s="2018"/>
      <c r="BC72" s="2019"/>
      <c r="BD72" s="1208"/>
      <c r="BE72" s="1215"/>
    </row>
    <row r="73" spans="1:94" ht="15.75" customHeight="1">
      <c r="A73" s="1208"/>
      <c r="B73" s="2005" t="s">
        <v>2746</v>
      </c>
      <c r="C73" s="2006"/>
      <c r="D73" s="2006"/>
      <c r="E73" s="2006"/>
      <c r="F73" s="2006"/>
      <c r="G73" s="2006"/>
      <c r="H73" s="2006"/>
      <c r="I73" s="2006"/>
      <c r="J73" s="2006"/>
      <c r="K73" s="2006"/>
      <c r="L73" s="2006"/>
      <c r="M73" s="2006"/>
      <c r="N73" s="2006"/>
      <c r="O73" s="2058"/>
      <c r="P73" s="2058"/>
      <c r="Q73" s="2058"/>
      <c r="R73" s="2058"/>
      <c r="S73" s="2058"/>
      <c r="T73" s="2058"/>
      <c r="U73" s="2058"/>
      <c r="V73" s="2058"/>
      <c r="W73" s="2058"/>
      <c r="X73" s="2058"/>
      <c r="Y73" s="2058"/>
      <c r="Z73" s="2058"/>
      <c r="AA73" s="2059"/>
      <c r="AB73" s="1208"/>
      <c r="AC73" s="2068" t="s">
        <v>2270</v>
      </c>
      <c r="AD73" s="2069"/>
      <c r="AE73" s="2069"/>
      <c r="AF73" s="2069"/>
      <c r="AG73" s="2069"/>
      <c r="AH73" s="2069"/>
      <c r="AI73" s="2069"/>
      <c r="AJ73" s="2069"/>
      <c r="AK73" s="2069"/>
      <c r="AL73" s="2069"/>
      <c r="AM73" s="2069"/>
      <c r="AN73" s="2069"/>
      <c r="AO73" s="2069"/>
      <c r="AP73" s="2069"/>
      <c r="AQ73" s="2069"/>
      <c r="AR73" s="2069"/>
      <c r="AS73" s="2069"/>
      <c r="AT73" s="2069"/>
      <c r="AU73" s="2069"/>
      <c r="AV73" s="2069"/>
      <c r="AW73" s="2069"/>
      <c r="AX73" s="2069"/>
      <c r="AY73" s="2069"/>
      <c r="AZ73" s="2069"/>
      <c r="BA73" s="2069"/>
      <c r="BB73" s="2069"/>
      <c r="BC73" s="2070"/>
      <c r="BD73" s="1208"/>
      <c r="BE73" s="1215"/>
      <c r="CK73" s="1206"/>
      <c r="CL73" s="1206"/>
      <c r="CM73" s="1206"/>
      <c r="CN73" s="1206"/>
      <c r="CO73" s="1206"/>
      <c r="CP73" s="1206"/>
    </row>
    <row r="74" spans="1:94" ht="15.75" customHeight="1">
      <c r="A74" s="1208"/>
      <c r="B74" s="2074"/>
      <c r="C74" s="2024"/>
      <c r="D74" s="2024"/>
      <c r="E74" s="2024"/>
      <c r="F74" s="2024"/>
      <c r="G74" s="2024"/>
      <c r="H74" s="2024"/>
      <c r="I74" s="2024"/>
      <c r="J74" s="2024"/>
      <c r="K74" s="2024"/>
      <c r="L74" s="2024"/>
      <c r="M74" s="2024"/>
      <c r="N74" s="2024"/>
      <c r="O74" s="2058"/>
      <c r="P74" s="2058"/>
      <c r="Q74" s="2058"/>
      <c r="R74" s="2058"/>
      <c r="S74" s="2058"/>
      <c r="T74" s="2058"/>
      <c r="U74" s="2058"/>
      <c r="V74" s="2058"/>
      <c r="W74" s="2058"/>
      <c r="X74" s="2058"/>
      <c r="Y74" s="2058"/>
      <c r="Z74" s="2058"/>
      <c r="AA74" s="2059"/>
      <c r="AB74" s="1208"/>
      <c r="AC74" s="2068"/>
      <c r="AD74" s="2069"/>
      <c r="AE74" s="2069"/>
      <c r="AF74" s="2069"/>
      <c r="AG74" s="2069"/>
      <c r="AH74" s="2069"/>
      <c r="AI74" s="2069"/>
      <c r="AJ74" s="2069"/>
      <c r="AK74" s="2069"/>
      <c r="AL74" s="2069"/>
      <c r="AM74" s="2069"/>
      <c r="AN74" s="2069"/>
      <c r="AO74" s="2069"/>
      <c r="AP74" s="2069"/>
      <c r="AQ74" s="2069"/>
      <c r="AR74" s="2069"/>
      <c r="AS74" s="2069"/>
      <c r="AT74" s="2069"/>
      <c r="AU74" s="2069"/>
      <c r="AV74" s="2069"/>
      <c r="AW74" s="2069"/>
      <c r="AX74" s="2069"/>
      <c r="AY74" s="2069"/>
      <c r="AZ74" s="2069"/>
      <c r="BA74" s="2069"/>
      <c r="BB74" s="2069"/>
      <c r="BC74" s="2070"/>
      <c r="BD74" s="1208"/>
      <c r="BE74" s="1215"/>
      <c r="CK74" s="1206"/>
      <c r="CL74" s="1206"/>
      <c r="CM74" s="1206"/>
      <c r="CN74" s="1206"/>
      <c r="CO74" s="1206"/>
      <c r="CP74" s="1206"/>
    </row>
    <row r="75" spans="1:94" ht="15.75" customHeight="1" thickBot="1">
      <c r="A75" s="1208"/>
      <c r="B75" s="2075" t="s">
        <v>124</v>
      </c>
      <c r="C75" s="2076"/>
      <c r="D75" s="2076"/>
      <c r="E75" s="2076"/>
      <c r="F75" s="2076"/>
      <c r="G75" s="2076"/>
      <c r="H75" s="2076"/>
      <c r="I75" s="2076"/>
      <c r="J75" s="2076"/>
      <c r="K75" s="2076"/>
      <c r="L75" s="2076"/>
      <c r="M75" s="2076"/>
      <c r="N75" s="2076"/>
      <c r="O75" s="2077">
        <f>SUM(O70:AA74)</f>
        <v>0</v>
      </c>
      <c r="P75" s="2077"/>
      <c r="Q75" s="2077"/>
      <c r="R75" s="2077"/>
      <c r="S75" s="2077"/>
      <c r="T75" s="2077"/>
      <c r="U75" s="2077"/>
      <c r="V75" s="2077"/>
      <c r="W75" s="2077"/>
      <c r="X75" s="2077"/>
      <c r="Y75" s="2077"/>
      <c r="Z75" s="2077"/>
      <c r="AA75" s="2078"/>
      <c r="AB75" s="1208"/>
      <c r="AC75" s="2068"/>
      <c r="AD75" s="2069"/>
      <c r="AE75" s="2069"/>
      <c r="AF75" s="2069"/>
      <c r="AG75" s="2069"/>
      <c r="AH75" s="2069"/>
      <c r="AI75" s="2069"/>
      <c r="AJ75" s="2069"/>
      <c r="AK75" s="2069"/>
      <c r="AL75" s="2069"/>
      <c r="AM75" s="2069"/>
      <c r="AN75" s="2069"/>
      <c r="AO75" s="2069"/>
      <c r="AP75" s="2069"/>
      <c r="AQ75" s="2069"/>
      <c r="AR75" s="2069"/>
      <c r="AS75" s="2069"/>
      <c r="AT75" s="2069"/>
      <c r="AU75" s="2069"/>
      <c r="AV75" s="2069"/>
      <c r="AW75" s="2069"/>
      <c r="AX75" s="2069"/>
      <c r="AY75" s="2069"/>
      <c r="AZ75" s="2069"/>
      <c r="BA75" s="2069"/>
      <c r="BB75" s="2069"/>
      <c r="BC75" s="2070"/>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8"/>
      <c r="AD76" s="2069"/>
      <c r="AE76" s="2069"/>
      <c r="AF76" s="2069"/>
      <c r="AG76" s="2069"/>
      <c r="AH76" s="2069"/>
      <c r="AI76" s="2069"/>
      <c r="AJ76" s="2069"/>
      <c r="AK76" s="2069"/>
      <c r="AL76" s="2069"/>
      <c r="AM76" s="2069"/>
      <c r="AN76" s="2069"/>
      <c r="AO76" s="2069"/>
      <c r="AP76" s="2069"/>
      <c r="AQ76" s="2069"/>
      <c r="AR76" s="2069"/>
      <c r="AS76" s="2069"/>
      <c r="AT76" s="2069"/>
      <c r="AU76" s="2069"/>
      <c r="AV76" s="2069"/>
      <c r="AW76" s="2069"/>
      <c r="AX76" s="2069"/>
      <c r="AY76" s="2069"/>
      <c r="AZ76" s="2069"/>
      <c r="BA76" s="2069"/>
      <c r="BB76" s="2069"/>
      <c r="BC76" s="2070"/>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1"/>
      <c r="AD77" s="2072"/>
      <c r="AE77" s="2072"/>
      <c r="AF77" s="2072"/>
      <c r="AG77" s="2072"/>
      <c r="AH77" s="2072"/>
      <c r="AI77" s="2072"/>
      <c r="AJ77" s="2072"/>
      <c r="AK77" s="2072"/>
      <c r="AL77" s="2072"/>
      <c r="AM77" s="2072"/>
      <c r="AN77" s="2072"/>
      <c r="AO77" s="2072"/>
      <c r="AP77" s="2072"/>
      <c r="AQ77" s="2072"/>
      <c r="AR77" s="2072"/>
      <c r="AS77" s="2072"/>
      <c r="AT77" s="2072"/>
      <c r="AU77" s="2072"/>
      <c r="AV77" s="2072"/>
      <c r="AW77" s="2072"/>
      <c r="AX77" s="2072"/>
      <c r="AY77" s="2072"/>
      <c r="AZ77" s="2072"/>
      <c r="BA77" s="2072"/>
      <c r="BB77" s="2072"/>
      <c r="BC77" s="2073"/>
      <c r="BD77" s="1208"/>
      <c r="BE77" s="1215"/>
      <c r="CK77" s="1206"/>
      <c r="CL77" s="1206"/>
      <c r="CM77" s="1206"/>
      <c r="CN77" s="1206"/>
      <c r="CO77" s="1206"/>
      <c r="CP77" s="1206"/>
    </row>
    <row r="78" spans="1:94" ht="15.75" customHeight="1" thickBot="1">
      <c r="A78" s="1208"/>
      <c r="B78" s="1224" t="s">
        <v>2314</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079"/>
      <c r="G79" s="2080"/>
      <c r="H79" s="2080"/>
      <c r="I79" s="2080"/>
      <c r="J79" s="2080"/>
      <c r="K79" s="2080"/>
      <c r="L79" s="2080"/>
      <c r="M79" s="2080"/>
      <c r="N79" s="2080"/>
      <c r="O79" s="2080"/>
      <c r="P79" s="2080"/>
      <c r="Q79" s="2080"/>
      <c r="R79" s="2080"/>
      <c r="S79" s="2080"/>
      <c r="T79" s="2081"/>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2" t="s">
        <v>2313</v>
      </c>
      <c r="C81" s="2083"/>
      <c r="D81" s="2083"/>
      <c r="E81" s="2083"/>
      <c r="F81" s="2083"/>
      <c r="G81" s="2083"/>
      <c r="H81" s="2083"/>
      <c r="I81" s="2083"/>
      <c r="J81" s="2083"/>
      <c r="K81" s="2083"/>
      <c r="L81" s="2083"/>
      <c r="M81" s="2083"/>
      <c r="N81" s="2083"/>
      <c r="O81" s="2083"/>
      <c r="P81" s="2083"/>
      <c r="Q81" s="2083"/>
      <c r="R81" s="2083"/>
      <c r="S81" s="2083"/>
      <c r="T81" s="2083"/>
      <c r="U81" s="2083"/>
      <c r="V81" s="2083"/>
      <c r="W81" s="2083"/>
      <c r="X81" s="2083"/>
      <c r="Y81" s="2083"/>
      <c r="Z81" s="2083"/>
      <c r="AA81" s="2083"/>
      <c r="AB81" s="2083"/>
      <c r="AC81" s="2083"/>
      <c r="AD81" s="2083"/>
      <c r="AE81" s="2083"/>
      <c r="AF81" s="2083"/>
      <c r="AG81" s="2083"/>
      <c r="AH81" s="2084"/>
      <c r="AI81" s="1208"/>
      <c r="AJ81" s="2085" t="s">
        <v>2609</v>
      </c>
      <c r="AK81" s="2086"/>
      <c r="AL81" s="2086"/>
      <c r="AM81" s="2086"/>
      <c r="AN81" s="2086"/>
      <c r="AO81" s="2086"/>
      <c r="AP81" s="2086"/>
      <c r="AQ81" s="2086"/>
      <c r="AR81" s="2086"/>
      <c r="AS81" s="2086"/>
      <c r="AT81" s="2086"/>
      <c r="AU81" s="2086"/>
      <c r="AV81" s="2086"/>
      <c r="AW81" s="2086"/>
      <c r="AX81" s="2086"/>
      <c r="AY81" s="2089"/>
      <c r="AZ81" s="2089"/>
      <c r="BA81" s="2089"/>
      <c r="BB81" s="2090"/>
      <c r="BC81" s="1208"/>
      <c r="BD81" s="1208"/>
      <c r="BE81" s="1215"/>
      <c r="CK81" s="1206"/>
      <c r="CL81" s="1206"/>
      <c r="CM81" s="1206"/>
      <c r="CN81" s="1206"/>
      <c r="CO81" s="1206"/>
      <c r="CP81" s="1206"/>
    </row>
    <row r="82" spans="1:94" ht="15.75" customHeight="1">
      <c r="A82" s="1208"/>
      <c r="B82" s="2020"/>
      <c r="C82" s="2021"/>
      <c r="D82" s="2021"/>
      <c r="E82" s="2021"/>
      <c r="F82" s="2021"/>
      <c r="G82" s="2021"/>
      <c r="H82" s="2021"/>
      <c r="I82" s="2021" t="s">
        <v>2307</v>
      </c>
      <c r="J82" s="2021"/>
      <c r="K82" s="2021"/>
      <c r="L82" s="2021"/>
      <c r="M82" s="2021"/>
      <c r="N82" s="2021"/>
      <c r="O82" s="2021" t="s">
        <v>2286</v>
      </c>
      <c r="P82" s="2021"/>
      <c r="Q82" s="2021"/>
      <c r="R82" s="2021"/>
      <c r="S82" s="2021"/>
      <c r="T82" s="2021"/>
      <c r="U82" s="2021"/>
      <c r="V82" s="2093" t="s">
        <v>2285</v>
      </c>
      <c r="W82" s="2093"/>
      <c r="X82" s="2093"/>
      <c r="Y82" s="2093"/>
      <c r="Z82" s="2093"/>
      <c r="AA82" s="2093"/>
      <c r="AB82" s="2094" t="s">
        <v>2306</v>
      </c>
      <c r="AC82" s="2094"/>
      <c r="AD82" s="2094"/>
      <c r="AE82" s="2094"/>
      <c r="AF82" s="2094"/>
      <c r="AG82" s="2094"/>
      <c r="AH82" s="2095"/>
      <c r="AI82" s="1208"/>
      <c r="AJ82" s="2087"/>
      <c r="AK82" s="2088"/>
      <c r="AL82" s="2088"/>
      <c r="AM82" s="2088"/>
      <c r="AN82" s="2088"/>
      <c r="AO82" s="2088"/>
      <c r="AP82" s="2088"/>
      <c r="AQ82" s="2088"/>
      <c r="AR82" s="2088"/>
      <c r="AS82" s="2088"/>
      <c r="AT82" s="2088"/>
      <c r="AU82" s="2088"/>
      <c r="AV82" s="2088"/>
      <c r="AW82" s="2088"/>
      <c r="AX82" s="2088"/>
      <c r="AY82" s="2091"/>
      <c r="AZ82" s="2091"/>
      <c r="BA82" s="2091"/>
      <c r="BB82" s="2092"/>
      <c r="BC82" s="1208"/>
      <c r="BD82" s="1208"/>
      <c r="BE82" s="1215"/>
      <c r="CK82" s="1206"/>
      <c r="CL82" s="1206"/>
      <c r="CM82" s="1206"/>
      <c r="CN82" s="1206"/>
      <c r="CO82" s="1206"/>
      <c r="CP82" s="1206"/>
    </row>
    <row r="83" spans="1:94" ht="15.75" customHeight="1">
      <c r="A83" s="1208"/>
      <c r="B83" s="2020"/>
      <c r="C83" s="2021"/>
      <c r="D83" s="2021"/>
      <c r="E83" s="2021"/>
      <c r="F83" s="2021"/>
      <c r="G83" s="2021"/>
      <c r="H83" s="2021"/>
      <c r="I83" s="2021"/>
      <c r="J83" s="2021"/>
      <c r="K83" s="2021"/>
      <c r="L83" s="2021"/>
      <c r="M83" s="2021"/>
      <c r="N83" s="2021"/>
      <c r="O83" s="2021"/>
      <c r="P83" s="2021"/>
      <c r="Q83" s="2021"/>
      <c r="R83" s="2021"/>
      <c r="S83" s="2021"/>
      <c r="T83" s="2021"/>
      <c r="U83" s="2021"/>
      <c r="V83" s="2093"/>
      <c r="W83" s="2093"/>
      <c r="X83" s="2093"/>
      <c r="Y83" s="2093"/>
      <c r="Z83" s="2093"/>
      <c r="AA83" s="2093"/>
      <c r="AB83" s="2094"/>
      <c r="AC83" s="2094"/>
      <c r="AD83" s="2094"/>
      <c r="AE83" s="2094"/>
      <c r="AF83" s="2094"/>
      <c r="AG83" s="2094"/>
      <c r="AH83" s="2095"/>
      <c r="AI83" s="1208"/>
      <c r="AJ83" s="2087"/>
      <c r="AK83" s="2088"/>
      <c r="AL83" s="2088"/>
      <c r="AM83" s="2088"/>
      <c r="AN83" s="2088"/>
      <c r="AO83" s="2088"/>
      <c r="AP83" s="2088"/>
      <c r="AQ83" s="2088"/>
      <c r="AR83" s="2088"/>
      <c r="AS83" s="2088"/>
      <c r="AT83" s="2088"/>
      <c r="AU83" s="2088"/>
      <c r="AV83" s="2088"/>
      <c r="AW83" s="2088"/>
      <c r="AX83" s="2088"/>
      <c r="AY83" s="2091"/>
      <c r="AZ83" s="2091"/>
      <c r="BA83" s="2091"/>
      <c r="BB83" s="2092"/>
      <c r="BC83" s="1208"/>
      <c r="BD83" s="1208"/>
      <c r="BE83" s="1215"/>
      <c r="CK83" s="1206"/>
      <c r="CL83" s="1206"/>
      <c r="CM83" s="1206"/>
      <c r="CN83" s="1206"/>
      <c r="CO83" s="1206"/>
      <c r="CP83" s="1206"/>
    </row>
    <row r="84" spans="1:94" ht="15.75" customHeight="1">
      <c r="A84" s="1208"/>
      <c r="B84" s="2020" t="s">
        <v>2305</v>
      </c>
      <c r="C84" s="2021"/>
      <c r="D84" s="2021"/>
      <c r="E84" s="2021"/>
      <c r="F84" s="2021"/>
      <c r="G84" s="2021"/>
      <c r="H84" s="2021"/>
      <c r="I84" s="2099"/>
      <c r="J84" s="2099"/>
      <c r="K84" s="2099"/>
      <c r="L84" s="2099"/>
      <c r="M84" s="2099"/>
      <c r="N84" s="2099"/>
      <c r="O84" s="2099"/>
      <c r="P84" s="2099"/>
      <c r="Q84" s="2099"/>
      <c r="R84" s="2099"/>
      <c r="S84" s="2099"/>
      <c r="T84" s="2099"/>
      <c r="U84" s="2099"/>
      <c r="V84" s="2099"/>
      <c r="W84" s="2099"/>
      <c r="X84" s="2099"/>
      <c r="Y84" s="2099"/>
      <c r="Z84" s="2099"/>
      <c r="AA84" s="2099"/>
      <c r="AB84" s="2099"/>
      <c r="AC84" s="2099"/>
      <c r="AD84" s="2099"/>
      <c r="AE84" s="2099"/>
      <c r="AF84" s="2099"/>
      <c r="AG84" s="2099"/>
      <c r="AH84" s="2100"/>
      <c r="AI84" s="1208"/>
      <c r="AJ84" s="2087"/>
      <c r="AK84" s="2088"/>
      <c r="AL84" s="2088"/>
      <c r="AM84" s="2088"/>
      <c r="AN84" s="2088"/>
      <c r="AO84" s="2088"/>
      <c r="AP84" s="2088"/>
      <c r="AQ84" s="2088"/>
      <c r="AR84" s="2088"/>
      <c r="AS84" s="2088"/>
      <c r="AT84" s="2088"/>
      <c r="AU84" s="2088"/>
      <c r="AV84" s="2088"/>
      <c r="AW84" s="2088"/>
      <c r="AX84" s="2088"/>
      <c r="AY84" s="2091"/>
      <c r="AZ84" s="2091"/>
      <c r="BA84" s="2091"/>
      <c r="BB84" s="2092"/>
      <c r="BC84" s="1208"/>
      <c r="BD84" s="1208"/>
      <c r="BE84" s="1215"/>
      <c r="CK84" s="1206"/>
      <c r="CL84" s="1206"/>
      <c r="CM84" s="1206"/>
      <c r="CN84" s="1206"/>
      <c r="CO84" s="1206"/>
      <c r="CP84" s="1206"/>
    </row>
    <row r="85" spans="1:94" ht="15.75" customHeight="1">
      <c r="A85" s="1208"/>
      <c r="B85" s="2020" t="s">
        <v>2304</v>
      </c>
      <c r="C85" s="2021"/>
      <c r="D85" s="2021"/>
      <c r="E85" s="2021"/>
      <c r="F85" s="2021"/>
      <c r="G85" s="2021"/>
      <c r="H85" s="2021"/>
      <c r="I85" s="2099"/>
      <c r="J85" s="2099"/>
      <c r="K85" s="2099"/>
      <c r="L85" s="2099"/>
      <c r="M85" s="2099"/>
      <c r="N85" s="2099"/>
      <c r="O85" s="2099"/>
      <c r="P85" s="2099"/>
      <c r="Q85" s="2099"/>
      <c r="R85" s="2099"/>
      <c r="S85" s="2099"/>
      <c r="T85" s="2099"/>
      <c r="U85" s="2099"/>
      <c r="V85" s="2099"/>
      <c r="W85" s="2099"/>
      <c r="X85" s="2099"/>
      <c r="Y85" s="2099"/>
      <c r="Z85" s="2099"/>
      <c r="AA85" s="2099"/>
      <c r="AB85" s="2099"/>
      <c r="AC85" s="2099"/>
      <c r="AD85" s="2099"/>
      <c r="AE85" s="2099"/>
      <c r="AF85" s="2099"/>
      <c r="AG85" s="2099"/>
      <c r="AH85" s="2100"/>
      <c r="AI85" s="1208"/>
      <c r="AJ85" s="2096"/>
      <c r="AK85" s="2069"/>
      <c r="AL85" s="2069"/>
      <c r="AM85" s="2069"/>
      <c r="AN85" s="2069"/>
      <c r="AO85" s="2069"/>
      <c r="AP85" s="2069"/>
      <c r="AQ85" s="2069"/>
      <c r="AR85" s="2069"/>
      <c r="AS85" s="2069"/>
      <c r="AT85" s="2069"/>
      <c r="AU85" s="2069"/>
      <c r="AV85" s="2069"/>
      <c r="AW85" s="2069"/>
      <c r="AX85" s="2069"/>
      <c r="AY85" s="2069"/>
      <c r="AZ85" s="2069"/>
      <c r="BA85" s="2069"/>
      <c r="BB85" s="2070"/>
      <c r="BC85" s="1208"/>
      <c r="BD85" s="1208"/>
      <c r="BE85" s="1215"/>
      <c r="CK85" s="1206"/>
      <c r="CL85" s="1206"/>
      <c r="CM85" s="1206"/>
      <c r="CN85" s="1206"/>
      <c r="CO85" s="1206"/>
      <c r="CP85" s="1206"/>
    </row>
    <row r="86" spans="1:94" ht="15.75" customHeight="1" thickBot="1">
      <c r="A86" s="1208"/>
      <c r="B86" s="2038" t="s">
        <v>2303</v>
      </c>
      <c r="C86" s="2039"/>
      <c r="D86" s="2039"/>
      <c r="E86" s="2039"/>
      <c r="F86" s="2039"/>
      <c r="G86" s="2039"/>
      <c r="H86" s="2039"/>
      <c r="I86" s="2097"/>
      <c r="J86" s="2097"/>
      <c r="K86" s="2097"/>
      <c r="L86" s="2097"/>
      <c r="M86" s="2097"/>
      <c r="N86" s="2097"/>
      <c r="O86" s="2097"/>
      <c r="P86" s="2097"/>
      <c r="Q86" s="2097"/>
      <c r="R86" s="2097"/>
      <c r="S86" s="2097"/>
      <c r="T86" s="2097"/>
      <c r="U86" s="2097"/>
      <c r="V86" s="2097"/>
      <c r="W86" s="2097"/>
      <c r="X86" s="2097"/>
      <c r="Y86" s="2097"/>
      <c r="Z86" s="2097"/>
      <c r="AA86" s="2097"/>
      <c r="AB86" s="2097"/>
      <c r="AC86" s="2097"/>
      <c r="AD86" s="2097"/>
      <c r="AE86" s="2097"/>
      <c r="AF86" s="2097"/>
      <c r="AG86" s="2097"/>
      <c r="AH86" s="2098"/>
      <c r="AI86" s="1208"/>
      <c r="AJ86" s="2071"/>
      <c r="AK86" s="2072"/>
      <c r="AL86" s="2072"/>
      <c r="AM86" s="2072"/>
      <c r="AN86" s="2072"/>
      <c r="AO86" s="2072"/>
      <c r="AP86" s="2072"/>
      <c r="AQ86" s="2072"/>
      <c r="AR86" s="2072"/>
      <c r="AS86" s="2072"/>
      <c r="AT86" s="2072"/>
      <c r="AU86" s="2072"/>
      <c r="AV86" s="2072"/>
      <c r="AW86" s="2072"/>
      <c r="AX86" s="2072"/>
      <c r="AY86" s="2072"/>
      <c r="AZ86" s="2072"/>
      <c r="BA86" s="2072"/>
      <c r="BB86" s="2073"/>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2312</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079"/>
      <c r="G90" s="2080"/>
      <c r="H90" s="2080"/>
      <c r="I90" s="2080"/>
      <c r="J90" s="2080"/>
      <c r="K90" s="2080"/>
      <c r="L90" s="2080"/>
      <c r="M90" s="2080"/>
      <c r="N90" s="2080"/>
      <c r="O90" s="2080"/>
      <c r="P90" s="2080"/>
      <c r="Q90" s="2080"/>
      <c r="R90" s="2080"/>
      <c r="S90" s="2080"/>
      <c r="T90" s="2081"/>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2" t="s">
        <v>2311</v>
      </c>
      <c r="C92" s="2083"/>
      <c r="D92" s="2083"/>
      <c r="E92" s="2083"/>
      <c r="F92" s="2083"/>
      <c r="G92" s="2083"/>
      <c r="H92" s="2083"/>
      <c r="I92" s="2083"/>
      <c r="J92" s="2083"/>
      <c r="K92" s="2083"/>
      <c r="L92" s="2083"/>
      <c r="M92" s="2083"/>
      <c r="N92" s="2083"/>
      <c r="O92" s="2083"/>
      <c r="P92" s="2083"/>
      <c r="Q92" s="2083"/>
      <c r="R92" s="2083"/>
      <c r="S92" s="2083"/>
      <c r="T92" s="2083"/>
      <c r="U92" s="2083"/>
      <c r="V92" s="2083"/>
      <c r="W92" s="2083"/>
      <c r="X92" s="2083"/>
      <c r="Y92" s="2083"/>
      <c r="Z92" s="2083"/>
      <c r="AA92" s="2083"/>
      <c r="AB92" s="2083"/>
      <c r="AC92" s="2083"/>
      <c r="AD92" s="2083"/>
      <c r="AE92" s="2083"/>
      <c r="AF92" s="2083"/>
      <c r="AG92" s="2083"/>
      <c r="AH92" s="2084"/>
      <c r="AI92" s="1208"/>
      <c r="AJ92" s="2085" t="s">
        <v>2610</v>
      </c>
      <c r="AK92" s="2086"/>
      <c r="AL92" s="2086"/>
      <c r="AM92" s="2086"/>
      <c r="AN92" s="2086"/>
      <c r="AO92" s="2086"/>
      <c r="AP92" s="2086"/>
      <c r="AQ92" s="2086"/>
      <c r="AR92" s="2086"/>
      <c r="AS92" s="2086"/>
      <c r="AT92" s="2086"/>
      <c r="AU92" s="2086"/>
      <c r="AV92" s="2086"/>
      <c r="AW92" s="2086"/>
      <c r="AX92" s="2086"/>
      <c r="AY92" s="2089"/>
      <c r="AZ92" s="2089"/>
      <c r="BA92" s="2089"/>
      <c r="BB92" s="2090"/>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0"/>
      <c r="C93" s="2021"/>
      <c r="D93" s="2021"/>
      <c r="E93" s="2021"/>
      <c r="F93" s="2021"/>
      <c r="G93" s="2021"/>
      <c r="H93" s="2021"/>
      <c r="I93" s="2021" t="s">
        <v>2307</v>
      </c>
      <c r="J93" s="2021"/>
      <c r="K93" s="2021"/>
      <c r="L93" s="2021"/>
      <c r="M93" s="2021"/>
      <c r="N93" s="2021"/>
      <c r="O93" s="2021" t="s">
        <v>2286</v>
      </c>
      <c r="P93" s="2021"/>
      <c r="Q93" s="2021"/>
      <c r="R93" s="2021"/>
      <c r="S93" s="2021"/>
      <c r="T93" s="2021"/>
      <c r="U93" s="2021"/>
      <c r="V93" s="2093" t="s">
        <v>2285</v>
      </c>
      <c r="W93" s="2093"/>
      <c r="X93" s="2093"/>
      <c r="Y93" s="2093"/>
      <c r="Z93" s="2093"/>
      <c r="AA93" s="2093"/>
      <c r="AB93" s="2094" t="s">
        <v>2306</v>
      </c>
      <c r="AC93" s="2094"/>
      <c r="AD93" s="2094"/>
      <c r="AE93" s="2094"/>
      <c r="AF93" s="2094"/>
      <c r="AG93" s="2094"/>
      <c r="AH93" s="2095"/>
      <c r="AI93" s="1208"/>
      <c r="AJ93" s="2087"/>
      <c r="AK93" s="2088"/>
      <c r="AL93" s="2088"/>
      <c r="AM93" s="2088"/>
      <c r="AN93" s="2088"/>
      <c r="AO93" s="2088"/>
      <c r="AP93" s="2088"/>
      <c r="AQ93" s="2088"/>
      <c r="AR93" s="2088"/>
      <c r="AS93" s="2088"/>
      <c r="AT93" s="2088"/>
      <c r="AU93" s="2088"/>
      <c r="AV93" s="2088"/>
      <c r="AW93" s="2088"/>
      <c r="AX93" s="2088"/>
      <c r="AY93" s="2091"/>
      <c r="AZ93" s="2091"/>
      <c r="BA93" s="2091"/>
      <c r="BB93" s="2092"/>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0"/>
      <c r="C94" s="2021"/>
      <c r="D94" s="2021"/>
      <c r="E94" s="2021"/>
      <c r="F94" s="2021"/>
      <c r="G94" s="2021"/>
      <c r="H94" s="2021"/>
      <c r="I94" s="2021"/>
      <c r="J94" s="2021"/>
      <c r="K94" s="2021"/>
      <c r="L94" s="2021"/>
      <c r="M94" s="2021"/>
      <c r="N94" s="2021"/>
      <c r="O94" s="2021"/>
      <c r="P94" s="2021"/>
      <c r="Q94" s="2021"/>
      <c r="R94" s="2021"/>
      <c r="S94" s="2021"/>
      <c r="T94" s="2021"/>
      <c r="U94" s="2021"/>
      <c r="V94" s="2093"/>
      <c r="W94" s="2093"/>
      <c r="X94" s="2093"/>
      <c r="Y94" s="2093"/>
      <c r="Z94" s="2093"/>
      <c r="AA94" s="2093"/>
      <c r="AB94" s="2094"/>
      <c r="AC94" s="2094"/>
      <c r="AD94" s="2094"/>
      <c r="AE94" s="2094"/>
      <c r="AF94" s="2094"/>
      <c r="AG94" s="2094"/>
      <c r="AH94" s="2095"/>
      <c r="AI94" s="1208"/>
      <c r="AJ94" s="2087"/>
      <c r="AK94" s="2088"/>
      <c r="AL94" s="2088"/>
      <c r="AM94" s="2088"/>
      <c r="AN94" s="2088"/>
      <c r="AO94" s="2088"/>
      <c r="AP94" s="2088"/>
      <c r="AQ94" s="2088"/>
      <c r="AR94" s="2088"/>
      <c r="AS94" s="2088"/>
      <c r="AT94" s="2088"/>
      <c r="AU94" s="2088"/>
      <c r="AV94" s="2088"/>
      <c r="AW94" s="2088"/>
      <c r="AX94" s="2088"/>
      <c r="AY94" s="2091"/>
      <c r="AZ94" s="2091"/>
      <c r="BA94" s="2091"/>
      <c r="BB94" s="2092"/>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0" t="s">
        <v>2305</v>
      </c>
      <c r="C95" s="2021"/>
      <c r="D95" s="2021"/>
      <c r="E95" s="2021"/>
      <c r="F95" s="2021"/>
      <c r="G95" s="2021"/>
      <c r="H95" s="2021"/>
      <c r="I95" s="2099"/>
      <c r="J95" s="2099"/>
      <c r="K95" s="2099"/>
      <c r="L95" s="2099"/>
      <c r="M95" s="2099"/>
      <c r="N95" s="2099"/>
      <c r="O95" s="2099"/>
      <c r="P95" s="2099"/>
      <c r="Q95" s="2099"/>
      <c r="R95" s="2099"/>
      <c r="S95" s="2099"/>
      <c r="T95" s="2099"/>
      <c r="U95" s="2099"/>
      <c r="V95" s="2099"/>
      <c r="W95" s="2099"/>
      <c r="X95" s="2099"/>
      <c r="Y95" s="2099"/>
      <c r="Z95" s="2099"/>
      <c r="AA95" s="2099"/>
      <c r="AB95" s="2099"/>
      <c r="AC95" s="2099"/>
      <c r="AD95" s="2099"/>
      <c r="AE95" s="2099"/>
      <c r="AF95" s="2099"/>
      <c r="AG95" s="2099"/>
      <c r="AH95" s="2100"/>
      <c r="AI95" s="1208"/>
      <c r="AJ95" s="2087"/>
      <c r="AK95" s="2088"/>
      <c r="AL95" s="2088"/>
      <c r="AM95" s="2088"/>
      <c r="AN95" s="2088"/>
      <c r="AO95" s="2088"/>
      <c r="AP95" s="2088"/>
      <c r="AQ95" s="2088"/>
      <c r="AR95" s="2088"/>
      <c r="AS95" s="2088"/>
      <c r="AT95" s="2088"/>
      <c r="AU95" s="2088"/>
      <c r="AV95" s="2088"/>
      <c r="AW95" s="2088"/>
      <c r="AX95" s="2088"/>
      <c r="AY95" s="2091"/>
      <c r="AZ95" s="2091"/>
      <c r="BA95" s="2091"/>
      <c r="BB95" s="2092"/>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0" t="s">
        <v>2304</v>
      </c>
      <c r="C96" s="2021"/>
      <c r="D96" s="2021"/>
      <c r="E96" s="2021"/>
      <c r="F96" s="2021"/>
      <c r="G96" s="2021"/>
      <c r="H96" s="2021"/>
      <c r="I96" s="2099"/>
      <c r="J96" s="2099"/>
      <c r="K96" s="2099"/>
      <c r="L96" s="2099"/>
      <c r="M96" s="2099"/>
      <c r="N96" s="2099"/>
      <c r="O96" s="2099"/>
      <c r="P96" s="2099"/>
      <c r="Q96" s="2099"/>
      <c r="R96" s="2099"/>
      <c r="S96" s="2099"/>
      <c r="T96" s="2099"/>
      <c r="U96" s="2099"/>
      <c r="V96" s="2099"/>
      <c r="W96" s="2099"/>
      <c r="X96" s="2099"/>
      <c r="Y96" s="2099"/>
      <c r="Z96" s="2099"/>
      <c r="AA96" s="2099"/>
      <c r="AB96" s="2099"/>
      <c r="AC96" s="2099"/>
      <c r="AD96" s="2099"/>
      <c r="AE96" s="2099"/>
      <c r="AF96" s="2099"/>
      <c r="AG96" s="2099"/>
      <c r="AH96" s="2100"/>
      <c r="AI96" s="1208"/>
      <c r="AJ96" s="2068" t="s">
        <v>2310</v>
      </c>
      <c r="AK96" s="2069"/>
      <c r="AL96" s="2069"/>
      <c r="AM96" s="2069"/>
      <c r="AN96" s="2069"/>
      <c r="AO96" s="2069"/>
      <c r="AP96" s="2069"/>
      <c r="AQ96" s="2069"/>
      <c r="AR96" s="2069"/>
      <c r="AS96" s="2069"/>
      <c r="AT96" s="2069"/>
      <c r="AU96" s="2069"/>
      <c r="AV96" s="2069"/>
      <c r="AW96" s="2069"/>
      <c r="AX96" s="2069"/>
      <c r="AY96" s="2069"/>
      <c r="AZ96" s="2069"/>
      <c r="BA96" s="2069"/>
      <c r="BB96" s="2070"/>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8" t="s">
        <v>2303</v>
      </c>
      <c r="C97" s="2039"/>
      <c r="D97" s="2039"/>
      <c r="E97" s="2039"/>
      <c r="F97" s="2039"/>
      <c r="G97" s="2039"/>
      <c r="H97" s="2039"/>
      <c r="I97" s="2097"/>
      <c r="J97" s="2097"/>
      <c r="K97" s="2097"/>
      <c r="L97" s="2097"/>
      <c r="M97" s="2097"/>
      <c r="N97" s="2097"/>
      <c r="O97" s="2097"/>
      <c r="P97" s="2097"/>
      <c r="Q97" s="2097"/>
      <c r="R97" s="2097"/>
      <c r="S97" s="2097"/>
      <c r="T97" s="2097"/>
      <c r="U97" s="2097"/>
      <c r="V97" s="2097"/>
      <c r="W97" s="2097"/>
      <c r="X97" s="2097"/>
      <c r="Y97" s="2097"/>
      <c r="Z97" s="2097"/>
      <c r="AA97" s="2097"/>
      <c r="AB97" s="2097"/>
      <c r="AC97" s="2097"/>
      <c r="AD97" s="2097"/>
      <c r="AE97" s="2097"/>
      <c r="AF97" s="2097"/>
      <c r="AG97" s="2097"/>
      <c r="AH97" s="2098"/>
      <c r="AI97" s="1208"/>
      <c r="AJ97" s="2071"/>
      <c r="AK97" s="2072"/>
      <c r="AL97" s="2072"/>
      <c r="AM97" s="2072"/>
      <c r="AN97" s="2072"/>
      <c r="AO97" s="2072"/>
      <c r="AP97" s="2072"/>
      <c r="AQ97" s="2072"/>
      <c r="AR97" s="2072"/>
      <c r="AS97" s="2072"/>
      <c r="AT97" s="2072"/>
      <c r="AU97" s="2072"/>
      <c r="AV97" s="2072"/>
      <c r="AW97" s="2072"/>
      <c r="AX97" s="2072"/>
      <c r="AY97" s="2072"/>
      <c r="AZ97" s="2072"/>
      <c r="BA97" s="2072"/>
      <c r="BB97" s="2073"/>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2309</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4" t="s">
        <v>2308</v>
      </c>
      <c r="C102" s="2065"/>
      <c r="D102" s="2065"/>
      <c r="E102" s="2065"/>
      <c r="F102" s="2065"/>
      <c r="G102" s="2065"/>
      <c r="H102" s="2065"/>
      <c r="I102" s="2065"/>
      <c r="J102" s="2065"/>
      <c r="K102" s="2065"/>
      <c r="L102" s="2065"/>
      <c r="M102" s="2065"/>
      <c r="N102" s="2065"/>
      <c r="O102" s="2065"/>
      <c r="P102" s="2065"/>
      <c r="Q102" s="2065"/>
      <c r="R102" s="2065"/>
      <c r="S102" s="2065"/>
      <c r="T102" s="2065"/>
      <c r="U102" s="2065"/>
      <c r="V102" s="2065"/>
      <c r="W102" s="2065"/>
      <c r="X102" s="2065"/>
      <c r="Y102" s="2065"/>
      <c r="Z102" s="2065"/>
      <c r="AA102" s="2065"/>
      <c r="AB102" s="2065"/>
      <c r="AC102" s="2065"/>
      <c r="AD102" s="2065"/>
      <c r="AE102" s="2065"/>
      <c r="AF102" s="2065"/>
      <c r="AG102" s="2065"/>
      <c r="AH102" s="2104"/>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0"/>
      <c r="C103" s="2021"/>
      <c r="D103" s="2021"/>
      <c r="E103" s="2021"/>
      <c r="F103" s="2021"/>
      <c r="G103" s="2021"/>
      <c r="H103" s="2021"/>
      <c r="I103" s="2021" t="s">
        <v>2307</v>
      </c>
      <c r="J103" s="2021"/>
      <c r="K103" s="2021"/>
      <c r="L103" s="2021"/>
      <c r="M103" s="2021"/>
      <c r="N103" s="2021"/>
      <c r="O103" s="2021" t="s">
        <v>2286</v>
      </c>
      <c r="P103" s="2021"/>
      <c r="Q103" s="2021"/>
      <c r="R103" s="2021"/>
      <c r="S103" s="2021"/>
      <c r="T103" s="2021"/>
      <c r="U103" s="2021"/>
      <c r="V103" s="2093" t="s">
        <v>2285</v>
      </c>
      <c r="W103" s="2093"/>
      <c r="X103" s="2093"/>
      <c r="Y103" s="2093"/>
      <c r="Z103" s="2093"/>
      <c r="AA103" s="2093"/>
      <c r="AB103" s="2094" t="s">
        <v>2306</v>
      </c>
      <c r="AC103" s="2094"/>
      <c r="AD103" s="2094"/>
      <c r="AE103" s="2094"/>
      <c r="AF103" s="2094"/>
      <c r="AG103" s="2094"/>
      <c r="AH103" s="2095"/>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0"/>
      <c r="C104" s="2021"/>
      <c r="D104" s="2021"/>
      <c r="E104" s="2021"/>
      <c r="F104" s="2021"/>
      <c r="G104" s="2021"/>
      <c r="H104" s="2021"/>
      <c r="I104" s="2021"/>
      <c r="J104" s="2021"/>
      <c r="K104" s="2021"/>
      <c r="L104" s="2021"/>
      <c r="M104" s="2021"/>
      <c r="N104" s="2021"/>
      <c r="O104" s="2021"/>
      <c r="P104" s="2021"/>
      <c r="Q104" s="2021"/>
      <c r="R104" s="2021"/>
      <c r="S104" s="2021"/>
      <c r="T104" s="2021"/>
      <c r="U104" s="2021"/>
      <c r="V104" s="2093"/>
      <c r="W104" s="2093"/>
      <c r="X104" s="2093"/>
      <c r="Y104" s="2093"/>
      <c r="Z104" s="2093"/>
      <c r="AA104" s="2093"/>
      <c r="AB104" s="2094"/>
      <c r="AC104" s="2094"/>
      <c r="AD104" s="2094"/>
      <c r="AE104" s="2094"/>
      <c r="AF104" s="2094"/>
      <c r="AG104" s="2094"/>
      <c r="AH104" s="2095"/>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0" t="s">
        <v>2305</v>
      </c>
      <c r="C105" s="2021"/>
      <c r="D105" s="2021"/>
      <c r="E105" s="2021"/>
      <c r="F105" s="2021"/>
      <c r="G105" s="2021"/>
      <c r="H105" s="2021"/>
      <c r="I105" s="2099">
        <v>0</v>
      </c>
      <c r="J105" s="2099"/>
      <c r="K105" s="2099"/>
      <c r="L105" s="2099"/>
      <c r="M105" s="2099"/>
      <c r="N105" s="2099"/>
      <c r="O105" s="2099">
        <v>0</v>
      </c>
      <c r="P105" s="2099"/>
      <c r="Q105" s="2099"/>
      <c r="R105" s="2099"/>
      <c r="S105" s="2099"/>
      <c r="T105" s="2099"/>
      <c r="U105" s="2099"/>
      <c r="V105" s="2099">
        <v>0</v>
      </c>
      <c r="W105" s="2099"/>
      <c r="X105" s="2099"/>
      <c r="Y105" s="2099"/>
      <c r="Z105" s="2099"/>
      <c r="AA105" s="2099"/>
      <c r="AB105" s="2099">
        <v>0</v>
      </c>
      <c r="AC105" s="2099"/>
      <c r="AD105" s="2099"/>
      <c r="AE105" s="2099"/>
      <c r="AF105" s="2099"/>
      <c r="AG105" s="2099"/>
      <c r="AH105" s="210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0" t="s">
        <v>2304</v>
      </c>
      <c r="C106" s="2021"/>
      <c r="D106" s="2021"/>
      <c r="E106" s="2021"/>
      <c r="F106" s="2021"/>
      <c r="G106" s="2021"/>
      <c r="H106" s="2021"/>
      <c r="I106" s="2099">
        <v>0</v>
      </c>
      <c r="J106" s="2099"/>
      <c r="K106" s="2099"/>
      <c r="L106" s="2099"/>
      <c r="M106" s="2099"/>
      <c r="N106" s="2099"/>
      <c r="O106" s="2099">
        <v>0</v>
      </c>
      <c r="P106" s="2099"/>
      <c r="Q106" s="2099"/>
      <c r="R106" s="2099"/>
      <c r="S106" s="2099"/>
      <c r="T106" s="2099"/>
      <c r="U106" s="2099"/>
      <c r="V106" s="2099">
        <v>0</v>
      </c>
      <c r="W106" s="2099"/>
      <c r="X106" s="2099"/>
      <c r="Y106" s="2099"/>
      <c r="Z106" s="2099"/>
      <c r="AA106" s="2099"/>
      <c r="AB106" s="2099">
        <v>0</v>
      </c>
      <c r="AC106" s="2099"/>
      <c r="AD106" s="2099"/>
      <c r="AE106" s="2099"/>
      <c r="AF106" s="2099"/>
      <c r="AG106" s="2099"/>
      <c r="AH106" s="210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8" t="s">
        <v>2303</v>
      </c>
      <c r="C107" s="2039"/>
      <c r="D107" s="2039"/>
      <c r="E107" s="2039"/>
      <c r="F107" s="2039"/>
      <c r="G107" s="2039"/>
      <c r="H107" s="2039"/>
      <c r="I107" s="2097">
        <v>0</v>
      </c>
      <c r="J107" s="2097"/>
      <c r="K107" s="2097"/>
      <c r="L107" s="2097"/>
      <c r="M107" s="2097"/>
      <c r="N107" s="2097"/>
      <c r="O107" s="2097">
        <v>0</v>
      </c>
      <c r="P107" s="2097"/>
      <c r="Q107" s="2097"/>
      <c r="R107" s="2097"/>
      <c r="S107" s="2097"/>
      <c r="T107" s="2097"/>
      <c r="U107" s="2097"/>
      <c r="V107" s="2097">
        <v>0</v>
      </c>
      <c r="W107" s="2097"/>
      <c r="X107" s="2097"/>
      <c r="Y107" s="2097"/>
      <c r="Z107" s="2097"/>
      <c r="AA107" s="2097"/>
      <c r="AB107" s="2097">
        <v>0</v>
      </c>
      <c r="AC107" s="2097"/>
      <c r="AD107" s="2097"/>
      <c r="AE107" s="2097"/>
      <c r="AF107" s="2097"/>
      <c r="AG107" s="2097"/>
      <c r="AH107" s="2098"/>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2302</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5" t="s">
        <v>2611</v>
      </c>
      <c r="C112" s="2106"/>
      <c r="D112" s="2106"/>
      <c r="E112" s="2106"/>
      <c r="F112" s="2106"/>
      <c r="G112" s="2106"/>
      <c r="H112" s="2106"/>
      <c r="I112" s="2106"/>
      <c r="J112" s="2106"/>
      <c r="K112" s="2106"/>
      <c r="L112" s="2106"/>
      <c r="M112" s="2106"/>
      <c r="N112" s="2106"/>
      <c r="O112" s="2106"/>
      <c r="P112" s="2106"/>
      <c r="Q112" s="2106"/>
      <c r="R112" s="2106"/>
      <c r="S112" s="2106"/>
      <c r="T112" s="2106"/>
      <c r="U112" s="2109"/>
      <c r="V112" s="2109"/>
      <c r="W112" s="2109"/>
      <c r="X112" s="2110"/>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7"/>
      <c r="C113" s="2108"/>
      <c r="D113" s="2108"/>
      <c r="E113" s="2108"/>
      <c r="F113" s="2108"/>
      <c r="G113" s="2108"/>
      <c r="H113" s="2108"/>
      <c r="I113" s="2108"/>
      <c r="J113" s="2108"/>
      <c r="K113" s="2108"/>
      <c r="L113" s="2108"/>
      <c r="M113" s="2108"/>
      <c r="N113" s="2108"/>
      <c r="O113" s="2108"/>
      <c r="P113" s="2108"/>
      <c r="Q113" s="2108"/>
      <c r="R113" s="2108"/>
      <c r="S113" s="2108"/>
      <c r="T113" s="2108"/>
      <c r="U113" s="2111"/>
      <c r="V113" s="2111"/>
      <c r="W113" s="2111"/>
      <c r="X113" s="2112"/>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7"/>
      <c r="C114" s="2108"/>
      <c r="D114" s="2108"/>
      <c r="E114" s="2108"/>
      <c r="F114" s="2108"/>
      <c r="G114" s="2108"/>
      <c r="H114" s="2108"/>
      <c r="I114" s="2108"/>
      <c r="J114" s="2108"/>
      <c r="K114" s="2108"/>
      <c r="L114" s="2108"/>
      <c r="M114" s="2108"/>
      <c r="N114" s="2108"/>
      <c r="O114" s="2108"/>
      <c r="P114" s="2108"/>
      <c r="Q114" s="2108"/>
      <c r="R114" s="2108"/>
      <c r="S114" s="2108"/>
      <c r="T114" s="2108"/>
      <c r="U114" s="2111"/>
      <c r="V114" s="2111"/>
      <c r="W114" s="2111"/>
      <c r="X114" s="2112"/>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7"/>
      <c r="C115" s="2108"/>
      <c r="D115" s="2108"/>
      <c r="E115" s="2108"/>
      <c r="F115" s="2108"/>
      <c r="G115" s="2108"/>
      <c r="H115" s="2108"/>
      <c r="I115" s="2108"/>
      <c r="J115" s="2108"/>
      <c r="K115" s="2108"/>
      <c r="L115" s="2108"/>
      <c r="M115" s="2108"/>
      <c r="N115" s="2108"/>
      <c r="O115" s="2108"/>
      <c r="P115" s="2108"/>
      <c r="Q115" s="2108"/>
      <c r="R115" s="2108"/>
      <c r="S115" s="2108"/>
      <c r="T115" s="2108"/>
      <c r="U115" s="2111"/>
      <c r="V115" s="2111"/>
      <c r="W115" s="2111"/>
      <c r="X115" s="2112"/>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096" t="s">
        <v>2611</v>
      </c>
      <c r="C116" s="2113"/>
      <c r="D116" s="2113"/>
      <c r="E116" s="2113"/>
      <c r="F116" s="2113"/>
      <c r="G116" s="2113"/>
      <c r="H116" s="2113"/>
      <c r="I116" s="2113"/>
      <c r="J116" s="2113"/>
      <c r="K116" s="2113"/>
      <c r="L116" s="2113"/>
      <c r="M116" s="2113"/>
      <c r="N116" s="2113"/>
      <c r="O116" s="2113"/>
      <c r="P116" s="2113"/>
      <c r="Q116" s="2113"/>
      <c r="R116" s="2113"/>
      <c r="S116" s="2113"/>
      <c r="T116" s="2113"/>
      <c r="U116" s="2116"/>
      <c r="V116" s="2116"/>
      <c r="W116" s="2116"/>
      <c r="X116" s="2117"/>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4"/>
      <c r="C117" s="2115"/>
      <c r="D117" s="2115"/>
      <c r="E117" s="2115"/>
      <c r="F117" s="2115"/>
      <c r="G117" s="2115"/>
      <c r="H117" s="2115"/>
      <c r="I117" s="2115"/>
      <c r="J117" s="2115"/>
      <c r="K117" s="2115"/>
      <c r="L117" s="2115"/>
      <c r="M117" s="2115"/>
      <c r="N117" s="2115"/>
      <c r="O117" s="2115"/>
      <c r="P117" s="2115"/>
      <c r="Q117" s="2115"/>
      <c r="R117" s="2115"/>
      <c r="S117" s="2115"/>
      <c r="T117" s="2115"/>
      <c r="U117" s="2118"/>
      <c r="V117" s="2118"/>
      <c r="W117" s="2118"/>
      <c r="X117" s="2119"/>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2301</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5" t="s">
        <v>2300</v>
      </c>
      <c r="Y120" s="2086"/>
      <c r="Z120" s="2086"/>
      <c r="AA120" s="2086"/>
      <c r="AB120" s="2086"/>
      <c r="AC120" s="2086"/>
      <c r="AD120" s="2086"/>
      <c r="AE120" s="2086"/>
      <c r="AF120" s="2086"/>
      <c r="AG120" s="2086"/>
      <c r="AH120" s="2086"/>
      <c r="AI120" s="2086"/>
      <c r="AJ120" s="2086"/>
      <c r="AK120" s="2086"/>
      <c r="AL120" s="2086"/>
      <c r="AM120" s="2086"/>
      <c r="AN120" s="2086"/>
      <c r="AO120" s="2086"/>
      <c r="AP120" s="2086"/>
      <c r="AQ120" s="2086"/>
      <c r="AR120" s="2086"/>
      <c r="AS120" s="2086"/>
      <c r="AT120" s="2086"/>
      <c r="AU120" s="2086"/>
      <c r="AV120" s="2086"/>
      <c r="AW120" s="2086"/>
      <c r="AX120" s="2086"/>
      <c r="AY120" s="2086"/>
      <c r="AZ120" s="2086"/>
      <c r="BA120" s="2086"/>
      <c r="BB120" s="2086"/>
      <c r="BC120" s="2086"/>
      <c r="BD120" s="2126"/>
      <c r="BE120" s="1215"/>
    </row>
    <row r="121" spans="1:57" ht="15.75" customHeight="1">
      <c r="A121" s="1208"/>
      <c r="B121" s="2128" t="s">
        <v>1566</v>
      </c>
      <c r="C121" s="2129"/>
      <c r="D121" s="2129"/>
      <c r="E121" s="2129"/>
      <c r="F121" s="2129"/>
      <c r="G121" s="2129"/>
      <c r="H121" s="2129"/>
      <c r="I121" s="2129"/>
      <c r="J121" s="2129"/>
      <c r="K121" s="2129"/>
      <c r="L121" s="2129"/>
      <c r="M121" s="2129"/>
      <c r="N121" s="2129"/>
      <c r="O121" s="2129"/>
      <c r="P121" s="2129"/>
      <c r="Q121" s="2129"/>
      <c r="R121" s="2129"/>
      <c r="S121" s="2129"/>
      <c r="T121" s="2129"/>
      <c r="U121" s="2130"/>
      <c r="V121" s="1208"/>
      <c r="W121" s="1208"/>
      <c r="X121" s="2087"/>
      <c r="Y121" s="2088"/>
      <c r="Z121" s="2088"/>
      <c r="AA121" s="2088"/>
      <c r="AB121" s="2088"/>
      <c r="AC121" s="2088"/>
      <c r="AD121" s="2088"/>
      <c r="AE121" s="2088"/>
      <c r="AF121" s="2088"/>
      <c r="AG121" s="2088"/>
      <c r="AH121" s="2088"/>
      <c r="AI121" s="2088"/>
      <c r="AJ121" s="2088"/>
      <c r="AK121" s="2088"/>
      <c r="AL121" s="2088"/>
      <c r="AM121" s="2088"/>
      <c r="AN121" s="2088"/>
      <c r="AO121" s="2088"/>
      <c r="AP121" s="2088"/>
      <c r="AQ121" s="2088"/>
      <c r="AR121" s="2088"/>
      <c r="AS121" s="2088"/>
      <c r="AT121" s="2088"/>
      <c r="AU121" s="2088"/>
      <c r="AV121" s="2088"/>
      <c r="AW121" s="2088"/>
      <c r="AX121" s="2088"/>
      <c r="AY121" s="2088"/>
      <c r="AZ121" s="2088"/>
      <c r="BA121" s="2088"/>
      <c r="BB121" s="2088"/>
      <c r="BC121" s="2088"/>
      <c r="BD121" s="2127"/>
      <c r="BE121" s="1215"/>
    </row>
    <row r="122" spans="1:57" ht="15.75" customHeight="1">
      <c r="A122" s="1208"/>
      <c r="B122" s="2147"/>
      <c r="C122" s="2148"/>
      <c r="D122" s="2148"/>
      <c r="E122" s="2148"/>
      <c r="F122" s="2148"/>
      <c r="G122" s="2148"/>
      <c r="H122" s="2148"/>
      <c r="I122" s="2021" t="s">
        <v>2299</v>
      </c>
      <c r="J122" s="2021"/>
      <c r="K122" s="2021"/>
      <c r="L122" s="2021"/>
      <c r="M122" s="2021"/>
      <c r="N122" s="2021"/>
      <c r="O122" s="2151" t="s">
        <v>2298</v>
      </c>
      <c r="P122" s="2151"/>
      <c r="Q122" s="2151"/>
      <c r="R122" s="2151"/>
      <c r="S122" s="2151"/>
      <c r="T122" s="2151"/>
      <c r="U122" s="2152"/>
      <c r="V122" s="1208"/>
      <c r="W122" s="1208"/>
      <c r="X122" s="2096"/>
      <c r="Y122" s="2069"/>
      <c r="Z122" s="2069"/>
      <c r="AA122" s="2069"/>
      <c r="AB122" s="2069"/>
      <c r="AC122" s="2069"/>
      <c r="AD122" s="2069"/>
      <c r="AE122" s="2069"/>
      <c r="AF122" s="2069"/>
      <c r="AG122" s="2069"/>
      <c r="AH122" s="2069"/>
      <c r="AI122" s="2069"/>
      <c r="AJ122" s="2069"/>
      <c r="AK122" s="2069"/>
      <c r="AL122" s="2069"/>
      <c r="AM122" s="2069"/>
      <c r="AN122" s="2069"/>
      <c r="AO122" s="2069"/>
      <c r="AP122" s="2069"/>
      <c r="AQ122" s="2069"/>
      <c r="AR122" s="2069"/>
      <c r="AS122" s="2069"/>
      <c r="AT122" s="2069"/>
      <c r="AU122" s="2069"/>
      <c r="AV122" s="2069"/>
      <c r="AW122" s="2069"/>
      <c r="AX122" s="2069"/>
      <c r="AY122" s="2069"/>
      <c r="AZ122" s="2069"/>
      <c r="BA122" s="2069"/>
      <c r="BB122" s="2069"/>
      <c r="BC122" s="2069"/>
      <c r="BD122" s="2070"/>
      <c r="BE122" s="1215"/>
    </row>
    <row r="123" spans="1:57" ht="15.75" customHeight="1">
      <c r="A123" s="1208"/>
      <c r="B123" s="2120" t="s">
        <v>2284</v>
      </c>
      <c r="C123" s="2121"/>
      <c r="D123" s="2121"/>
      <c r="E123" s="2121"/>
      <c r="F123" s="2121"/>
      <c r="G123" s="2121"/>
      <c r="H123" s="2121"/>
      <c r="I123" s="2099"/>
      <c r="J123" s="2099"/>
      <c r="K123" s="2099"/>
      <c r="L123" s="2099"/>
      <c r="M123" s="2099"/>
      <c r="N123" s="2099"/>
      <c r="O123" s="2099"/>
      <c r="P123" s="2099"/>
      <c r="Q123" s="2099"/>
      <c r="R123" s="2099"/>
      <c r="S123" s="2099"/>
      <c r="T123" s="2099"/>
      <c r="U123" s="2100"/>
      <c r="V123" s="1208"/>
      <c r="W123" s="1208"/>
      <c r="X123" s="2068"/>
      <c r="Y123" s="2069"/>
      <c r="Z123" s="2069"/>
      <c r="AA123" s="2069"/>
      <c r="AB123" s="2069"/>
      <c r="AC123" s="2069"/>
      <c r="AD123" s="2069"/>
      <c r="AE123" s="2069"/>
      <c r="AF123" s="2069"/>
      <c r="AG123" s="2069"/>
      <c r="AH123" s="2069"/>
      <c r="AI123" s="2069"/>
      <c r="AJ123" s="2069"/>
      <c r="AK123" s="2069"/>
      <c r="AL123" s="2069"/>
      <c r="AM123" s="2069"/>
      <c r="AN123" s="2069"/>
      <c r="AO123" s="2069"/>
      <c r="AP123" s="2069"/>
      <c r="AQ123" s="2069"/>
      <c r="AR123" s="2069"/>
      <c r="AS123" s="2069"/>
      <c r="AT123" s="2069"/>
      <c r="AU123" s="2069"/>
      <c r="AV123" s="2069"/>
      <c r="AW123" s="2069"/>
      <c r="AX123" s="2069"/>
      <c r="AY123" s="2069"/>
      <c r="AZ123" s="2069"/>
      <c r="BA123" s="2069"/>
      <c r="BB123" s="2069"/>
      <c r="BC123" s="2069"/>
      <c r="BD123" s="2070"/>
      <c r="BE123" s="1215"/>
    </row>
    <row r="124" spans="1:57" ht="15.75" customHeight="1" thickBot="1">
      <c r="A124" s="1208"/>
      <c r="B124" s="2122" t="s">
        <v>2283</v>
      </c>
      <c r="C124" s="2123"/>
      <c r="D124" s="2123"/>
      <c r="E124" s="2123"/>
      <c r="F124" s="2123"/>
      <c r="G124" s="2123"/>
      <c r="H124" s="2123"/>
      <c r="I124" s="2097"/>
      <c r="J124" s="2097"/>
      <c r="K124" s="2097"/>
      <c r="L124" s="2097"/>
      <c r="M124" s="2097"/>
      <c r="N124" s="2097"/>
      <c r="O124" s="2124"/>
      <c r="P124" s="2124"/>
      <c r="Q124" s="2124"/>
      <c r="R124" s="2124"/>
      <c r="S124" s="2124"/>
      <c r="T124" s="2124"/>
      <c r="U124" s="2125"/>
      <c r="V124" s="1208"/>
      <c r="W124" s="1208"/>
      <c r="X124" s="2068"/>
      <c r="Y124" s="2069"/>
      <c r="Z124" s="2069"/>
      <c r="AA124" s="2069"/>
      <c r="AB124" s="2069"/>
      <c r="AC124" s="2069"/>
      <c r="AD124" s="2069"/>
      <c r="AE124" s="2069"/>
      <c r="AF124" s="2069"/>
      <c r="AG124" s="2069"/>
      <c r="AH124" s="2069"/>
      <c r="AI124" s="2069"/>
      <c r="AJ124" s="2069"/>
      <c r="AK124" s="2069"/>
      <c r="AL124" s="2069"/>
      <c r="AM124" s="2069"/>
      <c r="AN124" s="2069"/>
      <c r="AO124" s="2069"/>
      <c r="AP124" s="2069"/>
      <c r="AQ124" s="2069"/>
      <c r="AR124" s="2069"/>
      <c r="AS124" s="2069"/>
      <c r="AT124" s="2069"/>
      <c r="AU124" s="2069"/>
      <c r="AV124" s="2069"/>
      <c r="AW124" s="2069"/>
      <c r="AX124" s="2069"/>
      <c r="AY124" s="2069"/>
      <c r="AZ124" s="2069"/>
      <c r="BA124" s="2069"/>
      <c r="BB124" s="2069"/>
      <c r="BC124" s="2069"/>
      <c r="BD124" s="2070"/>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8"/>
      <c r="Y125" s="2069"/>
      <c r="Z125" s="2069"/>
      <c r="AA125" s="2069"/>
      <c r="AB125" s="2069"/>
      <c r="AC125" s="2069"/>
      <c r="AD125" s="2069"/>
      <c r="AE125" s="2069"/>
      <c r="AF125" s="2069"/>
      <c r="AG125" s="2069"/>
      <c r="AH125" s="2069"/>
      <c r="AI125" s="2069"/>
      <c r="AJ125" s="2069"/>
      <c r="AK125" s="2069"/>
      <c r="AL125" s="2069"/>
      <c r="AM125" s="2069"/>
      <c r="AN125" s="2069"/>
      <c r="AO125" s="2069"/>
      <c r="AP125" s="2069"/>
      <c r="AQ125" s="2069"/>
      <c r="AR125" s="2069"/>
      <c r="AS125" s="2069"/>
      <c r="AT125" s="2069"/>
      <c r="AU125" s="2069"/>
      <c r="AV125" s="2069"/>
      <c r="AW125" s="2069"/>
      <c r="AX125" s="2069"/>
      <c r="AY125" s="2069"/>
      <c r="AZ125" s="2069"/>
      <c r="BA125" s="2069"/>
      <c r="BB125" s="2069"/>
      <c r="BC125" s="2069"/>
      <c r="BD125" s="2070"/>
      <c r="BE125" s="1215"/>
    </row>
    <row r="126" spans="1:57" ht="15.75" customHeight="1" thickBot="1">
      <c r="A126" s="1208"/>
      <c r="B126" s="1231" t="s">
        <v>2297</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8"/>
      <c r="Y126" s="2069"/>
      <c r="Z126" s="2069"/>
      <c r="AA126" s="2069"/>
      <c r="AB126" s="2069"/>
      <c r="AC126" s="2069"/>
      <c r="AD126" s="2069"/>
      <c r="AE126" s="2069"/>
      <c r="AF126" s="2069"/>
      <c r="AG126" s="2069"/>
      <c r="AH126" s="2069"/>
      <c r="AI126" s="2069"/>
      <c r="AJ126" s="2069"/>
      <c r="AK126" s="2069"/>
      <c r="AL126" s="2069"/>
      <c r="AM126" s="2069"/>
      <c r="AN126" s="2069"/>
      <c r="AO126" s="2069"/>
      <c r="AP126" s="2069"/>
      <c r="AQ126" s="2069"/>
      <c r="AR126" s="2069"/>
      <c r="AS126" s="2069"/>
      <c r="AT126" s="2069"/>
      <c r="AU126" s="2069"/>
      <c r="AV126" s="2069"/>
      <c r="AW126" s="2069"/>
      <c r="AX126" s="2069"/>
      <c r="AY126" s="2069"/>
      <c r="AZ126" s="2069"/>
      <c r="BA126" s="2069"/>
      <c r="BB126" s="2069"/>
      <c r="BC126" s="2069"/>
      <c r="BD126" s="2070"/>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8"/>
      <c r="Y127" s="2069"/>
      <c r="Z127" s="2069"/>
      <c r="AA127" s="2069"/>
      <c r="AB127" s="2069"/>
      <c r="AC127" s="2069"/>
      <c r="AD127" s="2069"/>
      <c r="AE127" s="2069"/>
      <c r="AF127" s="2069"/>
      <c r="AG127" s="2069"/>
      <c r="AH127" s="2069"/>
      <c r="AI127" s="2069"/>
      <c r="AJ127" s="2069"/>
      <c r="AK127" s="2069"/>
      <c r="AL127" s="2069"/>
      <c r="AM127" s="2069"/>
      <c r="AN127" s="2069"/>
      <c r="AO127" s="2069"/>
      <c r="AP127" s="2069"/>
      <c r="AQ127" s="2069"/>
      <c r="AR127" s="2069"/>
      <c r="AS127" s="2069"/>
      <c r="AT127" s="2069"/>
      <c r="AU127" s="2069"/>
      <c r="AV127" s="2069"/>
      <c r="AW127" s="2069"/>
      <c r="AX127" s="2069"/>
      <c r="AY127" s="2069"/>
      <c r="AZ127" s="2069"/>
      <c r="BA127" s="2069"/>
      <c r="BB127" s="2069"/>
      <c r="BC127" s="2069"/>
      <c r="BD127" s="2070"/>
      <c r="BE127" s="1215"/>
    </row>
    <row r="128" spans="1:57" ht="15.75" customHeight="1">
      <c r="A128" s="1208"/>
      <c r="B128" s="1922" t="s">
        <v>2296</v>
      </c>
      <c r="C128" s="1923"/>
      <c r="D128" s="1923"/>
      <c r="E128" s="1923"/>
      <c r="F128" s="1923"/>
      <c r="G128" s="1923"/>
      <c r="H128" s="1923"/>
      <c r="I128" s="1923"/>
      <c r="J128" s="1923"/>
      <c r="K128" s="1923"/>
      <c r="L128" s="1923"/>
      <c r="M128" s="1923"/>
      <c r="N128" s="1923"/>
      <c r="O128" s="1923"/>
      <c r="P128" s="1923"/>
      <c r="Q128" s="1923"/>
      <c r="R128" s="1923"/>
      <c r="S128" s="1923"/>
      <c r="T128" s="1923"/>
      <c r="U128" s="1924"/>
      <c r="V128" s="1208"/>
      <c r="W128" s="1208"/>
      <c r="X128" s="2068"/>
      <c r="Y128" s="2069"/>
      <c r="Z128" s="2069"/>
      <c r="AA128" s="2069"/>
      <c r="AB128" s="2069"/>
      <c r="AC128" s="2069"/>
      <c r="AD128" s="2069"/>
      <c r="AE128" s="2069"/>
      <c r="AF128" s="2069"/>
      <c r="AG128" s="2069"/>
      <c r="AH128" s="2069"/>
      <c r="AI128" s="2069"/>
      <c r="AJ128" s="2069"/>
      <c r="AK128" s="2069"/>
      <c r="AL128" s="2069"/>
      <c r="AM128" s="2069"/>
      <c r="AN128" s="2069"/>
      <c r="AO128" s="2069"/>
      <c r="AP128" s="2069"/>
      <c r="AQ128" s="2069"/>
      <c r="AR128" s="2069"/>
      <c r="AS128" s="2069"/>
      <c r="AT128" s="2069"/>
      <c r="AU128" s="2069"/>
      <c r="AV128" s="2069"/>
      <c r="AW128" s="2069"/>
      <c r="AX128" s="2069"/>
      <c r="AY128" s="2069"/>
      <c r="AZ128" s="2069"/>
      <c r="BA128" s="2069"/>
      <c r="BB128" s="2069"/>
      <c r="BC128" s="2069"/>
      <c r="BD128" s="2070"/>
      <c r="BE128" s="1215"/>
    </row>
    <row r="129" spans="1:57" ht="15.75" customHeight="1">
      <c r="A129" s="1208"/>
      <c r="B129" s="2147"/>
      <c r="C129" s="2148"/>
      <c r="D129" s="2148"/>
      <c r="E129" s="2148"/>
      <c r="F129" s="2148"/>
      <c r="G129" s="2148"/>
      <c r="H129" s="2148"/>
      <c r="I129" s="2149" t="s">
        <v>2286</v>
      </c>
      <c r="J129" s="2149"/>
      <c r="K129" s="2149"/>
      <c r="L129" s="2149"/>
      <c r="M129" s="2149"/>
      <c r="N129" s="2149"/>
      <c r="O129" s="2149"/>
      <c r="P129" s="2149" t="s">
        <v>2285</v>
      </c>
      <c r="Q129" s="2149"/>
      <c r="R129" s="2149"/>
      <c r="S129" s="2149"/>
      <c r="T129" s="2149"/>
      <c r="U129" s="2150"/>
      <c r="V129" s="1208"/>
      <c r="W129" s="1208"/>
      <c r="X129" s="2068"/>
      <c r="Y129" s="2069"/>
      <c r="Z129" s="2069"/>
      <c r="AA129" s="2069"/>
      <c r="AB129" s="2069"/>
      <c r="AC129" s="2069"/>
      <c r="AD129" s="2069"/>
      <c r="AE129" s="2069"/>
      <c r="AF129" s="2069"/>
      <c r="AG129" s="2069"/>
      <c r="AH129" s="2069"/>
      <c r="AI129" s="2069"/>
      <c r="AJ129" s="2069"/>
      <c r="AK129" s="2069"/>
      <c r="AL129" s="2069"/>
      <c r="AM129" s="2069"/>
      <c r="AN129" s="2069"/>
      <c r="AO129" s="2069"/>
      <c r="AP129" s="2069"/>
      <c r="AQ129" s="2069"/>
      <c r="AR129" s="2069"/>
      <c r="AS129" s="2069"/>
      <c r="AT129" s="2069"/>
      <c r="AU129" s="2069"/>
      <c r="AV129" s="2069"/>
      <c r="AW129" s="2069"/>
      <c r="AX129" s="2069"/>
      <c r="AY129" s="2069"/>
      <c r="AZ129" s="2069"/>
      <c r="BA129" s="2069"/>
      <c r="BB129" s="2069"/>
      <c r="BC129" s="2069"/>
      <c r="BD129" s="2070"/>
      <c r="BE129" s="1215"/>
    </row>
    <row r="130" spans="1:57" ht="15.75" customHeight="1">
      <c r="A130" s="1208"/>
      <c r="B130" s="2147"/>
      <c r="C130" s="2148"/>
      <c r="D130" s="2148"/>
      <c r="E130" s="2148"/>
      <c r="F130" s="2148"/>
      <c r="G130" s="2148"/>
      <c r="H130" s="2148"/>
      <c r="I130" s="2149"/>
      <c r="J130" s="2149"/>
      <c r="K130" s="2149"/>
      <c r="L130" s="2149"/>
      <c r="M130" s="2149"/>
      <c r="N130" s="2149"/>
      <c r="O130" s="2149"/>
      <c r="P130" s="2149"/>
      <c r="Q130" s="2149"/>
      <c r="R130" s="2149"/>
      <c r="S130" s="2149"/>
      <c r="T130" s="2149"/>
      <c r="U130" s="2150"/>
      <c r="V130" s="1208"/>
      <c r="W130" s="1208"/>
      <c r="X130" s="2068"/>
      <c r="Y130" s="2069"/>
      <c r="Z130" s="2069"/>
      <c r="AA130" s="2069"/>
      <c r="AB130" s="2069"/>
      <c r="AC130" s="2069"/>
      <c r="AD130" s="2069"/>
      <c r="AE130" s="2069"/>
      <c r="AF130" s="2069"/>
      <c r="AG130" s="2069"/>
      <c r="AH130" s="2069"/>
      <c r="AI130" s="2069"/>
      <c r="AJ130" s="2069"/>
      <c r="AK130" s="2069"/>
      <c r="AL130" s="2069"/>
      <c r="AM130" s="2069"/>
      <c r="AN130" s="2069"/>
      <c r="AO130" s="2069"/>
      <c r="AP130" s="2069"/>
      <c r="AQ130" s="2069"/>
      <c r="AR130" s="2069"/>
      <c r="AS130" s="2069"/>
      <c r="AT130" s="2069"/>
      <c r="AU130" s="2069"/>
      <c r="AV130" s="2069"/>
      <c r="AW130" s="2069"/>
      <c r="AX130" s="2069"/>
      <c r="AY130" s="2069"/>
      <c r="AZ130" s="2069"/>
      <c r="BA130" s="2069"/>
      <c r="BB130" s="2069"/>
      <c r="BC130" s="2069"/>
      <c r="BD130" s="2070"/>
      <c r="BE130" s="1215"/>
    </row>
    <row r="131" spans="1:57" ht="15.75" customHeight="1">
      <c r="A131" s="1208"/>
      <c r="B131" s="2120" t="s">
        <v>2284</v>
      </c>
      <c r="C131" s="2121"/>
      <c r="D131" s="2121"/>
      <c r="E131" s="2121"/>
      <c r="F131" s="2121"/>
      <c r="G131" s="2121"/>
      <c r="H131" s="2121"/>
      <c r="I131" s="2099"/>
      <c r="J131" s="2099"/>
      <c r="K131" s="2099"/>
      <c r="L131" s="2099"/>
      <c r="M131" s="2099"/>
      <c r="N131" s="2099"/>
      <c r="O131" s="2099"/>
      <c r="P131" s="2099"/>
      <c r="Q131" s="2099"/>
      <c r="R131" s="2099"/>
      <c r="S131" s="2099"/>
      <c r="T131" s="2099"/>
      <c r="U131" s="2100"/>
      <c r="V131" s="1208"/>
      <c r="W131" s="1208"/>
      <c r="X131" s="2068"/>
      <c r="Y131" s="2069"/>
      <c r="Z131" s="2069"/>
      <c r="AA131" s="2069"/>
      <c r="AB131" s="2069"/>
      <c r="AC131" s="2069"/>
      <c r="AD131" s="2069"/>
      <c r="AE131" s="2069"/>
      <c r="AF131" s="2069"/>
      <c r="AG131" s="2069"/>
      <c r="AH131" s="2069"/>
      <c r="AI131" s="2069"/>
      <c r="AJ131" s="2069"/>
      <c r="AK131" s="2069"/>
      <c r="AL131" s="2069"/>
      <c r="AM131" s="2069"/>
      <c r="AN131" s="2069"/>
      <c r="AO131" s="2069"/>
      <c r="AP131" s="2069"/>
      <c r="AQ131" s="2069"/>
      <c r="AR131" s="2069"/>
      <c r="AS131" s="2069"/>
      <c r="AT131" s="2069"/>
      <c r="AU131" s="2069"/>
      <c r="AV131" s="2069"/>
      <c r="AW131" s="2069"/>
      <c r="AX131" s="2069"/>
      <c r="AY131" s="2069"/>
      <c r="AZ131" s="2069"/>
      <c r="BA131" s="2069"/>
      <c r="BB131" s="2069"/>
      <c r="BC131" s="2069"/>
      <c r="BD131" s="2070"/>
      <c r="BE131" s="1215"/>
    </row>
    <row r="132" spans="1:57" ht="15.75" customHeight="1" thickBot="1">
      <c r="A132" s="1208"/>
      <c r="B132" s="2122" t="s">
        <v>2283</v>
      </c>
      <c r="C132" s="2123"/>
      <c r="D132" s="2123"/>
      <c r="E132" s="2123"/>
      <c r="F132" s="2123"/>
      <c r="G132" s="2123"/>
      <c r="H132" s="2123"/>
      <c r="I132" s="2097"/>
      <c r="J132" s="2097"/>
      <c r="K132" s="2097"/>
      <c r="L132" s="2097"/>
      <c r="M132" s="2097"/>
      <c r="N132" s="2097"/>
      <c r="O132" s="2097"/>
      <c r="P132" s="2097"/>
      <c r="Q132" s="2097"/>
      <c r="R132" s="2097"/>
      <c r="S132" s="2097"/>
      <c r="T132" s="2097"/>
      <c r="U132" s="2098"/>
      <c r="V132" s="1208"/>
      <c r="W132" s="1208"/>
      <c r="X132" s="2071"/>
      <c r="Y132" s="2072"/>
      <c r="Z132" s="2072"/>
      <c r="AA132" s="2072"/>
      <c r="AB132" s="2072"/>
      <c r="AC132" s="2072"/>
      <c r="AD132" s="2072"/>
      <c r="AE132" s="2072"/>
      <c r="AF132" s="2072"/>
      <c r="AG132" s="2072"/>
      <c r="AH132" s="2072"/>
      <c r="AI132" s="2072"/>
      <c r="AJ132" s="2072"/>
      <c r="AK132" s="2072"/>
      <c r="AL132" s="2072"/>
      <c r="AM132" s="2072"/>
      <c r="AN132" s="2072"/>
      <c r="AO132" s="2072"/>
      <c r="AP132" s="2072"/>
      <c r="AQ132" s="2072"/>
      <c r="AR132" s="2072"/>
      <c r="AS132" s="2072"/>
      <c r="AT132" s="2072"/>
      <c r="AU132" s="2072"/>
      <c r="AV132" s="2072"/>
      <c r="AW132" s="2072"/>
      <c r="AX132" s="2072"/>
      <c r="AY132" s="2072"/>
      <c r="AZ132" s="2072"/>
      <c r="BA132" s="2072"/>
      <c r="BB132" s="2072"/>
      <c r="BC132" s="2072"/>
      <c r="BD132" s="2073"/>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5" t="s">
        <v>2295</v>
      </c>
      <c r="C134" s="2146"/>
      <c r="D134" s="2146"/>
      <c r="E134" s="2146"/>
      <c r="F134" s="2146"/>
      <c r="G134" s="2146"/>
      <c r="H134" s="2146"/>
      <c r="I134" s="2146"/>
      <c r="J134" s="2146"/>
      <c r="K134" s="2146"/>
      <c r="L134" s="2146"/>
      <c r="M134" s="2146"/>
      <c r="N134" s="2146"/>
      <c r="O134" s="2146"/>
      <c r="P134" s="2146"/>
      <c r="Q134" s="2146"/>
      <c r="R134" s="2146"/>
      <c r="S134" s="2146"/>
      <c r="T134" s="2146"/>
      <c r="U134" s="2146"/>
      <c r="V134" s="2146"/>
      <c r="W134" s="2146"/>
      <c r="X134" s="2146"/>
      <c r="Y134" s="2146"/>
      <c r="Z134" s="2146"/>
      <c r="AA134" s="2146"/>
      <c r="AB134" s="2146"/>
      <c r="AC134" s="2146"/>
      <c r="AD134" s="2146"/>
      <c r="AE134" s="2146"/>
      <c r="AF134" s="2146"/>
      <c r="AG134" s="2146"/>
      <c r="AH134" s="2045"/>
      <c r="AI134" s="2045"/>
      <c r="AJ134" s="2045"/>
      <c r="AK134" s="2045"/>
      <c r="AL134" s="2045"/>
      <c r="AM134" s="2045"/>
      <c r="AN134" s="2045"/>
      <c r="AO134" s="2045"/>
      <c r="AP134" s="2045"/>
      <c r="AQ134" s="2045"/>
      <c r="AR134" s="2045"/>
      <c r="AS134" s="2045"/>
      <c r="AT134" s="2045"/>
      <c r="AU134" s="2045"/>
      <c r="AV134" s="2045"/>
      <c r="AW134" s="2045"/>
      <c r="AX134" s="2046"/>
      <c r="AY134" s="1208"/>
      <c r="AZ134" s="1208"/>
      <c r="BA134" s="1208"/>
      <c r="BB134" s="1208"/>
      <c r="BC134" s="1208"/>
      <c r="BD134" s="1208"/>
      <c r="BE134" s="1215"/>
    </row>
    <row r="135" spans="1:57" ht="15.75" customHeight="1" thickBot="1">
      <c r="A135" s="1208"/>
      <c r="B135" s="2131" t="s">
        <v>2294</v>
      </c>
      <c r="C135" s="2132"/>
      <c r="D135" s="2132"/>
      <c r="E135" s="2132"/>
      <c r="F135" s="2132"/>
      <c r="G135" s="2132"/>
      <c r="H135" s="2132"/>
      <c r="I135" s="2132"/>
      <c r="J135" s="2132"/>
      <c r="K135" s="2132"/>
      <c r="L135" s="2132"/>
      <c r="M135" s="2132"/>
      <c r="N135" s="2132"/>
      <c r="O135" s="2132"/>
      <c r="P135" s="2132"/>
      <c r="Q135" s="2132"/>
      <c r="R135" s="2132"/>
      <c r="S135" s="2132"/>
      <c r="T135" s="2132"/>
      <c r="U135" s="2132"/>
      <c r="V135" s="2132"/>
      <c r="W135" s="2132"/>
      <c r="X135" s="2132"/>
      <c r="Y135" s="2132"/>
      <c r="Z135" s="2132"/>
      <c r="AA135" s="2132"/>
      <c r="AB135" s="2132"/>
      <c r="AC135" s="2132"/>
      <c r="AD135" s="2132"/>
      <c r="AE135" s="2132"/>
      <c r="AF135" s="2132"/>
      <c r="AG135" s="2133"/>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131" t="s">
        <v>2293</v>
      </c>
      <c r="C136" s="2132"/>
      <c r="D136" s="2132"/>
      <c r="E136" s="2132"/>
      <c r="F136" s="2132"/>
      <c r="G136" s="2132"/>
      <c r="H136" s="2132"/>
      <c r="I136" s="2132"/>
      <c r="J136" s="2132"/>
      <c r="K136" s="2132"/>
      <c r="L136" s="2132"/>
      <c r="M136" s="2132"/>
      <c r="N136" s="2132"/>
      <c r="O136" s="2132"/>
      <c r="P136" s="2132"/>
      <c r="Q136" s="2132"/>
      <c r="R136" s="2132"/>
      <c r="S136" s="2132"/>
      <c r="T136" s="2132"/>
      <c r="U136" s="2132"/>
      <c r="V136" s="2132"/>
      <c r="W136" s="2132"/>
      <c r="X136" s="2132"/>
      <c r="Y136" s="2132"/>
      <c r="Z136" s="2132"/>
      <c r="AA136" s="2132"/>
      <c r="AB136" s="2132"/>
      <c r="AC136" s="2132"/>
      <c r="AD136" s="2132"/>
      <c r="AE136" s="2132"/>
      <c r="AF136" s="2132"/>
      <c r="AG136" s="2133"/>
      <c r="AH136" s="2045"/>
      <c r="AI136" s="2045"/>
      <c r="AJ136" s="2045"/>
      <c r="AK136" s="2045"/>
      <c r="AL136" s="2045"/>
      <c r="AM136" s="2045"/>
      <c r="AN136" s="2045"/>
      <c r="AO136" s="2045"/>
      <c r="AP136" s="2045"/>
      <c r="AQ136" s="2045"/>
      <c r="AR136" s="2045"/>
      <c r="AS136" s="2045"/>
      <c r="AT136" s="2045"/>
      <c r="AU136" s="2045"/>
      <c r="AV136" s="2045"/>
      <c r="AW136" s="2045"/>
      <c r="AX136" s="2046"/>
      <c r="AY136" s="1208"/>
      <c r="AZ136" s="1208"/>
      <c r="BA136" s="1208"/>
      <c r="BB136" s="1208"/>
      <c r="BC136" s="1208"/>
      <c r="BD136" s="1208"/>
      <c r="BE136" s="1215"/>
    </row>
    <row r="137" spans="1:57" ht="15.75" customHeight="1">
      <c r="A137" s="1208"/>
      <c r="B137" s="2134" t="s">
        <v>2292</v>
      </c>
      <c r="C137" s="2135"/>
      <c r="D137" s="2135"/>
      <c r="E137" s="2135"/>
      <c r="F137" s="2135"/>
      <c r="G137" s="2135"/>
      <c r="H137" s="2135"/>
      <c r="I137" s="2135"/>
      <c r="J137" s="2135"/>
      <c r="K137" s="2135"/>
      <c r="L137" s="2135"/>
      <c r="M137" s="2135"/>
      <c r="N137" s="2135"/>
      <c r="O137" s="2135"/>
      <c r="P137" s="2135"/>
      <c r="Q137" s="2135"/>
      <c r="R137" s="2136" t="s">
        <v>2747</v>
      </c>
      <c r="S137" s="2136"/>
      <c r="T137" s="2136"/>
      <c r="U137" s="2136"/>
      <c r="V137" s="2136"/>
      <c r="W137" s="2136"/>
      <c r="X137" s="2136"/>
      <c r="Y137" s="2136"/>
      <c r="Z137" s="2136"/>
      <c r="AA137" s="2136"/>
      <c r="AB137" s="2136"/>
      <c r="AC137" s="2136"/>
      <c r="AD137" s="2136"/>
      <c r="AE137" s="2136"/>
      <c r="AF137" s="2136"/>
      <c r="AG137" s="2136"/>
      <c r="AH137" s="2136"/>
      <c r="AI137" s="2136"/>
      <c r="AJ137" s="2136"/>
      <c r="AK137" s="2136"/>
      <c r="AL137" s="2136"/>
      <c r="AM137" s="2136"/>
      <c r="AN137" s="2136"/>
      <c r="AO137" s="2136"/>
      <c r="AP137" s="2136"/>
      <c r="AQ137" s="2136"/>
      <c r="AR137" s="2136"/>
      <c r="AS137" s="2136"/>
      <c r="AT137" s="2136"/>
      <c r="AU137" s="2136"/>
      <c r="AV137" s="2136"/>
      <c r="AW137" s="2136"/>
      <c r="AX137" s="2137"/>
      <c r="AY137" s="1208"/>
      <c r="AZ137" s="1208"/>
      <c r="BA137" s="1208"/>
      <c r="BB137" s="1208"/>
      <c r="BC137" s="1208" t="s">
        <v>250</v>
      </c>
      <c r="BD137" s="1208"/>
      <c r="BE137" s="1215"/>
    </row>
    <row r="138" spans="1:57" ht="15.75" customHeight="1">
      <c r="A138" s="1208"/>
      <c r="B138" s="2138"/>
      <c r="C138" s="2139"/>
      <c r="D138" s="2139"/>
      <c r="E138" s="2139"/>
      <c r="F138" s="2139"/>
      <c r="G138" s="2139"/>
      <c r="H138" s="2139"/>
      <c r="I138" s="2139"/>
      <c r="J138" s="2139"/>
      <c r="K138" s="2139"/>
      <c r="L138" s="2139"/>
      <c r="M138" s="2139"/>
      <c r="N138" s="2139"/>
      <c r="O138" s="2139"/>
      <c r="P138" s="2139"/>
      <c r="Q138" s="2139"/>
      <c r="R138" s="2139"/>
      <c r="S138" s="2139"/>
      <c r="T138" s="2139"/>
      <c r="U138" s="2139"/>
      <c r="V138" s="2139"/>
      <c r="W138" s="2139"/>
      <c r="X138" s="2139"/>
      <c r="Y138" s="2139"/>
      <c r="Z138" s="2139"/>
      <c r="AA138" s="2139"/>
      <c r="AB138" s="2139"/>
      <c r="AC138" s="2139"/>
      <c r="AD138" s="2139"/>
      <c r="AE138" s="2139"/>
      <c r="AF138" s="2139"/>
      <c r="AG138" s="2139"/>
      <c r="AH138" s="2139"/>
      <c r="AI138" s="2139"/>
      <c r="AJ138" s="2139"/>
      <c r="AK138" s="2139"/>
      <c r="AL138" s="2139"/>
      <c r="AM138" s="2139"/>
      <c r="AN138" s="2139"/>
      <c r="AO138" s="2139"/>
      <c r="AP138" s="2139"/>
      <c r="AQ138" s="2139"/>
      <c r="AR138" s="2139"/>
      <c r="AS138" s="2139"/>
      <c r="AT138" s="2139"/>
      <c r="AU138" s="2139"/>
      <c r="AV138" s="2139"/>
      <c r="AW138" s="2139"/>
      <c r="AX138" s="2140"/>
      <c r="AY138" s="1208"/>
      <c r="AZ138" s="1208"/>
      <c r="BA138" s="1208"/>
      <c r="BB138" s="1208"/>
      <c r="BC138" s="1208"/>
      <c r="BD138" s="1208"/>
      <c r="BE138" s="1215"/>
    </row>
    <row r="139" spans="1:57" ht="15.75" customHeight="1">
      <c r="A139" s="1208"/>
      <c r="B139" s="2141"/>
      <c r="C139" s="2139"/>
      <c r="D139" s="2139"/>
      <c r="E139" s="2139"/>
      <c r="F139" s="2139"/>
      <c r="G139" s="2139"/>
      <c r="H139" s="2139"/>
      <c r="I139" s="2139"/>
      <c r="J139" s="2139"/>
      <c r="K139" s="2139"/>
      <c r="L139" s="2139"/>
      <c r="M139" s="2139"/>
      <c r="N139" s="2139"/>
      <c r="O139" s="2139"/>
      <c r="P139" s="2139"/>
      <c r="Q139" s="2139"/>
      <c r="R139" s="2139"/>
      <c r="S139" s="2139"/>
      <c r="T139" s="2139"/>
      <c r="U139" s="2139"/>
      <c r="V139" s="2139"/>
      <c r="W139" s="2139"/>
      <c r="X139" s="2139"/>
      <c r="Y139" s="2139"/>
      <c r="Z139" s="2139"/>
      <c r="AA139" s="2139"/>
      <c r="AB139" s="2139"/>
      <c r="AC139" s="2139"/>
      <c r="AD139" s="2139"/>
      <c r="AE139" s="2139"/>
      <c r="AF139" s="2139"/>
      <c r="AG139" s="2139"/>
      <c r="AH139" s="2139"/>
      <c r="AI139" s="2139"/>
      <c r="AJ139" s="2139"/>
      <c r="AK139" s="2139"/>
      <c r="AL139" s="2139"/>
      <c r="AM139" s="2139"/>
      <c r="AN139" s="2139"/>
      <c r="AO139" s="2139"/>
      <c r="AP139" s="2139"/>
      <c r="AQ139" s="2139"/>
      <c r="AR139" s="2139"/>
      <c r="AS139" s="2139"/>
      <c r="AT139" s="2139"/>
      <c r="AU139" s="2139"/>
      <c r="AV139" s="2139"/>
      <c r="AW139" s="2139"/>
      <c r="AX139" s="2140"/>
      <c r="AY139" s="1208"/>
      <c r="AZ139" s="1208"/>
      <c r="BA139" s="1208"/>
      <c r="BB139" s="1208"/>
      <c r="BC139" s="1208"/>
      <c r="BD139" s="1208"/>
      <c r="BE139" s="1215"/>
    </row>
    <row r="140" spans="1:57" ht="15.75" customHeight="1">
      <c r="A140" s="1208"/>
      <c r="B140" s="2141"/>
      <c r="C140" s="2139"/>
      <c r="D140" s="2139"/>
      <c r="E140" s="2139"/>
      <c r="F140" s="2139"/>
      <c r="G140" s="2139"/>
      <c r="H140" s="2139"/>
      <c r="I140" s="2139"/>
      <c r="J140" s="2139"/>
      <c r="K140" s="2139"/>
      <c r="L140" s="2139"/>
      <c r="M140" s="2139"/>
      <c r="N140" s="2139"/>
      <c r="O140" s="2139"/>
      <c r="P140" s="2139"/>
      <c r="Q140" s="2139"/>
      <c r="R140" s="2139"/>
      <c r="S140" s="2139"/>
      <c r="T140" s="2139"/>
      <c r="U140" s="2139"/>
      <c r="V140" s="2139"/>
      <c r="W140" s="2139"/>
      <c r="X140" s="2139"/>
      <c r="Y140" s="2139"/>
      <c r="Z140" s="2139"/>
      <c r="AA140" s="2139"/>
      <c r="AB140" s="2139"/>
      <c r="AC140" s="2139"/>
      <c r="AD140" s="2139"/>
      <c r="AE140" s="2139"/>
      <c r="AF140" s="2139"/>
      <c r="AG140" s="2139"/>
      <c r="AH140" s="2139"/>
      <c r="AI140" s="2139"/>
      <c r="AJ140" s="2139"/>
      <c r="AK140" s="2139"/>
      <c r="AL140" s="2139"/>
      <c r="AM140" s="2139"/>
      <c r="AN140" s="2139"/>
      <c r="AO140" s="2139"/>
      <c r="AP140" s="2139"/>
      <c r="AQ140" s="2139"/>
      <c r="AR140" s="2139"/>
      <c r="AS140" s="2139"/>
      <c r="AT140" s="2139"/>
      <c r="AU140" s="2139"/>
      <c r="AV140" s="2139"/>
      <c r="AW140" s="2139"/>
      <c r="AX140" s="2140"/>
      <c r="AY140" s="1208"/>
      <c r="AZ140" s="1208"/>
      <c r="BA140" s="1208"/>
      <c r="BB140" s="1208"/>
      <c r="BC140" s="1208"/>
      <c r="BD140" s="1208"/>
      <c r="BE140" s="1215"/>
    </row>
    <row r="141" spans="1:57" ht="15.75" customHeight="1">
      <c r="A141" s="1208"/>
      <c r="B141" s="2141"/>
      <c r="C141" s="2139"/>
      <c r="D141" s="2139"/>
      <c r="E141" s="2139"/>
      <c r="F141" s="2139"/>
      <c r="G141" s="2139"/>
      <c r="H141" s="2139"/>
      <c r="I141" s="2139"/>
      <c r="J141" s="2139"/>
      <c r="K141" s="2139"/>
      <c r="L141" s="2139"/>
      <c r="M141" s="2139"/>
      <c r="N141" s="2139"/>
      <c r="O141" s="2139"/>
      <c r="P141" s="2139"/>
      <c r="Q141" s="2139"/>
      <c r="R141" s="2139"/>
      <c r="S141" s="2139"/>
      <c r="T141" s="2139"/>
      <c r="U141" s="2139"/>
      <c r="V141" s="2139"/>
      <c r="W141" s="2139"/>
      <c r="X141" s="2139"/>
      <c r="Y141" s="2139"/>
      <c r="Z141" s="2139"/>
      <c r="AA141" s="2139"/>
      <c r="AB141" s="2139"/>
      <c r="AC141" s="2139"/>
      <c r="AD141" s="2139"/>
      <c r="AE141" s="2139"/>
      <c r="AF141" s="2139"/>
      <c r="AG141" s="2139"/>
      <c r="AH141" s="2139"/>
      <c r="AI141" s="2139"/>
      <c r="AJ141" s="2139"/>
      <c r="AK141" s="2139"/>
      <c r="AL141" s="2139"/>
      <c r="AM141" s="2139"/>
      <c r="AN141" s="2139"/>
      <c r="AO141" s="2139"/>
      <c r="AP141" s="2139"/>
      <c r="AQ141" s="2139"/>
      <c r="AR141" s="2139"/>
      <c r="AS141" s="2139"/>
      <c r="AT141" s="2139"/>
      <c r="AU141" s="2139"/>
      <c r="AV141" s="2139"/>
      <c r="AW141" s="2139"/>
      <c r="AX141" s="2140"/>
      <c r="AY141" s="1208"/>
      <c r="AZ141" s="1208"/>
      <c r="BA141" s="1208"/>
      <c r="BB141" s="1208"/>
      <c r="BC141" s="1208"/>
      <c r="BD141" s="1208"/>
      <c r="BE141" s="1215"/>
    </row>
    <row r="142" spans="1:57" ht="15.75" customHeight="1">
      <c r="A142" s="1208"/>
      <c r="B142" s="2141"/>
      <c r="C142" s="2139"/>
      <c r="D142" s="2139"/>
      <c r="E142" s="2139"/>
      <c r="F142" s="2139"/>
      <c r="G142" s="2139"/>
      <c r="H142" s="2139"/>
      <c r="I142" s="2139"/>
      <c r="J142" s="2139"/>
      <c r="K142" s="2139"/>
      <c r="L142" s="2139"/>
      <c r="M142" s="2139"/>
      <c r="N142" s="2139"/>
      <c r="O142" s="2139"/>
      <c r="P142" s="2139"/>
      <c r="Q142" s="2139"/>
      <c r="R142" s="2139"/>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208"/>
      <c r="AZ142" s="1208"/>
      <c r="BA142" s="1208"/>
      <c r="BB142" s="1208"/>
      <c r="BC142" s="1208"/>
      <c r="BD142" s="1208"/>
      <c r="BE142" s="1215"/>
    </row>
    <row r="143" spans="1:57" ht="15.75" customHeight="1">
      <c r="A143" s="1208"/>
      <c r="B143" s="2141"/>
      <c r="C143" s="2139"/>
      <c r="D143" s="2139"/>
      <c r="E143" s="2139"/>
      <c r="F143" s="2139"/>
      <c r="G143" s="2139"/>
      <c r="H143" s="2139"/>
      <c r="I143" s="2139"/>
      <c r="J143" s="2139"/>
      <c r="K143" s="2139"/>
      <c r="L143" s="2139"/>
      <c r="M143" s="2139"/>
      <c r="N143" s="2139"/>
      <c r="O143" s="2139"/>
      <c r="P143" s="2139"/>
      <c r="Q143" s="2139"/>
      <c r="R143" s="2139"/>
      <c r="S143" s="2139"/>
      <c r="T143" s="2139"/>
      <c r="U143" s="2139"/>
      <c r="V143" s="2139"/>
      <c r="W143" s="2139"/>
      <c r="X143" s="2139"/>
      <c r="Y143" s="2139"/>
      <c r="Z143" s="2139"/>
      <c r="AA143" s="2139"/>
      <c r="AB143" s="2139"/>
      <c r="AC143" s="2139"/>
      <c r="AD143" s="2139"/>
      <c r="AE143" s="2139"/>
      <c r="AF143" s="2139"/>
      <c r="AG143" s="2139"/>
      <c r="AH143" s="2139"/>
      <c r="AI143" s="2139"/>
      <c r="AJ143" s="2139"/>
      <c r="AK143" s="2139"/>
      <c r="AL143" s="2139"/>
      <c r="AM143" s="2139"/>
      <c r="AN143" s="2139"/>
      <c r="AO143" s="2139"/>
      <c r="AP143" s="2139"/>
      <c r="AQ143" s="2139"/>
      <c r="AR143" s="2139"/>
      <c r="AS143" s="2139"/>
      <c r="AT143" s="2139"/>
      <c r="AU143" s="2139"/>
      <c r="AV143" s="2139"/>
      <c r="AW143" s="2139"/>
      <c r="AX143" s="2140"/>
      <c r="AY143" s="1208"/>
      <c r="AZ143" s="1208"/>
      <c r="BA143" s="1208"/>
      <c r="BB143" s="1208"/>
      <c r="BC143" s="1208"/>
      <c r="BD143" s="1208"/>
      <c r="BE143" s="1215"/>
    </row>
    <row r="144" spans="1:57" ht="15.75" customHeight="1">
      <c r="A144" s="1208"/>
      <c r="B144" s="2141"/>
      <c r="C144" s="2139"/>
      <c r="D144" s="2139"/>
      <c r="E144" s="2139"/>
      <c r="F144" s="2139"/>
      <c r="G144" s="2139"/>
      <c r="H144" s="2139"/>
      <c r="I144" s="2139"/>
      <c r="J144" s="2139"/>
      <c r="K144" s="2139"/>
      <c r="L144" s="2139"/>
      <c r="M144" s="2139"/>
      <c r="N144" s="2139"/>
      <c r="O144" s="2139"/>
      <c r="P144" s="2139"/>
      <c r="Q144" s="2139"/>
      <c r="R144" s="2139"/>
      <c r="S144" s="2139"/>
      <c r="T144" s="2139"/>
      <c r="U144" s="2139"/>
      <c r="V144" s="2139"/>
      <c r="W144" s="2139"/>
      <c r="X144" s="2139"/>
      <c r="Y144" s="2139"/>
      <c r="Z144" s="2139"/>
      <c r="AA144" s="2139"/>
      <c r="AB144" s="2139"/>
      <c r="AC144" s="2139"/>
      <c r="AD144" s="2139"/>
      <c r="AE144" s="2139"/>
      <c r="AF144" s="2139"/>
      <c r="AG144" s="2139"/>
      <c r="AH144" s="2139"/>
      <c r="AI144" s="2139"/>
      <c r="AJ144" s="2139"/>
      <c r="AK144" s="2139"/>
      <c r="AL144" s="2139"/>
      <c r="AM144" s="2139"/>
      <c r="AN144" s="2139"/>
      <c r="AO144" s="2139"/>
      <c r="AP144" s="2139"/>
      <c r="AQ144" s="2139"/>
      <c r="AR144" s="2139"/>
      <c r="AS144" s="2139"/>
      <c r="AT144" s="2139"/>
      <c r="AU144" s="2139"/>
      <c r="AV144" s="2139"/>
      <c r="AW144" s="2139"/>
      <c r="AX144" s="2140"/>
      <c r="AY144" s="1208"/>
      <c r="AZ144" s="1208"/>
      <c r="BA144" s="1208"/>
      <c r="BB144" s="1208"/>
      <c r="BC144" s="1208"/>
      <c r="BD144" s="1208"/>
      <c r="BE144" s="1215"/>
    </row>
    <row r="145" spans="1:57" ht="15.75" customHeight="1">
      <c r="A145" s="1208"/>
      <c r="B145" s="2141"/>
      <c r="C145" s="2139"/>
      <c r="D145" s="2139"/>
      <c r="E145" s="2139"/>
      <c r="F145" s="2139"/>
      <c r="G145" s="2139"/>
      <c r="H145" s="2139"/>
      <c r="I145" s="2139"/>
      <c r="J145" s="2139"/>
      <c r="K145" s="2139"/>
      <c r="L145" s="2139"/>
      <c r="M145" s="2139"/>
      <c r="N145" s="2139"/>
      <c r="O145" s="2139"/>
      <c r="P145" s="2139"/>
      <c r="Q145" s="2139"/>
      <c r="R145" s="2139"/>
      <c r="S145" s="2139"/>
      <c r="T145" s="2139"/>
      <c r="U145" s="2139"/>
      <c r="V145" s="2139"/>
      <c r="W145" s="2139"/>
      <c r="X145" s="2139"/>
      <c r="Y145" s="2139"/>
      <c r="Z145" s="2139"/>
      <c r="AA145" s="2139"/>
      <c r="AB145" s="2139"/>
      <c r="AC145" s="2139"/>
      <c r="AD145" s="2139"/>
      <c r="AE145" s="2139"/>
      <c r="AF145" s="2139"/>
      <c r="AG145" s="2139"/>
      <c r="AH145" s="2139"/>
      <c r="AI145" s="2139"/>
      <c r="AJ145" s="2139"/>
      <c r="AK145" s="2139"/>
      <c r="AL145" s="2139"/>
      <c r="AM145" s="2139"/>
      <c r="AN145" s="2139"/>
      <c r="AO145" s="2139"/>
      <c r="AP145" s="2139"/>
      <c r="AQ145" s="2139"/>
      <c r="AR145" s="2139"/>
      <c r="AS145" s="2139"/>
      <c r="AT145" s="2139"/>
      <c r="AU145" s="2139"/>
      <c r="AV145" s="2139"/>
      <c r="AW145" s="2139"/>
      <c r="AX145" s="2140"/>
      <c r="AY145" s="1208"/>
      <c r="AZ145" s="1208"/>
      <c r="BA145" s="1208"/>
      <c r="BB145" s="1208"/>
      <c r="BC145" s="1208"/>
      <c r="BD145" s="1208"/>
      <c r="BE145" s="1215"/>
    </row>
    <row r="146" spans="1:57" ht="15.75" customHeight="1">
      <c r="A146" s="1208"/>
      <c r="B146" s="2141"/>
      <c r="C146" s="2139"/>
      <c r="D146" s="2139"/>
      <c r="E146" s="2139"/>
      <c r="F146" s="2139"/>
      <c r="G146" s="2139"/>
      <c r="H146" s="2139"/>
      <c r="I146" s="2139"/>
      <c r="J146" s="2139"/>
      <c r="K146" s="2139"/>
      <c r="L146" s="2139"/>
      <c r="M146" s="2139"/>
      <c r="N146" s="2139"/>
      <c r="O146" s="2139"/>
      <c r="P146" s="2139"/>
      <c r="Q146" s="2139"/>
      <c r="R146" s="2139"/>
      <c r="S146" s="2139"/>
      <c r="T146" s="2139"/>
      <c r="U146" s="2139"/>
      <c r="V146" s="2139"/>
      <c r="W146" s="2139"/>
      <c r="X146" s="2139"/>
      <c r="Y146" s="2139"/>
      <c r="Z146" s="2139"/>
      <c r="AA146" s="2139"/>
      <c r="AB146" s="2139"/>
      <c r="AC146" s="2139"/>
      <c r="AD146" s="2139"/>
      <c r="AE146" s="2139"/>
      <c r="AF146" s="2139"/>
      <c r="AG146" s="2139"/>
      <c r="AH146" s="2139"/>
      <c r="AI146" s="2139"/>
      <c r="AJ146" s="2139"/>
      <c r="AK146" s="2139"/>
      <c r="AL146" s="2139"/>
      <c r="AM146" s="2139"/>
      <c r="AN146" s="2139"/>
      <c r="AO146" s="2139"/>
      <c r="AP146" s="2139"/>
      <c r="AQ146" s="2139"/>
      <c r="AR146" s="2139"/>
      <c r="AS146" s="2139"/>
      <c r="AT146" s="2139"/>
      <c r="AU146" s="2139"/>
      <c r="AV146" s="2139"/>
      <c r="AW146" s="2139"/>
      <c r="AX146" s="2140"/>
      <c r="AY146" s="1208"/>
      <c r="AZ146" s="1208"/>
      <c r="BA146" s="1208"/>
      <c r="BB146" s="1208"/>
      <c r="BC146" s="1208"/>
      <c r="BD146" s="1208"/>
      <c r="BE146" s="1215"/>
    </row>
    <row r="147" spans="1:57" ht="15.75" customHeight="1" thickBot="1">
      <c r="A147" s="1208"/>
      <c r="B147" s="2142"/>
      <c r="C147" s="2143"/>
      <c r="D147" s="2143"/>
      <c r="E147" s="2143"/>
      <c r="F147" s="2143"/>
      <c r="G147" s="2143"/>
      <c r="H147" s="2143"/>
      <c r="I147" s="2143"/>
      <c r="J147" s="2143"/>
      <c r="K147" s="2143"/>
      <c r="L147" s="2143"/>
      <c r="M147" s="2143"/>
      <c r="N147" s="2143"/>
      <c r="O147" s="2143"/>
      <c r="P147" s="2143"/>
      <c r="Q147" s="2143"/>
      <c r="R147" s="2143"/>
      <c r="S147" s="2143"/>
      <c r="T147" s="2143"/>
      <c r="U147" s="2143"/>
      <c r="V147" s="2143"/>
      <c r="W147" s="2143"/>
      <c r="X147" s="2143"/>
      <c r="Y147" s="2143"/>
      <c r="Z147" s="2143"/>
      <c r="AA147" s="2143"/>
      <c r="AB147" s="2143"/>
      <c r="AC147" s="2143"/>
      <c r="AD147" s="2143"/>
      <c r="AE147" s="2143"/>
      <c r="AF147" s="2143"/>
      <c r="AG147" s="2143"/>
      <c r="AH147" s="2143"/>
      <c r="AI147" s="2143"/>
      <c r="AJ147" s="2143"/>
      <c r="AK147" s="2143"/>
      <c r="AL147" s="2143"/>
      <c r="AM147" s="2143"/>
      <c r="AN147" s="2143"/>
      <c r="AO147" s="2143"/>
      <c r="AP147" s="2143"/>
      <c r="AQ147" s="2143"/>
      <c r="AR147" s="2143"/>
      <c r="AS147" s="2143"/>
      <c r="AT147" s="2143"/>
      <c r="AU147" s="2143"/>
      <c r="AV147" s="2143"/>
      <c r="AW147" s="2143"/>
      <c r="AX147" s="2144"/>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7" t="s">
        <v>2289</v>
      </c>
      <c r="C151" s="2018"/>
      <c r="D151" s="2018"/>
      <c r="E151" s="2018"/>
      <c r="F151" s="2018"/>
      <c r="G151" s="2018"/>
      <c r="H151" s="2018"/>
      <c r="I151" s="2018"/>
      <c r="J151" s="2018"/>
      <c r="K151" s="2018"/>
      <c r="L151" s="2018"/>
      <c r="M151" s="2018"/>
      <c r="N151" s="2018"/>
      <c r="O151" s="2018"/>
      <c r="P151" s="2018"/>
      <c r="Q151" s="2018"/>
      <c r="R151" s="2018"/>
      <c r="S151" s="2018"/>
      <c r="T151" s="2018"/>
      <c r="U151" s="2019"/>
      <c r="V151" s="1208"/>
      <c r="W151" s="1209"/>
      <c r="X151" s="2017" t="s">
        <v>2288</v>
      </c>
      <c r="Y151" s="2018"/>
      <c r="Z151" s="2018"/>
      <c r="AA151" s="2018"/>
      <c r="AB151" s="2018"/>
      <c r="AC151" s="2018"/>
      <c r="AD151" s="2018"/>
      <c r="AE151" s="2018"/>
      <c r="AF151" s="2018"/>
      <c r="AG151" s="2018"/>
      <c r="AH151" s="2018"/>
      <c r="AI151" s="2018"/>
      <c r="AJ151" s="2018"/>
      <c r="AK151" s="2018"/>
      <c r="AL151" s="2018"/>
      <c r="AM151" s="2018"/>
      <c r="AN151" s="2018"/>
      <c r="AO151" s="2018"/>
      <c r="AP151" s="2018"/>
      <c r="AQ151" s="2019"/>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7"/>
      <c r="C152" s="2148"/>
      <c r="D152" s="2148"/>
      <c r="E152" s="2148"/>
      <c r="F152" s="2148"/>
      <c r="G152" s="2148"/>
      <c r="H152" s="2148"/>
      <c r="I152" s="2149" t="s">
        <v>2286</v>
      </c>
      <c r="J152" s="2149"/>
      <c r="K152" s="2149"/>
      <c r="L152" s="2149"/>
      <c r="M152" s="2149"/>
      <c r="N152" s="2149"/>
      <c r="O152" s="2149"/>
      <c r="P152" s="2149" t="s">
        <v>2287</v>
      </c>
      <c r="Q152" s="2149"/>
      <c r="R152" s="2149"/>
      <c r="S152" s="2149"/>
      <c r="T152" s="2149"/>
      <c r="U152" s="2150"/>
      <c r="V152" s="1208"/>
      <c r="W152" s="1208"/>
      <c r="X152" s="2147"/>
      <c r="Y152" s="2148"/>
      <c r="Z152" s="2148"/>
      <c r="AA152" s="2148"/>
      <c r="AB152" s="2148"/>
      <c r="AC152" s="2148"/>
      <c r="AD152" s="2148"/>
      <c r="AE152" s="2149" t="s">
        <v>2286</v>
      </c>
      <c r="AF152" s="2149"/>
      <c r="AG152" s="2149"/>
      <c r="AH152" s="2149"/>
      <c r="AI152" s="2149"/>
      <c r="AJ152" s="2149"/>
      <c r="AK152" s="2149"/>
      <c r="AL152" s="2149" t="s">
        <v>2285</v>
      </c>
      <c r="AM152" s="2149"/>
      <c r="AN152" s="2149"/>
      <c r="AO152" s="2149"/>
      <c r="AP152" s="2149"/>
      <c r="AQ152" s="2150"/>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7"/>
      <c r="C153" s="2148"/>
      <c r="D153" s="2148"/>
      <c r="E153" s="2148"/>
      <c r="F153" s="2148"/>
      <c r="G153" s="2148"/>
      <c r="H153" s="2148"/>
      <c r="I153" s="2149"/>
      <c r="J153" s="2149"/>
      <c r="K153" s="2149"/>
      <c r="L153" s="2149"/>
      <c r="M153" s="2149"/>
      <c r="N153" s="2149"/>
      <c r="O153" s="2149"/>
      <c r="P153" s="2149"/>
      <c r="Q153" s="2149"/>
      <c r="R153" s="2149"/>
      <c r="S153" s="2149"/>
      <c r="T153" s="2149"/>
      <c r="U153" s="2150"/>
      <c r="V153" s="1208"/>
      <c r="W153" s="1208"/>
      <c r="X153" s="2147"/>
      <c r="Y153" s="2148"/>
      <c r="Z153" s="2148"/>
      <c r="AA153" s="2148"/>
      <c r="AB153" s="2148"/>
      <c r="AC153" s="2148"/>
      <c r="AD153" s="2148"/>
      <c r="AE153" s="2149"/>
      <c r="AF153" s="2149"/>
      <c r="AG153" s="2149"/>
      <c r="AH153" s="2149"/>
      <c r="AI153" s="2149"/>
      <c r="AJ153" s="2149"/>
      <c r="AK153" s="2149"/>
      <c r="AL153" s="2149"/>
      <c r="AM153" s="2149"/>
      <c r="AN153" s="2149"/>
      <c r="AO153" s="2149"/>
      <c r="AP153" s="2149"/>
      <c r="AQ153" s="2150"/>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0" t="s">
        <v>2284</v>
      </c>
      <c r="C154" s="2121"/>
      <c r="D154" s="2121"/>
      <c r="E154" s="2121"/>
      <c r="F154" s="2121"/>
      <c r="G154" s="2121"/>
      <c r="H154" s="2121"/>
      <c r="I154" s="2099"/>
      <c r="J154" s="2099"/>
      <c r="K154" s="2099"/>
      <c r="L154" s="2099"/>
      <c r="M154" s="2099"/>
      <c r="N154" s="2099"/>
      <c r="O154" s="2099"/>
      <c r="P154" s="2099"/>
      <c r="Q154" s="2099"/>
      <c r="R154" s="2099"/>
      <c r="S154" s="2099"/>
      <c r="T154" s="2099"/>
      <c r="U154" s="2100"/>
      <c r="V154" s="1208"/>
      <c r="W154" s="1208"/>
      <c r="X154" s="2122" t="s">
        <v>2284</v>
      </c>
      <c r="Y154" s="2123"/>
      <c r="Z154" s="2123"/>
      <c r="AA154" s="2123"/>
      <c r="AB154" s="2123"/>
      <c r="AC154" s="2123"/>
      <c r="AD154" s="2123"/>
      <c r="AE154" s="2097"/>
      <c r="AF154" s="2097"/>
      <c r="AG154" s="2097"/>
      <c r="AH154" s="2097"/>
      <c r="AI154" s="2097"/>
      <c r="AJ154" s="2097"/>
      <c r="AK154" s="2097"/>
      <c r="AL154" s="2097"/>
      <c r="AM154" s="2097"/>
      <c r="AN154" s="2097"/>
      <c r="AO154" s="2097"/>
      <c r="AP154" s="2097"/>
      <c r="AQ154" s="2098"/>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2" t="s">
        <v>2283</v>
      </c>
      <c r="C155" s="2123"/>
      <c r="D155" s="2123"/>
      <c r="E155" s="2123"/>
      <c r="F155" s="2123"/>
      <c r="G155" s="2123"/>
      <c r="H155" s="2123"/>
      <c r="I155" s="2097"/>
      <c r="J155" s="2097"/>
      <c r="K155" s="2097"/>
      <c r="L155" s="2097"/>
      <c r="M155" s="2097"/>
      <c r="N155" s="2097"/>
      <c r="O155" s="2097"/>
      <c r="P155" s="2097"/>
      <c r="Q155" s="2097"/>
      <c r="R155" s="2097"/>
      <c r="S155" s="2097"/>
      <c r="T155" s="2097"/>
      <c r="U155" s="2098"/>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7" t="s">
        <v>2282</v>
      </c>
      <c r="D157" s="2018"/>
      <c r="E157" s="2018"/>
      <c r="F157" s="2018"/>
      <c r="G157" s="2018"/>
      <c r="H157" s="2018"/>
      <c r="I157" s="2018"/>
      <c r="J157" s="2018"/>
      <c r="K157" s="2018"/>
      <c r="L157" s="2018"/>
      <c r="M157" s="2018"/>
      <c r="N157" s="2018"/>
      <c r="O157" s="2018"/>
      <c r="P157" s="2018"/>
      <c r="Q157" s="2018"/>
      <c r="R157" s="2018"/>
      <c r="S157" s="2018"/>
      <c r="T157" s="2018"/>
      <c r="U157" s="2018"/>
      <c r="V157" s="2018"/>
      <c r="W157" s="2018"/>
      <c r="X157" s="2018"/>
      <c r="Y157" s="2018"/>
      <c r="Z157" s="2018"/>
      <c r="AA157" s="2018"/>
      <c r="AB157" s="2018"/>
      <c r="AC157" s="2018"/>
      <c r="AD157" s="2018"/>
      <c r="AE157" s="2018"/>
      <c r="AF157" s="2018"/>
      <c r="AG157" s="2019"/>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7" t="s">
        <v>2267</v>
      </c>
      <c r="D158" s="2148"/>
      <c r="E158" s="2148"/>
      <c r="F158" s="2148"/>
      <c r="G158" s="2148"/>
      <c r="H158" s="2148"/>
      <c r="I158" s="2148"/>
      <c r="J158" s="2148"/>
      <c r="K158" s="2148"/>
      <c r="L158" s="2148"/>
      <c r="M158" s="2148"/>
      <c r="N158" s="2148"/>
      <c r="O158" s="2148"/>
      <c r="P158" s="2148"/>
      <c r="Q158" s="2148" t="s">
        <v>2281</v>
      </c>
      <c r="R158" s="2148"/>
      <c r="S158" s="2148"/>
      <c r="T158" s="2094" t="s">
        <v>2280</v>
      </c>
      <c r="U158" s="2094"/>
      <c r="V158" s="2094"/>
      <c r="W158" s="2094"/>
      <c r="X158" s="2094"/>
      <c r="Y158" s="2094"/>
      <c r="Z158" s="2094"/>
      <c r="AA158" s="2094"/>
      <c r="AB158" s="2148" t="s">
        <v>2279</v>
      </c>
      <c r="AC158" s="2148"/>
      <c r="AD158" s="2148"/>
      <c r="AE158" s="2148"/>
      <c r="AF158" s="2148"/>
      <c r="AG158" s="215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3" t="s">
        <v>2278</v>
      </c>
      <c r="D159" s="2154"/>
      <c r="E159" s="2154"/>
      <c r="F159" s="2154"/>
      <c r="G159" s="2154"/>
      <c r="H159" s="2154"/>
      <c r="I159" s="2154"/>
      <c r="J159" s="2154"/>
      <c r="K159" s="2154"/>
      <c r="L159" s="2154"/>
      <c r="M159" s="2154"/>
      <c r="N159" s="2154"/>
      <c r="O159" s="2154"/>
      <c r="P159" s="2154"/>
      <c r="Q159" s="2155"/>
      <c r="R159" s="2155"/>
      <c r="S159" s="2155"/>
      <c r="T159" s="2156"/>
      <c r="U159" s="2156"/>
      <c r="V159" s="2156"/>
      <c r="W159" s="2156"/>
      <c r="X159" s="2156"/>
      <c r="Y159" s="2156"/>
      <c r="Z159" s="2156"/>
      <c r="AA159" s="2156"/>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3" t="s">
        <v>2277</v>
      </c>
      <c r="D160" s="2154"/>
      <c r="E160" s="2154"/>
      <c r="F160" s="2154"/>
      <c r="G160" s="2154"/>
      <c r="H160" s="2154"/>
      <c r="I160" s="2154"/>
      <c r="J160" s="2154"/>
      <c r="K160" s="2154"/>
      <c r="L160" s="2154"/>
      <c r="M160" s="2154"/>
      <c r="N160" s="2154"/>
      <c r="O160" s="2154"/>
      <c r="P160" s="2154"/>
      <c r="Q160" s="2155"/>
      <c r="R160" s="2155"/>
      <c r="S160" s="2155"/>
      <c r="T160" s="2157"/>
      <c r="U160" s="2157"/>
      <c r="V160" s="2157"/>
      <c r="W160" s="2157"/>
      <c r="X160" s="2157"/>
      <c r="Y160" s="2157"/>
      <c r="Z160" s="2157"/>
      <c r="AA160" s="2157"/>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3" t="s">
        <v>2276</v>
      </c>
      <c r="D161" s="2154"/>
      <c r="E161" s="2154"/>
      <c r="F161" s="2154"/>
      <c r="G161" s="2154"/>
      <c r="H161" s="2154"/>
      <c r="I161" s="2154"/>
      <c r="J161" s="2154"/>
      <c r="K161" s="2154"/>
      <c r="L161" s="2154"/>
      <c r="M161" s="2154"/>
      <c r="N161" s="2154"/>
      <c r="O161" s="2154"/>
      <c r="P161" s="2154"/>
      <c r="Q161" s="2155"/>
      <c r="R161" s="2155"/>
      <c r="S161" s="2155"/>
      <c r="T161" s="2156"/>
      <c r="U161" s="2156"/>
      <c r="V161" s="2156"/>
      <c r="W161" s="2156"/>
      <c r="X161" s="2156"/>
      <c r="Y161" s="2156"/>
      <c r="Z161" s="2156"/>
      <c r="AA161" s="2156"/>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3" t="s">
        <v>2275</v>
      </c>
      <c r="D162" s="2154"/>
      <c r="E162" s="2154"/>
      <c r="F162" s="2154"/>
      <c r="G162" s="2154"/>
      <c r="H162" s="2154"/>
      <c r="I162" s="2154"/>
      <c r="J162" s="2154"/>
      <c r="K162" s="2154"/>
      <c r="L162" s="2154"/>
      <c r="M162" s="2154"/>
      <c r="N162" s="2154"/>
      <c r="O162" s="2154"/>
      <c r="P162" s="2154"/>
      <c r="Q162" s="2155"/>
      <c r="R162" s="2155"/>
      <c r="S162" s="2155"/>
      <c r="T162" s="2156"/>
      <c r="U162" s="2156"/>
      <c r="V162" s="2156"/>
      <c r="W162" s="2156"/>
      <c r="X162" s="2156"/>
      <c r="Y162" s="2156"/>
      <c r="Z162" s="2156"/>
      <c r="AA162" s="2156"/>
      <c r="AB162" s="2159"/>
      <c r="AC162" s="2159"/>
      <c r="AD162" s="2159"/>
      <c r="AE162" s="2159"/>
      <c r="AF162" s="2159"/>
      <c r="AG162" s="2160"/>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3" t="s">
        <v>170</v>
      </c>
      <c r="D163" s="2154"/>
      <c r="E163" s="2154"/>
      <c r="F163" s="2161" t="s">
        <v>2256</v>
      </c>
      <c r="G163" s="2161"/>
      <c r="H163" s="2161"/>
      <c r="I163" s="2161"/>
      <c r="J163" s="2161"/>
      <c r="K163" s="2161"/>
      <c r="L163" s="2161"/>
      <c r="M163" s="2161"/>
      <c r="N163" s="2161"/>
      <c r="O163" s="2161"/>
      <c r="P163" s="2161"/>
      <c r="Q163" s="2155"/>
      <c r="R163" s="2155"/>
      <c r="S163" s="2155"/>
      <c r="T163" s="2157"/>
      <c r="U163" s="2157"/>
      <c r="V163" s="2157"/>
      <c r="W163" s="2157"/>
      <c r="X163" s="2157"/>
      <c r="Y163" s="2157"/>
      <c r="Z163" s="2157"/>
      <c r="AA163" s="2157"/>
      <c r="AB163" s="2159"/>
      <c r="AC163" s="2159"/>
      <c r="AD163" s="2159"/>
      <c r="AE163" s="2159"/>
      <c r="AF163" s="2159"/>
      <c r="AG163" s="2160"/>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3" t="s">
        <v>170</v>
      </c>
      <c r="D164" s="2154"/>
      <c r="E164" s="2154"/>
      <c r="F164" s="2161" t="s">
        <v>2256</v>
      </c>
      <c r="G164" s="2161"/>
      <c r="H164" s="2161"/>
      <c r="I164" s="2161"/>
      <c r="J164" s="2161"/>
      <c r="K164" s="2161"/>
      <c r="L164" s="2161"/>
      <c r="M164" s="2161"/>
      <c r="N164" s="2161"/>
      <c r="O164" s="2161"/>
      <c r="P164" s="2161"/>
      <c r="Q164" s="2155"/>
      <c r="R164" s="2155"/>
      <c r="S164" s="2155"/>
      <c r="T164" s="2157"/>
      <c r="U164" s="2157"/>
      <c r="V164" s="2157"/>
      <c r="W164" s="2157"/>
      <c r="X164" s="2157"/>
      <c r="Y164" s="2157"/>
      <c r="Z164" s="2157"/>
      <c r="AA164" s="2157"/>
      <c r="AB164" s="2159"/>
      <c r="AC164" s="2159"/>
      <c r="AD164" s="2159"/>
      <c r="AE164" s="2159"/>
      <c r="AF164" s="2159"/>
      <c r="AG164" s="2160"/>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2" t="s">
        <v>170</v>
      </c>
      <c r="D165" s="2163"/>
      <c r="E165" s="2163"/>
      <c r="F165" s="2164" t="s">
        <v>2256</v>
      </c>
      <c r="G165" s="2164"/>
      <c r="H165" s="2164"/>
      <c r="I165" s="2164"/>
      <c r="J165" s="2164"/>
      <c r="K165" s="2164"/>
      <c r="L165" s="2164"/>
      <c r="M165" s="2164"/>
      <c r="N165" s="2164"/>
      <c r="O165" s="2164"/>
      <c r="P165" s="2164"/>
      <c r="Q165" s="2165"/>
      <c r="R165" s="2165"/>
      <c r="S165" s="2165"/>
      <c r="T165" s="2166"/>
      <c r="U165" s="2166"/>
      <c r="V165" s="2166"/>
      <c r="W165" s="2166"/>
      <c r="X165" s="2166"/>
      <c r="Y165" s="2166"/>
      <c r="Z165" s="2166"/>
      <c r="AA165" s="2166"/>
      <c r="AB165" s="2167"/>
      <c r="AC165" s="2167"/>
      <c r="AD165" s="2167"/>
      <c r="AE165" s="2167"/>
      <c r="AF165" s="2167"/>
      <c r="AG165" s="2168"/>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4" t="s">
        <v>2274</v>
      </c>
      <c r="D167" s="2065"/>
      <c r="E167" s="2065"/>
      <c r="F167" s="2065"/>
      <c r="G167" s="2065"/>
      <c r="H167" s="2065"/>
      <c r="I167" s="2065"/>
      <c r="J167" s="2065"/>
      <c r="K167" s="2065"/>
      <c r="L167" s="2065"/>
      <c r="M167" s="2065"/>
      <c r="N167" s="2104"/>
      <c r="O167" s="1208"/>
      <c r="P167" s="2169" t="s">
        <v>2273</v>
      </c>
      <c r="Q167" s="2170"/>
      <c r="R167" s="2170"/>
      <c r="S167" s="2170"/>
      <c r="T167" s="2170"/>
      <c r="U167" s="2170"/>
      <c r="V167" s="2170"/>
      <c r="W167" s="2170"/>
      <c r="X167" s="2170"/>
      <c r="Y167" s="2170"/>
      <c r="Z167" s="2170"/>
      <c r="AA167" s="2170"/>
      <c r="AB167" s="2170"/>
      <c r="AC167" s="2170"/>
      <c r="AD167" s="2170"/>
      <c r="AE167" s="2170"/>
      <c r="AF167" s="2170"/>
      <c r="AG167" s="2170"/>
      <c r="AH167" s="2170"/>
      <c r="AI167" s="2170"/>
      <c r="AJ167" s="2170"/>
      <c r="AK167" s="2170"/>
      <c r="AL167" s="2170"/>
      <c r="AM167" s="2170"/>
      <c r="AN167" s="2170"/>
      <c r="AO167" s="2171"/>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7" t="s">
        <v>2272</v>
      </c>
      <c r="D168" s="2148"/>
      <c r="E168" s="2148"/>
      <c r="F168" s="2148"/>
      <c r="G168" s="2148"/>
      <c r="H168" s="2148"/>
      <c r="I168" s="2148" t="s">
        <v>2271</v>
      </c>
      <c r="J168" s="2148"/>
      <c r="K168" s="2148"/>
      <c r="L168" s="2148"/>
      <c r="M168" s="2148"/>
      <c r="N168" s="2158"/>
      <c r="O168" s="1208"/>
      <c r="P168" s="2068" t="s">
        <v>2748</v>
      </c>
      <c r="Q168" s="2069"/>
      <c r="R168" s="2069"/>
      <c r="S168" s="2069"/>
      <c r="T168" s="2069"/>
      <c r="U168" s="2069"/>
      <c r="V168" s="2069"/>
      <c r="W168" s="2069"/>
      <c r="X168" s="2069"/>
      <c r="Y168" s="2069"/>
      <c r="Z168" s="2069"/>
      <c r="AA168" s="2069"/>
      <c r="AB168" s="2069"/>
      <c r="AC168" s="2069"/>
      <c r="AD168" s="2069"/>
      <c r="AE168" s="2069"/>
      <c r="AF168" s="2069"/>
      <c r="AG168" s="2069"/>
      <c r="AH168" s="2069"/>
      <c r="AI168" s="2069"/>
      <c r="AJ168" s="2069"/>
      <c r="AK168" s="2069"/>
      <c r="AL168" s="2069"/>
      <c r="AM168" s="2069"/>
      <c r="AN168" s="2069"/>
      <c r="AO168" s="2070"/>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4"/>
      <c r="D169" s="2024"/>
      <c r="E169" s="2024"/>
      <c r="F169" s="2024"/>
      <c r="G169" s="2024"/>
      <c r="H169" s="2024"/>
      <c r="I169" s="2156"/>
      <c r="J169" s="2156"/>
      <c r="K169" s="2156"/>
      <c r="L169" s="2156"/>
      <c r="M169" s="2156"/>
      <c r="N169" s="2172"/>
      <c r="O169" s="1208"/>
      <c r="P169" s="2068"/>
      <c r="Q169" s="2069"/>
      <c r="R169" s="2069"/>
      <c r="S169" s="2069"/>
      <c r="T169" s="2069"/>
      <c r="U169" s="2069"/>
      <c r="V169" s="2069"/>
      <c r="W169" s="2069"/>
      <c r="X169" s="2069"/>
      <c r="Y169" s="2069"/>
      <c r="Z169" s="2069"/>
      <c r="AA169" s="2069"/>
      <c r="AB169" s="2069"/>
      <c r="AC169" s="2069"/>
      <c r="AD169" s="2069"/>
      <c r="AE169" s="2069"/>
      <c r="AF169" s="2069"/>
      <c r="AG169" s="2069"/>
      <c r="AH169" s="2069"/>
      <c r="AI169" s="2069"/>
      <c r="AJ169" s="2069"/>
      <c r="AK169" s="2069"/>
      <c r="AL169" s="2069"/>
      <c r="AM169" s="2069"/>
      <c r="AN169" s="2069"/>
      <c r="AO169" s="2070"/>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4"/>
      <c r="D170" s="2024"/>
      <c r="E170" s="2024"/>
      <c r="F170" s="2024"/>
      <c r="G170" s="2024"/>
      <c r="H170" s="2024"/>
      <c r="I170" s="2156"/>
      <c r="J170" s="2156"/>
      <c r="K170" s="2156"/>
      <c r="L170" s="2156"/>
      <c r="M170" s="2156"/>
      <c r="N170" s="2172"/>
      <c r="O170" s="1208"/>
      <c r="P170" s="2068"/>
      <c r="Q170" s="2069"/>
      <c r="R170" s="2069"/>
      <c r="S170" s="2069"/>
      <c r="T170" s="2069"/>
      <c r="U170" s="2069"/>
      <c r="V170" s="2069"/>
      <c r="W170" s="2069"/>
      <c r="X170" s="2069"/>
      <c r="Y170" s="2069"/>
      <c r="Z170" s="2069"/>
      <c r="AA170" s="2069"/>
      <c r="AB170" s="2069"/>
      <c r="AC170" s="2069"/>
      <c r="AD170" s="2069"/>
      <c r="AE170" s="2069"/>
      <c r="AF170" s="2069"/>
      <c r="AG170" s="2069"/>
      <c r="AH170" s="2069"/>
      <c r="AI170" s="2069"/>
      <c r="AJ170" s="2069"/>
      <c r="AK170" s="2069"/>
      <c r="AL170" s="2069"/>
      <c r="AM170" s="2069"/>
      <c r="AN170" s="2069"/>
      <c r="AO170" s="2070"/>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4"/>
      <c r="D171" s="2024"/>
      <c r="E171" s="2024"/>
      <c r="F171" s="2024"/>
      <c r="G171" s="2024"/>
      <c r="H171" s="2024"/>
      <c r="I171" s="2156"/>
      <c r="J171" s="2156"/>
      <c r="K171" s="2156"/>
      <c r="L171" s="2156"/>
      <c r="M171" s="2156"/>
      <c r="N171" s="2172"/>
      <c r="O171" s="1208"/>
      <c r="P171" s="2068"/>
      <c r="Q171" s="2069"/>
      <c r="R171" s="2069"/>
      <c r="S171" s="2069"/>
      <c r="T171" s="2069"/>
      <c r="U171" s="2069"/>
      <c r="V171" s="2069"/>
      <c r="W171" s="2069"/>
      <c r="X171" s="2069"/>
      <c r="Y171" s="2069"/>
      <c r="Z171" s="2069"/>
      <c r="AA171" s="2069"/>
      <c r="AB171" s="2069"/>
      <c r="AC171" s="2069"/>
      <c r="AD171" s="2069"/>
      <c r="AE171" s="2069"/>
      <c r="AF171" s="2069"/>
      <c r="AG171" s="2069"/>
      <c r="AH171" s="2069"/>
      <c r="AI171" s="2069"/>
      <c r="AJ171" s="2069"/>
      <c r="AK171" s="2069"/>
      <c r="AL171" s="2069"/>
      <c r="AM171" s="2069"/>
      <c r="AN171" s="2069"/>
      <c r="AO171" s="2070"/>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4"/>
      <c r="D172" s="2024"/>
      <c r="E172" s="2024"/>
      <c r="F172" s="2024"/>
      <c r="G172" s="2024"/>
      <c r="H172" s="2024"/>
      <c r="I172" s="2156"/>
      <c r="J172" s="2156"/>
      <c r="K172" s="2156"/>
      <c r="L172" s="2156"/>
      <c r="M172" s="2156"/>
      <c r="N172" s="2172"/>
      <c r="O172" s="1208"/>
      <c r="P172" s="2068"/>
      <c r="Q172" s="2069"/>
      <c r="R172" s="2069"/>
      <c r="S172" s="2069"/>
      <c r="T172" s="2069"/>
      <c r="U172" s="2069"/>
      <c r="V172" s="2069"/>
      <c r="W172" s="2069"/>
      <c r="X172" s="2069"/>
      <c r="Y172" s="2069"/>
      <c r="Z172" s="2069"/>
      <c r="AA172" s="2069"/>
      <c r="AB172" s="2069"/>
      <c r="AC172" s="2069"/>
      <c r="AD172" s="2069"/>
      <c r="AE172" s="2069"/>
      <c r="AF172" s="2069"/>
      <c r="AG172" s="2069"/>
      <c r="AH172" s="2069"/>
      <c r="AI172" s="2069"/>
      <c r="AJ172" s="2069"/>
      <c r="AK172" s="2069"/>
      <c r="AL172" s="2069"/>
      <c r="AM172" s="2069"/>
      <c r="AN172" s="2069"/>
      <c r="AO172" s="2070"/>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4"/>
      <c r="D173" s="2024"/>
      <c r="E173" s="2024"/>
      <c r="F173" s="2024"/>
      <c r="G173" s="2024"/>
      <c r="H173" s="2024"/>
      <c r="I173" s="2156"/>
      <c r="J173" s="2156"/>
      <c r="K173" s="2156"/>
      <c r="L173" s="2156"/>
      <c r="M173" s="2156"/>
      <c r="N173" s="2172"/>
      <c r="O173" s="1208"/>
      <c r="P173" s="2068"/>
      <c r="Q173" s="2069"/>
      <c r="R173" s="2069"/>
      <c r="S173" s="2069"/>
      <c r="T173" s="2069"/>
      <c r="U173" s="2069"/>
      <c r="V173" s="2069"/>
      <c r="W173" s="2069"/>
      <c r="X173" s="2069"/>
      <c r="Y173" s="2069"/>
      <c r="Z173" s="2069"/>
      <c r="AA173" s="2069"/>
      <c r="AB173" s="2069"/>
      <c r="AC173" s="2069"/>
      <c r="AD173" s="2069"/>
      <c r="AE173" s="2069"/>
      <c r="AF173" s="2069"/>
      <c r="AG173" s="2069"/>
      <c r="AH173" s="2069"/>
      <c r="AI173" s="2069"/>
      <c r="AJ173" s="2069"/>
      <c r="AK173" s="2069"/>
      <c r="AL173" s="2069"/>
      <c r="AM173" s="2069"/>
      <c r="AN173" s="2069"/>
      <c r="AO173" s="2070"/>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4"/>
      <c r="D174" s="2024"/>
      <c r="E174" s="2024"/>
      <c r="F174" s="2024"/>
      <c r="G174" s="2024"/>
      <c r="H174" s="2024"/>
      <c r="I174" s="2156"/>
      <c r="J174" s="2156"/>
      <c r="K174" s="2156"/>
      <c r="L174" s="2156"/>
      <c r="M174" s="2156"/>
      <c r="N174" s="2172"/>
      <c r="O174" s="1208"/>
      <c r="P174" s="2068"/>
      <c r="Q174" s="2069"/>
      <c r="R174" s="2069"/>
      <c r="S174" s="2069"/>
      <c r="T174" s="2069"/>
      <c r="U174" s="2069"/>
      <c r="V174" s="2069"/>
      <c r="W174" s="2069"/>
      <c r="X174" s="2069"/>
      <c r="Y174" s="2069"/>
      <c r="Z174" s="2069"/>
      <c r="AA174" s="2069"/>
      <c r="AB174" s="2069"/>
      <c r="AC174" s="2069"/>
      <c r="AD174" s="2069"/>
      <c r="AE174" s="2069"/>
      <c r="AF174" s="2069"/>
      <c r="AG174" s="2069"/>
      <c r="AH174" s="2069"/>
      <c r="AI174" s="2069"/>
      <c r="AJ174" s="2069"/>
      <c r="AK174" s="2069"/>
      <c r="AL174" s="2069"/>
      <c r="AM174" s="2069"/>
      <c r="AN174" s="2069"/>
      <c r="AO174" s="2070"/>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3"/>
      <c r="D175" s="2174"/>
      <c r="E175" s="2174"/>
      <c r="F175" s="2174"/>
      <c r="G175" s="2174"/>
      <c r="H175" s="2174"/>
      <c r="I175" s="2175"/>
      <c r="J175" s="2175"/>
      <c r="K175" s="2175"/>
      <c r="L175" s="2175"/>
      <c r="M175" s="2175"/>
      <c r="N175" s="2176"/>
      <c r="O175" s="1208"/>
      <c r="P175" s="2071"/>
      <c r="Q175" s="2072"/>
      <c r="R175" s="2072"/>
      <c r="S175" s="2072"/>
      <c r="T175" s="2072"/>
      <c r="U175" s="2072"/>
      <c r="V175" s="2072"/>
      <c r="W175" s="2072"/>
      <c r="X175" s="2072"/>
      <c r="Y175" s="2072"/>
      <c r="Z175" s="2072"/>
      <c r="AA175" s="2072"/>
      <c r="AB175" s="2072"/>
      <c r="AC175" s="2072"/>
      <c r="AD175" s="2072"/>
      <c r="AE175" s="2072"/>
      <c r="AF175" s="2072"/>
      <c r="AG175" s="2072"/>
      <c r="AH175" s="2072"/>
      <c r="AI175" s="2072"/>
      <c r="AJ175" s="2072"/>
      <c r="AK175" s="2072"/>
      <c r="AL175" s="2072"/>
      <c r="AM175" s="2072"/>
      <c r="AN175" s="2072"/>
      <c r="AO175" s="2073"/>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0" t="s">
        <v>2269</v>
      </c>
      <c r="D177" s="2181"/>
      <c r="E177" s="2181"/>
      <c r="F177" s="2181"/>
      <c r="G177" s="2181"/>
      <c r="H177" s="2181"/>
      <c r="I177" s="2181"/>
      <c r="J177" s="2181"/>
      <c r="K177" s="2181"/>
      <c r="L177" s="2181"/>
      <c r="M177" s="2181"/>
      <c r="N177" s="2181"/>
      <c r="O177" s="2181"/>
      <c r="P177" s="2181"/>
      <c r="Q177" s="2181"/>
      <c r="R177" s="2181"/>
      <c r="S177" s="2181"/>
      <c r="T177" s="2181"/>
      <c r="U177" s="2181"/>
      <c r="V177" s="2181"/>
      <c r="W177" s="2181"/>
      <c r="X177" s="2181"/>
      <c r="Y177" s="2181"/>
      <c r="Z177" s="2181"/>
      <c r="AA177" s="2181"/>
      <c r="AB177" s="2181"/>
      <c r="AC177" s="2181"/>
      <c r="AD177" s="2181"/>
      <c r="AE177" s="2182"/>
      <c r="AF177" s="1208"/>
      <c r="AG177" s="1208"/>
      <c r="AH177" s="2190"/>
      <c r="AI177" s="2190"/>
      <c r="AJ177" s="2190"/>
      <c r="AK177" s="2190"/>
      <c r="AL177" s="2190"/>
      <c r="AM177" s="2190"/>
      <c r="AN177" s="2190"/>
      <c r="AO177" s="2190"/>
      <c r="AP177" s="2190"/>
      <c r="AQ177" s="2190"/>
      <c r="AR177" s="2190"/>
      <c r="AS177" s="2190"/>
      <c r="AT177" s="2190"/>
      <c r="AU177" s="2190"/>
      <c r="AV177" s="2190"/>
      <c r="AW177" s="2190"/>
      <c r="AX177" s="2190"/>
      <c r="AY177" s="2190"/>
      <c r="AZ177" s="2190"/>
      <c r="BA177" s="2190"/>
      <c r="BB177" s="2190"/>
      <c r="BC177" s="2190"/>
      <c r="BD177" s="2190"/>
      <c r="BE177" s="2190"/>
    </row>
    <row r="178" spans="1:57" ht="15.75" customHeight="1" thickBot="1">
      <c r="A178" s="1208"/>
      <c r="B178" s="1208"/>
      <c r="C178" s="2183"/>
      <c r="D178" s="2184"/>
      <c r="E178" s="2184"/>
      <c r="F178" s="2184"/>
      <c r="G178" s="2184"/>
      <c r="H178" s="2184"/>
      <c r="I178" s="2184"/>
      <c r="J178" s="2184"/>
      <c r="K178" s="2184"/>
      <c r="L178" s="2184"/>
      <c r="M178" s="2184"/>
      <c r="N178" s="2184"/>
      <c r="O178" s="2184"/>
      <c r="P178" s="2184"/>
      <c r="Q178" s="2184"/>
      <c r="R178" s="2184"/>
      <c r="S178" s="2184"/>
      <c r="T178" s="2184"/>
      <c r="U178" s="2184"/>
      <c r="V178" s="2184"/>
      <c r="W178" s="2184"/>
      <c r="X178" s="2184"/>
      <c r="Y178" s="2184"/>
      <c r="Z178" s="2184"/>
      <c r="AA178" s="2184"/>
      <c r="AB178" s="2184"/>
      <c r="AC178" s="2184"/>
      <c r="AD178" s="2184"/>
      <c r="AE178" s="2185"/>
      <c r="AF178" s="1208"/>
      <c r="AG178" s="1208"/>
      <c r="AH178" s="2190"/>
      <c r="AI178" s="2190"/>
      <c r="AJ178" s="2190"/>
      <c r="AK178" s="2190"/>
      <c r="AL178" s="2190"/>
      <c r="AM178" s="2190"/>
      <c r="AN178" s="2190"/>
      <c r="AO178" s="2190"/>
      <c r="AP178" s="2190"/>
      <c r="AQ178" s="2190"/>
      <c r="AR178" s="2190"/>
      <c r="AS178" s="2190"/>
      <c r="AT178" s="2190"/>
      <c r="AU178" s="2190"/>
      <c r="AV178" s="2190"/>
      <c r="AW178" s="2190"/>
      <c r="AX178" s="2190"/>
      <c r="AY178" s="2190"/>
      <c r="AZ178" s="2190"/>
      <c r="BA178" s="2190"/>
      <c r="BB178" s="2190"/>
      <c r="BC178" s="2190"/>
      <c r="BD178" s="2190"/>
      <c r="BE178" s="2190"/>
    </row>
    <row r="179" spans="1:57" ht="15.75" customHeight="1">
      <c r="A179" s="1208"/>
      <c r="B179" s="1208"/>
      <c r="C179" s="2064" t="s">
        <v>2267</v>
      </c>
      <c r="D179" s="2065"/>
      <c r="E179" s="2065"/>
      <c r="F179" s="2065"/>
      <c r="G179" s="2065"/>
      <c r="H179" s="2065"/>
      <c r="I179" s="2065"/>
      <c r="J179" s="2065"/>
      <c r="K179" s="2065"/>
      <c r="L179" s="2065"/>
      <c r="M179" s="2065"/>
      <c r="N179" s="2065" t="s">
        <v>2268</v>
      </c>
      <c r="O179" s="2065"/>
      <c r="P179" s="2065"/>
      <c r="Q179" s="2065"/>
      <c r="R179" s="2065"/>
      <c r="S179" s="2065"/>
      <c r="T179" s="2065"/>
      <c r="U179" s="2018" t="s">
        <v>2267</v>
      </c>
      <c r="V179" s="2018"/>
      <c r="W179" s="2018"/>
      <c r="X179" s="2018"/>
      <c r="Y179" s="2018"/>
      <c r="Z179" s="2018"/>
      <c r="AA179" s="2018"/>
      <c r="AB179" s="2018"/>
      <c r="AC179" s="2018"/>
      <c r="AD179" s="2018"/>
      <c r="AE179" s="2019"/>
      <c r="AF179" s="1208"/>
      <c r="AG179" s="1208"/>
      <c r="AH179" s="2190"/>
      <c r="AI179" s="2190"/>
      <c r="AJ179" s="2190"/>
      <c r="AK179" s="2190"/>
      <c r="AL179" s="2190"/>
      <c r="AM179" s="2190"/>
      <c r="AN179" s="2190"/>
      <c r="AO179" s="2190"/>
      <c r="AP179" s="2190"/>
      <c r="AQ179" s="2190"/>
      <c r="AR179" s="2190"/>
      <c r="AS179" s="2190"/>
      <c r="AT179" s="2190"/>
      <c r="AU179" s="2190"/>
      <c r="AV179" s="2190"/>
      <c r="AW179" s="2190"/>
      <c r="AX179" s="2190"/>
      <c r="AY179" s="2190"/>
      <c r="AZ179" s="2190"/>
      <c r="BA179" s="2190"/>
      <c r="BB179" s="2190"/>
      <c r="BC179" s="2190"/>
      <c r="BD179" s="2190"/>
      <c r="BE179" s="2190"/>
    </row>
    <row r="180" spans="1:57" ht="15.75" customHeight="1">
      <c r="A180" s="1208"/>
      <c r="B180" s="1208"/>
      <c r="C180" s="2177" t="s">
        <v>2266</v>
      </c>
      <c r="D180" s="2178"/>
      <c r="E180" s="2178"/>
      <c r="F180" s="2178"/>
      <c r="G180" s="2178"/>
      <c r="H180" s="2178"/>
      <c r="I180" s="2178"/>
      <c r="J180" s="2178"/>
      <c r="K180" s="2178"/>
      <c r="L180" s="2178"/>
      <c r="M180" s="2178"/>
      <c r="N180" s="2179">
        <f>'Sources and Uses Budget'!B105</f>
        <v>21607387</v>
      </c>
      <c r="O180" s="2179"/>
      <c r="P180" s="2179"/>
      <c r="Q180" s="2179"/>
      <c r="R180" s="2179"/>
      <c r="S180" s="2179"/>
      <c r="T180" s="2179"/>
      <c r="U180" s="2191"/>
      <c r="V180" s="2191"/>
      <c r="W180" s="2191"/>
      <c r="X180" s="2191"/>
      <c r="Y180" s="2191"/>
      <c r="Z180" s="2191"/>
      <c r="AA180" s="2191"/>
      <c r="AB180" s="2191"/>
      <c r="AC180" s="2191"/>
      <c r="AD180" s="2191"/>
      <c r="AE180" s="2192"/>
      <c r="AF180" s="1208"/>
      <c r="AG180" s="1208"/>
      <c r="AH180" s="2190"/>
      <c r="AI180" s="2190"/>
      <c r="AJ180" s="2190"/>
      <c r="AK180" s="2190"/>
      <c r="AL180" s="2190"/>
      <c r="AM180" s="2190"/>
      <c r="AN180" s="2190"/>
      <c r="AO180" s="2190"/>
      <c r="AP180" s="2190"/>
      <c r="AQ180" s="2190"/>
      <c r="AR180" s="2190"/>
      <c r="AS180" s="2190"/>
      <c r="AT180" s="2190"/>
      <c r="AU180" s="2190"/>
      <c r="AV180" s="2190"/>
      <c r="AW180" s="2190"/>
      <c r="AX180" s="2190"/>
      <c r="AY180" s="2190"/>
      <c r="AZ180" s="2190"/>
      <c r="BA180" s="2190"/>
      <c r="BB180" s="2190"/>
      <c r="BC180" s="2190"/>
      <c r="BD180" s="2190"/>
      <c r="BE180" s="2190"/>
    </row>
    <row r="181" spans="1:57" ht="15.75" customHeight="1">
      <c r="A181" s="1208"/>
      <c r="B181" s="1208"/>
      <c r="C181" s="2177" t="s">
        <v>2265</v>
      </c>
      <c r="D181" s="2178"/>
      <c r="E181" s="2178"/>
      <c r="F181" s="2178"/>
      <c r="G181" s="2178"/>
      <c r="H181" s="2178"/>
      <c r="I181" s="2178"/>
      <c r="J181" s="2178"/>
      <c r="K181" s="2178"/>
      <c r="L181" s="2178"/>
      <c r="M181" s="2178"/>
      <c r="N181" s="2179">
        <f>N180/J29</f>
        <v>366226.89830508473</v>
      </c>
      <c r="O181" s="2179"/>
      <c r="P181" s="2179"/>
      <c r="Q181" s="2179"/>
      <c r="R181" s="2179"/>
      <c r="S181" s="2179"/>
      <c r="T181" s="2179"/>
      <c r="U181" s="1248"/>
      <c r="V181" s="1248"/>
      <c r="W181" s="1248"/>
      <c r="X181" s="1248"/>
      <c r="Y181" s="1248"/>
      <c r="Z181" s="1248"/>
      <c r="AA181" s="1248"/>
      <c r="AB181" s="1248"/>
      <c r="AC181" s="1248"/>
      <c r="AD181" s="1248"/>
      <c r="AE181" s="1249"/>
      <c r="AF181" s="1208"/>
      <c r="AG181" s="1208"/>
      <c r="AH181" s="2190"/>
      <c r="AI181" s="2190"/>
      <c r="AJ181" s="2190"/>
      <c r="AK181" s="2190"/>
      <c r="AL181" s="2190"/>
      <c r="AM181" s="2190"/>
      <c r="AN181" s="2190"/>
      <c r="AO181" s="2190"/>
      <c r="AP181" s="2190"/>
      <c r="AQ181" s="2190"/>
      <c r="AR181" s="2190"/>
      <c r="AS181" s="2190"/>
      <c r="AT181" s="2190"/>
      <c r="AU181" s="2190"/>
      <c r="AV181" s="2190"/>
      <c r="AW181" s="2190"/>
      <c r="AX181" s="2190"/>
      <c r="AY181" s="2190"/>
      <c r="AZ181" s="2190"/>
      <c r="BA181" s="2190"/>
      <c r="BB181" s="2190"/>
      <c r="BC181" s="2190"/>
      <c r="BD181" s="2190"/>
      <c r="BE181" s="2190"/>
    </row>
    <row r="182" spans="1:57" ht="15.75" customHeight="1">
      <c r="A182" s="1208"/>
      <c r="B182" s="1208"/>
      <c r="C182" s="2193" t="s">
        <v>2264</v>
      </c>
      <c r="D182" s="2194"/>
      <c r="E182" s="2194"/>
      <c r="F182" s="2194"/>
      <c r="G182" s="2194"/>
      <c r="H182" s="2194"/>
      <c r="I182" s="2194"/>
      <c r="J182" s="2194"/>
      <c r="K182" s="2194"/>
      <c r="L182" s="2194"/>
      <c r="M182" s="2194"/>
      <c r="N182" s="2058"/>
      <c r="O182" s="2058"/>
      <c r="P182" s="2058"/>
      <c r="Q182" s="2058"/>
      <c r="R182" s="2058"/>
      <c r="S182" s="2058"/>
      <c r="T182" s="2058"/>
      <c r="U182" s="2036"/>
      <c r="V182" s="2036"/>
      <c r="W182" s="2036"/>
      <c r="X182" s="2036"/>
      <c r="Y182" s="2036"/>
      <c r="Z182" s="2036"/>
      <c r="AA182" s="2036"/>
      <c r="AB182" s="2036"/>
      <c r="AC182" s="2036"/>
      <c r="AD182" s="2036"/>
      <c r="AE182" s="2037"/>
      <c r="AF182" s="1208"/>
      <c r="AG182" s="1208"/>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208"/>
      <c r="B183" s="1208"/>
      <c r="C183" s="2177" t="s">
        <v>2263</v>
      </c>
      <c r="D183" s="2178"/>
      <c r="E183" s="2178"/>
      <c r="F183" s="2178"/>
      <c r="G183" s="2178"/>
      <c r="H183" s="2178"/>
      <c r="I183" s="2178"/>
      <c r="J183" s="2178"/>
      <c r="K183" s="2178"/>
      <c r="L183" s="2178"/>
      <c r="M183" s="2178"/>
      <c r="N183" s="2195"/>
      <c r="O183" s="2195"/>
      <c r="P183" s="2195"/>
      <c r="Q183" s="2195"/>
      <c r="R183" s="2195"/>
      <c r="S183" s="2195"/>
      <c r="T183" s="2195"/>
      <c r="U183" s="2036"/>
      <c r="V183" s="2036"/>
      <c r="W183" s="2036"/>
      <c r="X183" s="2036"/>
      <c r="Y183" s="2036"/>
      <c r="Z183" s="2036"/>
      <c r="AA183" s="2036"/>
      <c r="AB183" s="2036"/>
      <c r="AC183" s="2036"/>
      <c r="AD183" s="2036"/>
      <c r="AE183" s="2037"/>
      <c r="AF183" s="1208"/>
      <c r="AG183" s="1208"/>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thickBot="1">
      <c r="A184" s="1208"/>
      <c r="B184" s="1208"/>
      <c r="C184" s="2177" t="s">
        <v>2262</v>
      </c>
      <c r="D184" s="2178"/>
      <c r="E184" s="2178"/>
      <c r="F184" s="2178"/>
      <c r="G184" s="2178"/>
      <c r="H184" s="2178"/>
      <c r="I184" s="2178"/>
      <c r="J184" s="2178"/>
      <c r="K184" s="2178"/>
      <c r="L184" s="2178"/>
      <c r="M184" s="2178"/>
      <c r="N184" s="2195"/>
      <c r="O184" s="2195"/>
      <c r="P184" s="2195"/>
      <c r="Q184" s="2195"/>
      <c r="R184" s="2195"/>
      <c r="S184" s="2195"/>
      <c r="T184" s="2195"/>
      <c r="U184" s="2036"/>
      <c r="V184" s="2036"/>
      <c r="W184" s="2036"/>
      <c r="X184" s="2036"/>
      <c r="Y184" s="2036"/>
      <c r="Z184" s="2036"/>
      <c r="AA184" s="2036"/>
      <c r="AB184" s="2036"/>
      <c r="AC184" s="2036"/>
      <c r="AD184" s="2036"/>
      <c r="AE184" s="2037"/>
      <c r="AF184" s="1208"/>
      <c r="AG184" s="1208"/>
      <c r="AH184" s="2199" t="s">
        <v>2260</v>
      </c>
      <c r="AI184" s="2200"/>
      <c r="AJ184" s="2200"/>
      <c r="AK184" s="2200"/>
      <c r="AL184" s="2200"/>
      <c r="AM184" s="2200"/>
      <c r="AN184" s="2200"/>
      <c r="AO184" s="2200"/>
      <c r="AP184" s="2200"/>
      <c r="AQ184" s="2200"/>
      <c r="AR184" s="2200"/>
      <c r="AS184" s="2200"/>
      <c r="AT184" s="2200"/>
      <c r="AU184" s="2200"/>
      <c r="AV184" s="2200"/>
      <c r="AW184" s="2200"/>
      <c r="AX184" s="2200"/>
      <c r="AY184" s="2200"/>
      <c r="AZ184" s="2200"/>
      <c r="BA184" s="2200"/>
      <c r="BB184" s="2200"/>
      <c r="BC184" s="2200"/>
      <c r="BD184" s="2200"/>
      <c r="BE184" s="2201"/>
    </row>
    <row r="185" spans="1:57" ht="15.75" customHeight="1">
      <c r="A185" s="1208"/>
      <c r="B185" s="1208"/>
      <c r="C185" s="2177" t="s">
        <v>2261</v>
      </c>
      <c r="D185" s="2178"/>
      <c r="E185" s="2178"/>
      <c r="F185" s="2178"/>
      <c r="G185" s="2178"/>
      <c r="H185" s="2178"/>
      <c r="I185" s="2178"/>
      <c r="J185" s="2178"/>
      <c r="K185" s="2178"/>
      <c r="L185" s="2178"/>
      <c r="M185" s="2178"/>
      <c r="N185" s="2186"/>
      <c r="O185" s="2186"/>
      <c r="P185" s="2186"/>
      <c r="Q185" s="2186"/>
      <c r="R185" s="2186"/>
      <c r="S185" s="2186"/>
      <c r="T185" s="2186"/>
      <c r="U185" s="2036"/>
      <c r="V185" s="2036"/>
      <c r="W185" s="2036"/>
      <c r="X185" s="2036"/>
      <c r="Y185" s="2036"/>
      <c r="Z185" s="2036"/>
      <c r="AA185" s="2036"/>
      <c r="AB185" s="2036"/>
      <c r="AC185" s="2036"/>
      <c r="AD185" s="2036"/>
      <c r="AE185" s="2037"/>
      <c r="AF185" s="1208"/>
      <c r="AG185" s="1208"/>
      <c r="AH185" s="2202" t="s">
        <v>2260</v>
      </c>
      <c r="AI185" s="2203"/>
      <c r="AJ185" s="2203"/>
      <c r="AK185" s="2203"/>
      <c r="AL185" s="2203"/>
      <c r="AM185" s="2203"/>
      <c r="AN185" s="2203"/>
      <c r="AO185" s="2203"/>
      <c r="AP185" s="2203"/>
      <c r="AQ185" s="2203"/>
      <c r="AR185" s="2203"/>
      <c r="AS185" s="2203"/>
      <c r="AT185" s="2203"/>
      <c r="AU185" s="2204"/>
      <c r="AV185" s="2204"/>
      <c r="AW185" s="2204"/>
      <c r="AX185" s="2204"/>
      <c r="AY185" s="2204"/>
      <c r="AZ185" s="2204"/>
      <c r="BA185" s="2204"/>
      <c r="BB185" s="2204"/>
      <c r="BC185" s="2205"/>
      <c r="BD185" s="2206"/>
      <c r="BE185" s="2207"/>
    </row>
    <row r="186" spans="1:57" ht="15.75" customHeight="1">
      <c r="A186" s="1208"/>
      <c r="B186" s="1208"/>
      <c r="C186" s="2177" t="s">
        <v>2259</v>
      </c>
      <c r="D186" s="2178"/>
      <c r="E186" s="2178"/>
      <c r="F186" s="2178"/>
      <c r="G186" s="2178"/>
      <c r="H186" s="2178"/>
      <c r="I186" s="2178"/>
      <c r="J186" s="2178"/>
      <c r="K186" s="2178"/>
      <c r="L186" s="2178"/>
      <c r="M186" s="2178"/>
      <c r="N186" s="2186"/>
      <c r="O186" s="2186"/>
      <c r="P186" s="2186"/>
      <c r="Q186" s="2186"/>
      <c r="R186" s="2186"/>
      <c r="S186" s="2186"/>
      <c r="T186" s="2186"/>
      <c r="U186" s="2036"/>
      <c r="V186" s="2036"/>
      <c r="W186" s="2036"/>
      <c r="X186" s="2036"/>
      <c r="Y186" s="2036"/>
      <c r="Z186" s="2036"/>
      <c r="AA186" s="2036"/>
      <c r="AB186" s="2036"/>
      <c r="AC186" s="2036"/>
      <c r="AD186" s="2036"/>
      <c r="AE186" s="2037"/>
      <c r="AF186" s="1208"/>
      <c r="AG186" s="1208"/>
      <c r="AH186" s="2187" t="s">
        <v>2258</v>
      </c>
      <c r="AI186" s="2188"/>
      <c r="AJ186" s="2188"/>
      <c r="AK186" s="2188"/>
      <c r="AL186" s="2188"/>
      <c r="AM186" s="2188"/>
      <c r="AN186" s="2188"/>
      <c r="AO186" s="2188"/>
      <c r="AP186" s="2188"/>
      <c r="AQ186" s="2188"/>
      <c r="AR186" s="2188"/>
      <c r="AS186" s="2188"/>
      <c r="AT186" s="2188"/>
      <c r="AU186" s="2189"/>
      <c r="AV186" s="2189"/>
      <c r="AW186" s="2189"/>
      <c r="AX186" s="2189"/>
      <c r="AY186" s="2189"/>
      <c r="AZ186" s="2189"/>
      <c r="BA186" s="2189"/>
      <c r="BB186" s="2189"/>
      <c r="BC186" s="2196"/>
      <c r="BD186" s="2197"/>
      <c r="BE186" s="2198"/>
    </row>
    <row r="187" spans="1:57" ht="15.75" customHeight="1">
      <c r="A187" s="1208"/>
      <c r="B187" s="1208"/>
      <c r="C187" s="2212" t="s">
        <v>300</v>
      </c>
      <c r="D187" s="2155"/>
      <c r="E187" s="2208" t="s">
        <v>2256</v>
      </c>
      <c r="F187" s="2208"/>
      <c r="G187" s="2208"/>
      <c r="H187" s="2208"/>
      <c r="I187" s="2208"/>
      <c r="J187" s="2208"/>
      <c r="K187" s="2208"/>
      <c r="L187" s="2208"/>
      <c r="M187" s="2208"/>
      <c r="N187" s="2186"/>
      <c r="O187" s="2186"/>
      <c r="P187" s="2186"/>
      <c r="Q187" s="2186"/>
      <c r="R187" s="2186"/>
      <c r="S187" s="2186"/>
      <c r="T187" s="2186"/>
      <c r="U187" s="2036"/>
      <c r="V187" s="2036"/>
      <c r="W187" s="2036"/>
      <c r="X187" s="2036"/>
      <c r="Y187" s="2036"/>
      <c r="Z187" s="2036"/>
      <c r="AA187" s="2036"/>
      <c r="AB187" s="2036"/>
      <c r="AC187" s="2036"/>
      <c r="AD187" s="2036"/>
      <c r="AE187" s="2037"/>
      <c r="AF187" s="1208"/>
      <c r="AG187" s="1208"/>
      <c r="AH187" s="2213" t="s">
        <v>2257</v>
      </c>
      <c r="AI187" s="2214"/>
      <c r="AJ187" s="2214"/>
      <c r="AK187" s="2214"/>
      <c r="AL187" s="2214"/>
      <c r="AM187" s="2214"/>
      <c r="AN187" s="2214"/>
      <c r="AO187" s="2214"/>
      <c r="AP187" s="2214"/>
      <c r="AQ187" s="2214"/>
      <c r="AR187" s="2214"/>
      <c r="AS187" s="2214"/>
      <c r="AT187" s="2214"/>
      <c r="AU187" s="2215">
        <f>SUM(AU185:BB186)</f>
        <v>0</v>
      </c>
      <c r="AV187" s="2215"/>
      <c r="AW187" s="2215"/>
      <c r="AX187" s="2215"/>
      <c r="AY187" s="2215"/>
      <c r="AZ187" s="2215"/>
      <c r="BA187" s="2215"/>
      <c r="BB187" s="2215"/>
      <c r="BC187" s="2196"/>
      <c r="BD187" s="2197"/>
      <c r="BE187" s="2198"/>
    </row>
    <row r="188" spans="1:57" ht="15.75" customHeight="1" thickBot="1">
      <c r="A188" s="1208"/>
      <c r="B188" s="1208"/>
      <c r="C188" s="2074" t="s">
        <v>300</v>
      </c>
      <c r="D188" s="2024"/>
      <c r="E188" s="2208" t="s">
        <v>2256</v>
      </c>
      <c r="F188" s="2208"/>
      <c r="G188" s="2208"/>
      <c r="H188" s="2208"/>
      <c r="I188" s="2208"/>
      <c r="J188" s="2208"/>
      <c r="K188" s="2208"/>
      <c r="L188" s="2208"/>
      <c r="M188" s="2208"/>
      <c r="N188" s="2186"/>
      <c r="O188" s="2186"/>
      <c r="P188" s="2186"/>
      <c r="Q188" s="2186"/>
      <c r="R188" s="2186"/>
      <c r="S188" s="2186"/>
      <c r="T188" s="2186"/>
      <c r="U188" s="2036"/>
      <c r="V188" s="2036"/>
      <c r="W188" s="2036"/>
      <c r="X188" s="2036"/>
      <c r="Y188" s="2036"/>
      <c r="Z188" s="2036"/>
      <c r="AA188" s="2036"/>
      <c r="AB188" s="2036"/>
      <c r="AC188" s="2036"/>
      <c r="AD188" s="2036"/>
      <c r="AE188" s="203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9"/>
      <c r="BD188" s="2210"/>
      <c r="BE188" s="2211"/>
    </row>
    <row r="189" spans="1:57" ht="15.75" customHeight="1" thickBot="1">
      <c r="A189" s="1208"/>
      <c r="B189" s="1208"/>
      <c r="C189" s="2233" t="s">
        <v>300</v>
      </c>
      <c r="D189" s="2234"/>
      <c r="E189" s="2235" t="s">
        <v>2256</v>
      </c>
      <c r="F189" s="2235"/>
      <c r="G189" s="2235"/>
      <c r="H189" s="2235"/>
      <c r="I189" s="2235"/>
      <c r="J189" s="2235"/>
      <c r="K189" s="2235"/>
      <c r="L189" s="2235"/>
      <c r="M189" s="2236"/>
      <c r="N189" s="2237"/>
      <c r="O189" s="2237"/>
      <c r="P189" s="2237"/>
      <c r="Q189" s="2237"/>
      <c r="R189" s="2237"/>
      <c r="S189" s="2237"/>
      <c r="T189" s="2238"/>
      <c r="U189" s="2239"/>
      <c r="V189" s="2240"/>
      <c r="W189" s="2240"/>
      <c r="X189" s="2240"/>
      <c r="Y189" s="2240"/>
      <c r="Z189" s="2240"/>
      <c r="AA189" s="2240"/>
      <c r="AB189" s="2240"/>
      <c r="AC189" s="2240"/>
      <c r="AD189" s="2240"/>
      <c r="AE189" s="2241"/>
      <c r="AF189" s="1208"/>
      <c r="AG189" s="1208"/>
      <c r="AH189" s="2242" t="s">
        <v>2255</v>
      </c>
      <c r="AI189" s="2243"/>
      <c r="AJ189" s="2243"/>
      <c r="AK189" s="2243"/>
      <c r="AL189" s="2243"/>
      <c r="AM189" s="2243"/>
      <c r="AN189" s="2243"/>
      <c r="AO189" s="2243"/>
      <c r="AP189" s="2243"/>
      <c r="AQ189" s="2243"/>
      <c r="AR189" s="2243"/>
      <c r="AS189" s="2243"/>
      <c r="AT189" s="2243"/>
      <c r="AU189" s="2244"/>
      <c r="AV189" s="2244"/>
      <c r="AW189" s="2244"/>
      <c r="AX189" s="2244"/>
      <c r="AY189" s="2244"/>
      <c r="AZ189" s="2244"/>
      <c r="BA189" s="2244"/>
      <c r="BB189" s="2244"/>
      <c r="BC189" s="1164"/>
      <c r="BD189" s="1164"/>
      <c r="BE189" s="1252"/>
    </row>
    <row r="190" spans="1:57" ht="15.75" customHeight="1">
      <c r="A190" s="1208"/>
      <c r="B190" s="1208"/>
      <c r="C190" s="2216" t="s">
        <v>2254</v>
      </c>
      <c r="D190" s="2217"/>
      <c r="E190" s="2217"/>
      <c r="F190" s="2217"/>
      <c r="G190" s="2217"/>
      <c r="H190" s="2217"/>
      <c r="I190" s="2217"/>
      <c r="J190" s="2217"/>
      <c r="K190" s="2217"/>
      <c r="L190" s="2217"/>
      <c r="M190" s="2217"/>
      <c r="N190" s="2218">
        <f>SUM(N182:T189)</f>
        <v>0</v>
      </c>
      <c r="O190" s="2218"/>
      <c r="P190" s="2218"/>
      <c r="Q190" s="2218"/>
      <c r="R190" s="2218"/>
      <c r="S190" s="2218"/>
      <c r="T190" s="2219"/>
      <c r="U190" s="1208"/>
      <c r="V190" s="1208"/>
      <c r="W190" s="1208"/>
      <c r="X190" s="1208"/>
      <c r="Y190" s="1208"/>
      <c r="Z190" s="1208"/>
      <c r="AA190" s="1208"/>
      <c r="AB190" s="1208"/>
      <c r="AC190" s="1208"/>
      <c r="AD190" s="1208"/>
      <c r="AE190" s="1208"/>
      <c r="AF190" s="1208"/>
      <c r="AG190" s="1208"/>
      <c r="AH190" s="2220" t="s">
        <v>2253</v>
      </c>
      <c r="AI190" s="2221"/>
      <c r="AJ190" s="2221"/>
      <c r="AK190" s="2221"/>
      <c r="AL190" s="2221"/>
      <c r="AM190" s="2221"/>
      <c r="AN190" s="2221"/>
      <c r="AO190" s="2221"/>
      <c r="AP190" s="2221"/>
      <c r="AQ190" s="2221"/>
      <c r="AR190" s="2221"/>
      <c r="AS190" s="2221"/>
      <c r="AT190" s="2221"/>
      <c r="AU190" s="2221"/>
      <c r="AV190" s="2221"/>
      <c r="AW190" s="2221"/>
      <c r="AX190" s="2221"/>
      <c r="AY190" s="2221"/>
      <c r="AZ190" s="2221"/>
      <c r="BA190" s="2221"/>
      <c r="BB190" s="2221"/>
      <c r="BC190" s="2221"/>
      <c r="BD190" s="2221"/>
      <c r="BE190" s="2222"/>
    </row>
    <row r="191" spans="1:57" ht="15.75" customHeight="1" thickBot="1">
      <c r="A191" s="1208"/>
      <c r="B191" s="1208"/>
      <c r="C191" s="2226" t="s">
        <v>2252</v>
      </c>
      <c r="D191" s="2227"/>
      <c r="E191" s="2227"/>
      <c r="F191" s="2227"/>
      <c r="G191" s="2227"/>
      <c r="H191" s="2227"/>
      <c r="I191" s="2227"/>
      <c r="J191" s="2227"/>
      <c r="K191" s="2227"/>
      <c r="L191" s="2227"/>
      <c r="M191" s="2227"/>
      <c r="N191" s="2228">
        <f>(N180-N190)/J29</f>
        <v>366226.89830508473</v>
      </c>
      <c r="O191" s="2229"/>
      <c r="P191" s="2229"/>
      <c r="Q191" s="2229"/>
      <c r="R191" s="2229"/>
      <c r="S191" s="2229"/>
      <c r="T191" s="2230"/>
      <c r="U191" s="1216"/>
      <c r="V191" s="1208"/>
      <c r="W191" s="1208"/>
      <c r="X191" s="1208"/>
      <c r="Y191" s="1208"/>
      <c r="Z191" s="1208"/>
      <c r="AA191" s="1208"/>
      <c r="AB191" s="1208"/>
      <c r="AC191" s="1208"/>
      <c r="AD191" s="1208"/>
      <c r="AE191" s="1208"/>
      <c r="AF191" s="1208"/>
      <c r="AG191" s="1208"/>
      <c r="AH191" s="2223"/>
      <c r="AI191" s="2224"/>
      <c r="AJ191" s="2224"/>
      <c r="AK191" s="2224"/>
      <c r="AL191" s="2224"/>
      <c r="AM191" s="2224"/>
      <c r="AN191" s="2224"/>
      <c r="AO191" s="2224"/>
      <c r="AP191" s="2224"/>
      <c r="AQ191" s="2224"/>
      <c r="AR191" s="2224"/>
      <c r="AS191" s="2224"/>
      <c r="AT191" s="2224"/>
      <c r="AU191" s="2224"/>
      <c r="AV191" s="2224"/>
      <c r="AW191" s="2224"/>
      <c r="AX191" s="2224"/>
      <c r="AY191" s="2224"/>
      <c r="AZ191" s="2224"/>
      <c r="BA191" s="2224"/>
      <c r="BB191" s="2224"/>
      <c r="BC191" s="2224"/>
      <c r="BD191" s="2224"/>
      <c r="BE191" s="2225"/>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1"/>
      <c r="AI192" s="2231"/>
      <c r="AJ192" s="2231"/>
      <c r="AK192" s="2231"/>
      <c r="AL192" s="2231"/>
      <c r="AM192" s="2231"/>
      <c r="AN192" s="2231"/>
      <c r="AO192" s="2231"/>
      <c r="AP192" s="2231"/>
      <c r="AQ192" s="2231"/>
      <c r="AR192" s="2231"/>
      <c r="AS192" s="2232"/>
      <c r="AT192" s="2232"/>
      <c r="AU192" s="2232"/>
      <c r="AV192" s="2232"/>
      <c r="AW192" s="2232"/>
      <c r="AX192" s="2232"/>
      <c r="AY192" s="2232"/>
      <c r="AZ192" s="2232"/>
      <c r="BA192" s="2232"/>
      <c r="BB192" s="2232"/>
      <c r="BC192" s="2232"/>
      <c r="BD192" s="2232"/>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0" t="s">
        <v>2251</v>
      </c>
      <c r="D194" s="2251"/>
      <c r="E194" s="2251"/>
      <c r="F194" s="2251"/>
      <c r="G194" s="2251"/>
      <c r="H194" s="2251"/>
      <c r="I194" s="2251"/>
      <c r="J194" s="2251"/>
      <c r="K194" s="2251"/>
      <c r="L194" s="2251"/>
      <c r="M194" s="2251"/>
      <c r="N194" s="2251"/>
      <c r="O194" s="2251"/>
      <c r="P194" s="2251"/>
      <c r="Q194" s="2251"/>
      <c r="R194" s="2251"/>
      <c r="S194" s="2251"/>
      <c r="T194" s="2251"/>
      <c r="U194" s="2251"/>
      <c r="V194" s="2251"/>
      <c r="W194" s="2251"/>
      <c r="X194" s="2251"/>
      <c r="Y194" s="2251"/>
      <c r="Z194" s="2251"/>
      <c r="AA194" s="2251"/>
      <c r="AB194" s="2251"/>
      <c r="AC194" s="2251"/>
      <c r="AD194" s="2251"/>
      <c r="AE194" s="2252"/>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3" t="s">
        <v>2250</v>
      </c>
      <c r="D195" s="2253"/>
      <c r="E195" s="2253"/>
      <c r="F195" s="2253"/>
      <c r="G195" s="2253"/>
      <c r="H195" s="2253"/>
      <c r="I195" s="2253"/>
      <c r="J195" s="2253"/>
      <c r="K195" s="2253"/>
      <c r="L195" s="2253"/>
      <c r="M195" s="2253"/>
      <c r="N195" s="2253"/>
      <c r="O195" s="2254" t="s">
        <v>2249</v>
      </c>
      <c r="P195" s="2254"/>
      <c r="Q195" s="2254"/>
      <c r="R195" s="2254"/>
      <c r="S195" s="2254"/>
      <c r="T195" s="2254"/>
      <c r="U195" s="2254"/>
      <c r="V195" s="2254"/>
      <c r="W195" s="2254"/>
      <c r="X195" s="2254" t="s">
        <v>2248</v>
      </c>
      <c r="Y195" s="2254"/>
      <c r="Z195" s="2254"/>
      <c r="AA195" s="2254"/>
      <c r="AB195" s="2254"/>
      <c r="AC195" s="2254"/>
      <c r="AD195" s="2254"/>
      <c r="AE195" s="2254"/>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5" t="s">
        <v>2247</v>
      </c>
      <c r="D196" s="2245"/>
      <c r="E196" s="2245"/>
      <c r="F196" s="2245"/>
      <c r="G196" s="2245"/>
      <c r="H196" s="2245"/>
      <c r="I196" s="2245"/>
      <c r="J196" s="2245"/>
      <c r="K196" s="2245"/>
      <c r="L196" s="2245"/>
      <c r="M196" s="2245"/>
      <c r="N196" s="2245"/>
      <c r="O196" s="2246"/>
      <c r="P196" s="2246"/>
      <c r="Q196" s="2246"/>
      <c r="R196" s="2246"/>
      <c r="S196" s="2246"/>
      <c r="T196" s="2246"/>
      <c r="U196" s="2246"/>
      <c r="V196" s="2246"/>
      <c r="W196" s="2246"/>
      <c r="X196" s="2247"/>
      <c r="Y196" s="2247"/>
      <c r="Z196" s="2247"/>
      <c r="AA196" s="2247"/>
      <c r="AB196" s="2247"/>
      <c r="AC196" s="2247"/>
      <c r="AD196" s="2247"/>
      <c r="AE196" s="2247"/>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5" t="s">
        <v>854</v>
      </c>
      <c r="D197" s="2245"/>
      <c r="E197" s="2245"/>
      <c r="F197" s="2245"/>
      <c r="G197" s="2245"/>
      <c r="H197" s="2245"/>
      <c r="I197" s="2245"/>
      <c r="J197" s="2245"/>
      <c r="K197" s="2245"/>
      <c r="L197" s="2245"/>
      <c r="M197" s="2245"/>
      <c r="N197" s="2245"/>
      <c r="O197" s="2246"/>
      <c r="P197" s="2246"/>
      <c r="Q197" s="2246"/>
      <c r="R197" s="2246"/>
      <c r="S197" s="2246"/>
      <c r="T197" s="2246"/>
      <c r="U197" s="2246"/>
      <c r="V197" s="2246"/>
      <c r="W197" s="2246"/>
      <c r="X197" s="2247"/>
      <c r="Y197" s="2247"/>
      <c r="Z197" s="2247"/>
      <c r="AA197" s="2247"/>
      <c r="AB197" s="2247"/>
      <c r="AC197" s="2247"/>
      <c r="AD197" s="2247"/>
      <c r="AE197" s="2247"/>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5" t="s">
        <v>2246</v>
      </c>
      <c r="D198" s="2245"/>
      <c r="E198" s="2245"/>
      <c r="F198" s="2245"/>
      <c r="G198" s="2245"/>
      <c r="H198" s="2245"/>
      <c r="I198" s="2245"/>
      <c r="J198" s="2245"/>
      <c r="K198" s="2245"/>
      <c r="L198" s="2245"/>
      <c r="M198" s="2245"/>
      <c r="N198" s="2245"/>
      <c r="O198" s="2248">
        <f>SUM(O196:W197)</f>
        <v>0</v>
      </c>
      <c r="P198" s="2249"/>
      <c r="Q198" s="2249"/>
      <c r="R198" s="2249"/>
      <c r="S198" s="2249"/>
      <c r="T198" s="2249"/>
      <c r="U198" s="2249"/>
      <c r="V198" s="2249"/>
      <c r="W198" s="2249"/>
      <c r="X198" s="2249" t="s">
        <v>2245</v>
      </c>
      <c r="Y198" s="2249"/>
      <c r="Z198" s="2249"/>
      <c r="AA198" s="2249"/>
      <c r="AB198" s="2249"/>
      <c r="AC198" s="2249"/>
      <c r="AD198" s="2249"/>
      <c r="AE198" s="2249"/>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5" t="s">
        <v>2244</v>
      </c>
      <c r="D199" s="2255"/>
      <c r="E199" s="2255"/>
      <c r="F199" s="2255"/>
      <c r="G199" s="2255"/>
      <c r="H199" s="2255"/>
      <c r="I199" s="2255"/>
      <c r="J199" s="2255"/>
      <c r="K199" s="2255"/>
      <c r="L199" s="2255"/>
      <c r="M199" s="2255"/>
      <c r="N199" s="2255"/>
      <c r="O199" s="2255"/>
      <c r="P199" s="2255"/>
      <c r="Q199" s="2255"/>
      <c r="R199" s="2255"/>
      <c r="S199" s="2255"/>
      <c r="T199" s="2255"/>
      <c r="U199" s="2255"/>
      <c r="V199" s="2255"/>
      <c r="W199" s="2255"/>
      <c r="X199" s="2255"/>
      <c r="Y199" s="2255"/>
      <c r="Z199" s="2255"/>
      <c r="AA199" s="2255"/>
      <c r="AB199" s="2255"/>
      <c r="AC199" s="2255"/>
      <c r="AD199" s="2255"/>
      <c r="AE199" s="2255"/>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6" t="s">
        <v>2243</v>
      </c>
      <c r="D201" s="2257"/>
      <c r="E201" s="2257"/>
      <c r="F201" s="2257"/>
      <c r="G201" s="2257"/>
      <c r="H201" s="2257"/>
      <c r="I201" s="2257"/>
      <c r="J201" s="2257"/>
      <c r="K201" s="2257"/>
      <c r="L201" s="2257"/>
      <c r="M201" s="2257"/>
      <c r="N201" s="2257"/>
      <c r="O201" s="2257"/>
      <c r="P201" s="2257"/>
      <c r="Q201" s="2257"/>
      <c r="R201" s="2257"/>
      <c r="S201" s="2257"/>
      <c r="T201" s="2257"/>
      <c r="U201" s="2257"/>
      <c r="V201" s="2257"/>
      <c r="W201" s="2257"/>
      <c r="X201" s="2257"/>
      <c r="Y201" s="2257"/>
      <c r="Z201" s="2257"/>
      <c r="AA201" s="2257"/>
      <c r="AB201" s="2257"/>
      <c r="AC201" s="2257"/>
      <c r="AD201" s="2257"/>
      <c r="AE201" s="2257"/>
      <c r="AF201" s="2257"/>
      <c r="AG201" s="2257"/>
      <c r="AH201" s="2257"/>
      <c r="AI201" s="2257"/>
      <c r="AJ201" s="2257"/>
      <c r="AK201" s="225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9" t="s">
        <v>2242</v>
      </c>
      <c r="D202" s="2260"/>
      <c r="E202" s="2260"/>
      <c r="F202" s="2261"/>
      <c r="G202" s="2265" t="s">
        <v>2241</v>
      </c>
      <c r="H202" s="2260"/>
      <c r="I202" s="2260"/>
      <c r="J202" s="2260"/>
      <c r="K202" s="2260"/>
      <c r="L202" s="2260"/>
      <c r="M202" s="2260"/>
      <c r="N202" s="2260"/>
      <c r="O202" s="2261"/>
      <c r="P202" s="2267" t="s">
        <v>2240</v>
      </c>
      <c r="Q202" s="2268"/>
      <c r="R202" s="2268"/>
      <c r="S202" s="2268"/>
      <c r="T202" s="2269"/>
      <c r="U202" s="2273" t="s">
        <v>2239</v>
      </c>
      <c r="V202" s="2274"/>
      <c r="W202" s="2274"/>
      <c r="X202" s="2275"/>
      <c r="Y202" s="2273" t="s">
        <v>2238</v>
      </c>
      <c r="Z202" s="2274"/>
      <c r="AA202" s="2274"/>
      <c r="AB202" s="2275"/>
      <c r="AC202" s="2273" t="s">
        <v>2237</v>
      </c>
      <c r="AD202" s="2274"/>
      <c r="AE202" s="2274"/>
      <c r="AF202" s="2275"/>
      <c r="AG202" s="2265" t="s">
        <v>2236</v>
      </c>
      <c r="AH202" s="2260"/>
      <c r="AI202" s="2260"/>
      <c r="AJ202" s="2260"/>
      <c r="AK202" s="2279"/>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2"/>
      <c r="D203" s="2263"/>
      <c r="E203" s="2263"/>
      <c r="F203" s="2264"/>
      <c r="G203" s="2266"/>
      <c r="H203" s="2263"/>
      <c r="I203" s="2263"/>
      <c r="J203" s="2263"/>
      <c r="K203" s="2263"/>
      <c r="L203" s="2263"/>
      <c r="M203" s="2263"/>
      <c r="N203" s="2263"/>
      <c r="O203" s="2264"/>
      <c r="P203" s="2270"/>
      <c r="Q203" s="2271"/>
      <c r="R203" s="2271"/>
      <c r="S203" s="2271"/>
      <c r="T203" s="2272"/>
      <c r="U203" s="2276"/>
      <c r="V203" s="2277"/>
      <c r="W203" s="2277"/>
      <c r="X203" s="2278"/>
      <c r="Y203" s="2276"/>
      <c r="Z203" s="2277"/>
      <c r="AA203" s="2277"/>
      <c r="AB203" s="2278"/>
      <c r="AC203" s="2276"/>
      <c r="AD203" s="2277"/>
      <c r="AE203" s="2277"/>
      <c r="AF203" s="2278"/>
      <c r="AG203" s="2266"/>
      <c r="AH203" s="2263"/>
      <c r="AI203" s="2263"/>
      <c r="AJ203" s="2263"/>
      <c r="AK203" s="2280"/>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4">
        <v>1</v>
      </c>
      <c r="D204" s="2285"/>
      <c r="E204" s="2285"/>
      <c r="F204" s="2285"/>
      <c r="G204" s="2286"/>
      <c r="H204" s="2286"/>
      <c r="I204" s="2286"/>
      <c r="J204" s="2286"/>
      <c r="K204" s="2286"/>
      <c r="L204" s="2286"/>
      <c r="M204" s="2286"/>
      <c r="N204" s="2286"/>
      <c r="O204" s="2286"/>
      <c r="P204" s="2287"/>
      <c r="Q204" s="2290"/>
      <c r="R204" s="2290"/>
      <c r="S204" s="2290"/>
      <c r="T204" s="2290"/>
      <c r="U204" s="2288"/>
      <c r="V204" s="2288"/>
      <c r="W204" s="2288"/>
      <c r="X204" s="2288"/>
      <c r="Y204" s="2288"/>
      <c r="Z204" s="2288"/>
      <c r="AA204" s="2288"/>
      <c r="AB204" s="2288"/>
      <c r="AC204" s="2289"/>
      <c r="AD204" s="2289"/>
      <c r="AE204" s="2289"/>
      <c r="AF204" s="2289"/>
      <c r="AG204" s="2281"/>
      <c r="AH204" s="2282"/>
      <c r="AI204" s="2282"/>
      <c r="AJ204" s="2282"/>
      <c r="AK204" s="2283"/>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4">
        <v>2</v>
      </c>
      <c r="D205" s="2285"/>
      <c r="E205" s="2285"/>
      <c r="F205" s="2285"/>
      <c r="G205" s="2286"/>
      <c r="H205" s="2286"/>
      <c r="I205" s="2286"/>
      <c r="J205" s="2286"/>
      <c r="K205" s="2286"/>
      <c r="L205" s="2286"/>
      <c r="M205" s="2286"/>
      <c r="N205" s="2286"/>
      <c r="O205" s="2286"/>
      <c r="P205" s="2287"/>
      <c r="Q205" s="2287"/>
      <c r="R205" s="2287"/>
      <c r="S205" s="2287"/>
      <c r="T205" s="2287"/>
      <c r="U205" s="2288"/>
      <c r="V205" s="2288"/>
      <c r="W205" s="2288"/>
      <c r="X205" s="2288"/>
      <c r="Y205" s="2288"/>
      <c r="Z205" s="2288"/>
      <c r="AA205" s="2288"/>
      <c r="AB205" s="2288"/>
      <c r="AC205" s="2289"/>
      <c r="AD205" s="2289"/>
      <c r="AE205" s="2289"/>
      <c r="AF205" s="2289"/>
      <c r="AG205" s="2281"/>
      <c r="AH205" s="2282"/>
      <c r="AI205" s="2282"/>
      <c r="AJ205" s="2282"/>
      <c r="AK205" s="2283"/>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4">
        <v>3</v>
      </c>
      <c r="D206" s="2285"/>
      <c r="E206" s="2285"/>
      <c r="F206" s="2285"/>
      <c r="G206" s="2286"/>
      <c r="H206" s="2286"/>
      <c r="I206" s="2286"/>
      <c r="J206" s="2286"/>
      <c r="K206" s="2286"/>
      <c r="L206" s="2286"/>
      <c r="M206" s="2286"/>
      <c r="N206" s="2286"/>
      <c r="O206" s="2286"/>
      <c r="P206" s="2287"/>
      <c r="Q206" s="2287"/>
      <c r="R206" s="2287"/>
      <c r="S206" s="2287"/>
      <c r="T206" s="2287"/>
      <c r="U206" s="2288"/>
      <c r="V206" s="2288"/>
      <c r="W206" s="2288"/>
      <c r="X206" s="2288"/>
      <c r="Y206" s="2288"/>
      <c r="Z206" s="2288"/>
      <c r="AA206" s="2288"/>
      <c r="AB206" s="2288"/>
      <c r="AC206" s="2289"/>
      <c r="AD206" s="2289"/>
      <c r="AE206" s="2289"/>
      <c r="AF206" s="2289"/>
      <c r="AG206" s="2281"/>
      <c r="AH206" s="2282"/>
      <c r="AI206" s="2282"/>
      <c r="AJ206" s="2282"/>
      <c r="AK206" s="2283"/>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4">
        <v>4</v>
      </c>
      <c r="D207" s="2285"/>
      <c r="E207" s="2285"/>
      <c r="F207" s="2285"/>
      <c r="G207" s="2286"/>
      <c r="H207" s="2286"/>
      <c r="I207" s="2286"/>
      <c r="J207" s="2286"/>
      <c r="K207" s="2286"/>
      <c r="L207" s="2286"/>
      <c r="M207" s="2286"/>
      <c r="N207" s="2286"/>
      <c r="O207" s="2286"/>
      <c r="P207" s="2287"/>
      <c r="Q207" s="2287"/>
      <c r="R207" s="2287"/>
      <c r="S207" s="2287"/>
      <c r="T207" s="2287"/>
      <c r="U207" s="2288"/>
      <c r="V207" s="2288"/>
      <c r="W207" s="2288"/>
      <c r="X207" s="2288"/>
      <c r="Y207" s="2288"/>
      <c r="Z207" s="2288"/>
      <c r="AA207" s="2288"/>
      <c r="AB207" s="2288"/>
      <c r="AC207" s="2289"/>
      <c r="AD207" s="2289"/>
      <c r="AE207" s="2289"/>
      <c r="AF207" s="2289"/>
      <c r="AG207" s="2281"/>
      <c r="AH207" s="2282"/>
      <c r="AI207" s="2282"/>
      <c r="AJ207" s="2282"/>
      <c r="AK207" s="2283"/>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4">
        <v>5</v>
      </c>
      <c r="D208" s="2285"/>
      <c r="E208" s="2285"/>
      <c r="F208" s="2285"/>
      <c r="G208" s="2286" t="s">
        <v>1858</v>
      </c>
      <c r="H208" s="2286"/>
      <c r="I208" s="2286"/>
      <c r="J208" s="2286"/>
      <c r="K208" s="2286"/>
      <c r="L208" s="2286"/>
      <c r="M208" s="2286"/>
      <c r="N208" s="2286"/>
      <c r="O208" s="2286"/>
      <c r="P208" s="2287"/>
      <c r="Q208" s="2287"/>
      <c r="R208" s="2287"/>
      <c r="S208" s="2287"/>
      <c r="T208" s="2287"/>
      <c r="U208" s="2288" t="s">
        <v>1858</v>
      </c>
      <c r="V208" s="2288"/>
      <c r="W208" s="2288"/>
      <c r="X208" s="2288"/>
      <c r="Y208" s="2288" t="s">
        <v>1858</v>
      </c>
      <c r="Z208" s="2288"/>
      <c r="AA208" s="2288"/>
      <c r="AB208" s="2288"/>
      <c r="AC208" s="2289" t="s">
        <v>1858</v>
      </c>
      <c r="AD208" s="2289"/>
      <c r="AE208" s="2289"/>
      <c r="AF208" s="2289"/>
      <c r="AG208" s="2281"/>
      <c r="AH208" s="2282"/>
      <c r="AI208" s="2282"/>
      <c r="AJ208" s="2282"/>
      <c r="AK208" s="2283"/>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4">
        <v>6</v>
      </c>
      <c r="D209" s="2285"/>
      <c r="E209" s="2285"/>
      <c r="F209" s="2285"/>
      <c r="G209" s="2286" t="s">
        <v>1858</v>
      </c>
      <c r="H209" s="2286"/>
      <c r="I209" s="2286"/>
      <c r="J209" s="2286"/>
      <c r="K209" s="2286"/>
      <c r="L209" s="2286"/>
      <c r="M209" s="2286"/>
      <c r="N209" s="2286"/>
      <c r="O209" s="2286"/>
      <c r="P209" s="2287"/>
      <c r="Q209" s="2287"/>
      <c r="R209" s="2287"/>
      <c r="S209" s="2287"/>
      <c r="T209" s="2287"/>
      <c r="U209" s="2288"/>
      <c r="V209" s="2288"/>
      <c r="W209" s="2288"/>
      <c r="X209" s="2288"/>
      <c r="Y209" s="2288"/>
      <c r="Z209" s="2288"/>
      <c r="AA209" s="2288"/>
      <c r="AB209" s="2288"/>
      <c r="AC209" s="2289" t="s">
        <v>1858</v>
      </c>
      <c r="AD209" s="2289"/>
      <c r="AE209" s="2289"/>
      <c r="AF209" s="2289"/>
      <c r="AG209" s="2281"/>
      <c r="AH209" s="2282"/>
      <c r="AI209" s="2282"/>
      <c r="AJ209" s="2282"/>
      <c r="AK209" s="2283"/>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4">
        <v>7</v>
      </c>
      <c r="D210" s="2285"/>
      <c r="E210" s="2285"/>
      <c r="F210" s="2285"/>
      <c r="G210" s="2286"/>
      <c r="H210" s="2286"/>
      <c r="I210" s="2286"/>
      <c r="J210" s="2286"/>
      <c r="K210" s="2286"/>
      <c r="L210" s="2286"/>
      <c r="M210" s="2286"/>
      <c r="N210" s="2286"/>
      <c r="O210" s="2286"/>
      <c r="P210" s="2287"/>
      <c r="Q210" s="2287"/>
      <c r="R210" s="2287"/>
      <c r="S210" s="2287"/>
      <c r="T210" s="2287"/>
      <c r="U210" s="2288"/>
      <c r="V210" s="2288"/>
      <c r="W210" s="2288"/>
      <c r="X210" s="2288"/>
      <c r="Y210" s="2288"/>
      <c r="Z210" s="2288"/>
      <c r="AA210" s="2288"/>
      <c r="AB210" s="2288"/>
      <c r="AC210" s="2289" t="s">
        <v>1858</v>
      </c>
      <c r="AD210" s="2289"/>
      <c r="AE210" s="2289"/>
      <c r="AF210" s="2289"/>
      <c r="AG210" s="2281"/>
      <c r="AH210" s="2282"/>
      <c r="AI210" s="2282"/>
      <c r="AJ210" s="2282"/>
      <c r="AK210" s="2283"/>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3" t="s">
        <v>2235</v>
      </c>
      <c r="D211" s="2304"/>
      <c r="E211" s="2304"/>
      <c r="F211" s="2304"/>
      <c r="G211" s="2304"/>
      <c r="H211" s="2304"/>
      <c r="I211" s="2304"/>
      <c r="J211" s="2304"/>
      <c r="K211" s="2304"/>
      <c r="L211" s="2304"/>
      <c r="M211" s="2304"/>
      <c r="N211" s="2304"/>
      <c r="O211" s="2304"/>
      <c r="P211" s="2305"/>
      <c r="Q211" s="2305"/>
      <c r="R211" s="2305"/>
      <c r="S211" s="2305"/>
      <c r="T211" s="2305"/>
      <c r="U211" s="2306">
        <f>-SUM(U204:U210)</f>
        <v>0</v>
      </c>
      <c r="V211" s="2306"/>
      <c r="W211" s="2306"/>
      <c r="X211" s="2306"/>
      <c r="Y211" s="2306">
        <f>-SUM(Y204:Y210)</f>
        <v>0</v>
      </c>
      <c r="Z211" s="2306"/>
      <c r="AA211" s="2306"/>
      <c r="AB211" s="2306"/>
      <c r="AC211" s="2307">
        <f>-SUM(AC204:AC210)</f>
        <v>0</v>
      </c>
      <c r="AD211" s="2307"/>
      <c r="AE211" s="2307"/>
      <c r="AF211" s="2307"/>
      <c r="AG211" s="2308"/>
      <c r="AH211" s="2309"/>
      <c r="AI211" s="2309"/>
      <c r="AJ211" s="2309"/>
      <c r="AK211" s="2310"/>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1" t="s">
        <v>2233</v>
      </c>
      <c r="C216" s="2292"/>
      <c r="D216" s="2292"/>
      <c r="E216" s="2292"/>
      <c r="F216" s="2292"/>
      <c r="G216" s="2292"/>
      <c r="H216" s="2292"/>
      <c r="I216" s="2292"/>
      <c r="J216" s="2292"/>
      <c r="K216" s="2292"/>
      <c r="L216" s="2292"/>
      <c r="M216" s="2292"/>
      <c r="N216" s="2292"/>
      <c r="O216" s="2292"/>
      <c r="P216" s="2292"/>
      <c r="Q216" s="2292"/>
      <c r="R216" s="2292"/>
      <c r="S216" s="2292"/>
      <c r="T216" s="2292"/>
      <c r="U216" s="2292"/>
      <c r="V216" s="2292"/>
      <c r="W216" s="2292"/>
      <c r="X216" s="2292"/>
      <c r="Y216" s="2292"/>
      <c r="Z216" s="2292"/>
      <c r="AA216" s="2292"/>
      <c r="AB216" s="2292"/>
      <c r="AC216" s="2292"/>
      <c r="AD216" s="2292"/>
      <c r="AE216" s="2292"/>
      <c r="AF216" s="2292"/>
      <c r="AG216" s="2292"/>
      <c r="AH216" s="2292"/>
      <c r="AI216" s="2292"/>
      <c r="AJ216" s="2292"/>
      <c r="AK216" s="2292"/>
      <c r="AL216" s="2292"/>
      <c r="AM216" s="2292"/>
      <c r="AN216" s="2292"/>
      <c r="AO216" s="2292"/>
      <c r="AP216" s="2292"/>
      <c r="AQ216" s="2292"/>
      <c r="AR216" s="2292"/>
      <c r="AS216" s="2292"/>
      <c r="AT216" s="2292"/>
      <c r="AU216" s="2292"/>
      <c r="AV216" s="2292"/>
      <c r="AW216" s="2292"/>
      <c r="AX216" s="2292"/>
      <c r="AY216" s="2292"/>
      <c r="AZ216" s="2292"/>
      <c r="BA216" s="2292"/>
      <c r="BB216" s="2292"/>
      <c r="BC216" s="2292"/>
      <c r="BD216" s="2293"/>
      <c r="BE216" s="1215"/>
    </row>
    <row r="217" spans="1:57" ht="15.75" customHeight="1">
      <c r="A217" s="1208"/>
      <c r="B217" s="2294"/>
      <c r="C217" s="2295"/>
      <c r="D217" s="2295"/>
      <c r="E217" s="2295"/>
      <c r="F217" s="2295"/>
      <c r="G217" s="2295"/>
      <c r="H217" s="2295"/>
      <c r="I217" s="2295"/>
      <c r="J217" s="2295"/>
      <c r="K217" s="2295"/>
      <c r="L217" s="2295"/>
      <c r="M217" s="2295"/>
      <c r="N217" s="2295"/>
      <c r="O217" s="2295"/>
      <c r="P217" s="2295"/>
      <c r="Q217" s="2295"/>
      <c r="R217" s="2295"/>
      <c r="S217" s="2295"/>
      <c r="T217" s="2295"/>
      <c r="U217" s="2295"/>
      <c r="V217" s="2295"/>
      <c r="W217" s="2295"/>
      <c r="X217" s="2295"/>
      <c r="Y217" s="2295"/>
      <c r="Z217" s="2295"/>
      <c r="AA217" s="2295"/>
      <c r="AB217" s="2295"/>
      <c r="AC217" s="2295"/>
      <c r="AD217" s="2295"/>
      <c r="AE217" s="2295"/>
      <c r="AF217" s="2295"/>
      <c r="AG217" s="2295"/>
      <c r="AH217" s="2295"/>
      <c r="AI217" s="2295"/>
      <c r="AJ217" s="2295"/>
      <c r="AK217" s="2295"/>
      <c r="AL217" s="2295"/>
      <c r="AM217" s="2295"/>
      <c r="AN217" s="2295"/>
      <c r="AO217" s="2295"/>
      <c r="AP217" s="2295"/>
      <c r="AQ217" s="2295"/>
      <c r="AR217" s="2295"/>
      <c r="AS217" s="2295"/>
      <c r="AT217" s="2295"/>
      <c r="AU217" s="2295"/>
      <c r="AV217" s="2295"/>
      <c r="AW217" s="2295"/>
      <c r="AX217" s="2295"/>
      <c r="AY217" s="2295"/>
      <c r="AZ217" s="2295"/>
      <c r="BA217" s="2295"/>
      <c r="BB217" s="2295"/>
      <c r="BC217" s="2295"/>
      <c r="BD217" s="2296"/>
      <c r="BE217" s="1215"/>
    </row>
    <row r="218" spans="1:57" ht="15.75" customHeight="1">
      <c r="A218" s="1208"/>
      <c r="B218" s="2297" t="s">
        <v>2232</v>
      </c>
      <c r="C218" s="2298"/>
      <c r="D218" s="2298"/>
      <c r="E218" s="2298"/>
      <c r="F218" s="2298"/>
      <c r="G218" s="2298"/>
      <c r="H218" s="2298"/>
      <c r="I218" s="2298"/>
      <c r="J218" s="2298"/>
      <c r="K218" s="2298"/>
      <c r="L218" s="2298"/>
      <c r="M218" s="2298"/>
      <c r="N218" s="2298"/>
      <c r="O218" s="2298"/>
      <c r="P218" s="2298"/>
      <c r="Q218" s="2298"/>
      <c r="R218" s="2298"/>
      <c r="S218" s="2298"/>
      <c r="T218" s="2298"/>
      <c r="U218" s="2298"/>
      <c r="V218" s="2298"/>
      <c r="W218" s="2298"/>
      <c r="X218" s="2298"/>
      <c r="Y218" s="2298"/>
      <c r="Z218" s="2298"/>
      <c r="AA218" s="2298"/>
      <c r="AB218" s="2298"/>
      <c r="AC218" s="2298"/>
      <c r="AD218" s="2298"/>
      <c r="AE218" s="2298"/>
      <c r="AF218" s="2298"/>
      <c r="AG218" s="2298"/>
      <c r="AH218" s="2298"/>
      <c r="AI218" s="2298"/>
      <c r="AJ218" s="2298"/>
      <c r="AK218" s="2298"/>
      <c r="AL218" s="2298"/>
      <c r="AM218" s="2298"/>
      <c r="AN218" s="2298"/>
      <c r="AO218" s="2298"/>
      <c r="AP218" s="2298"/>
      <c r="AQ218" s="2298"/>
      <c r="AR218" s="2298"/>
      <c r="AS218" s="2298"/>
      <c r="AT218" s="2298"/>
      <c r="AU218" s="2298"/>
      <c r="AV218" s="2298"/>
      <c r="AW218" s="2298"/>
      <c r="AX218" s="2298"/>
      <c r="AY218" s="2298"/>
      <c r="AZ218" s="2298"/>
      <c r="BA218" s="2298"/>
      <c r="BB218" s="2298"/>
      <c r="BC218" s="2298"/>
      <c r="BD218" s="2299"/>
      <c r="BE218" s="1215"/>
    </row>
    <row r="219" spans="1:57" ht="15.75" customHeight="1">
      <c r="A219" s="1208"/>
      <c r="B219" s="2297" t="s">
        <v>2231</v>
      </c>
      <c r="C219" s="2298"/>
      <c r="D219" s="2298"/>
      <c r="E219" s="2298"/>
      <c r="F219" s="2298"/>
      <c r="G219" s="2298"/>
      <c r="H219" s="2298"/>
      <c r="I219" s="2298"/>
      <c r="J219" s="2298"/>
      <c r="K219" s="2298"/>
      <c r="L219" s="2298"/>
      <c r="M219" s="2298"/>
      <c r="N219" s="2298"/>
      <c r="O219" s="2298"/>
      <c r="P219" s="2298"/>
      <c r="Q219" s="2298"/>
      <c r="R219" s="2298"/>
      <c r="S219" s="2298"/>
      <c r="T219" s="2298"/>
      <c r="U219" s="2298"/>
      <c r="V219" s="2298"/>
      <c r="W219" s="2298"/>
      <c r="X219" s="2298"/>
      <c r="Y219" s="2298"/>
      <c r="Z219" s="2298"/>
      <c r="AA219" s="2298"/>
      <c r="AB219" s="2298"/>
      <c r="AC219" s="2298"/>
      <c r="AD219" s="2298"/>
      <c r="AE219" s="2298"/>
      <c r="AF219" s="2298"/>
      <c r="AG219" s="2298"/>
      <c r="AH219" s="2298"/>
      <c r="AI219" s="2298"/>
      <c r="AJ219" s="2298"/>
      <c r="AK219" s="2298"/>
      <c r="AL219" s="2298"/>
      <c r="AM219" s="2298"/>
      <c r="AN219" s="2298"/>
      <c r="AO219" s="2298"/>
      <c r="AP219" s="2298"/>
      <c r="AQ219" s="2298"/>
      <c r="AR219" s="2298"/>
      <c r="AS219" s="2298"/>
      <c r="AT219" s="2298"/>
      <c r="AU219" s="2298"/>
      <c r="AV219" s="2298"/>
      <c r="AW219" s="2298"/>
      <c r="AX219" s="2298"/>
      <c r="AY219" s="2298"/>
      <c r="AZ219" s="2298"/>
      <c r="BA219" s="2298"/>
      <c r="BB219" s="2298"/>
      <c r="BC219" s="2298"/>
      <c r="BD219" s="2299"/>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0" t="s">
        <v>2230</v>
      </c>
      <c r="C221" s="2190"/>
      <c r="D221" s="2190"/>
      <c r="E221" s="2190"/>
      <c r="F221" s="2190"/>
      <c r="G221" s="2190"/>
      <c r="H221" s="2190"/>
      <c r="I221" s="2190"/>
      <c r="J221" s="2190"/>
      <c r="K221" s="2190"/>
      <c r="L221" s="2190"/>
      <c r="M221" s="2190"/>
      <c r="N221" s="2190"/>
      <c r="O221" s="2190"/>
      <c r="P221" s="2190"/>
      <c r="Q221" s="2190"/>
      <c r="R221" s="2190"/>
      <c r="S221" s="2190"/>
      <c r="T221" s="2190"/>
      <c r="U221" s="2190"/>
      <c r="V221" s="2190"/>
      <c r="W221" s="2190"/>
      <c r="X221" s="2190"/>
      <c r="Y221" s="2190"/>
      <c r="Z221" s="2190"/>
      <c r="AA221" s="2190"/>
      <c r="AB221" s="2190"/>
      <c r="AC221" s="2190"/>
      <c r="AD221" s="2190"/>
      <c r="AE221" s="2190"/>
      <c r="AF221" s="2190"/>
      <c r="AG221" s="2190"/>
      <c r="AH221" s="2190"/>
      <c r="AI221" s="2190"/>
      <c r="AJ221" s="2190"/>
      <c r="AK221" s="2190"/>
      <c r="AL221" s="2190"/>
      <c r="AM221" s="2190"/>
      <c r="AN221" s="2190"/>
      <c r="AO221" s="2190"/>
      <c r="AP221" s="2190"/>
      <c r="AQ221" s="2190"/>
      <c r="AR221" s="2190"/>
      <c r="AS221" s="2190"/>
      <c r="AT221" s="2190"/>
      <c r="AU221" s="2190"/>
      <c r="AV221" s="2190"/>
      <c r="AW221" s="2190"/>
      <c r="AX221" s="2190"/>
      <c r="AY221" s="2190"/>
      <c r="AZ221" s="2190"/>
      <c r="BA221" s="2190"/>
      <c r="BB221" s="2190"/>
      <c r="BC221" s="2190"/>
      <c r="BD221" s="2301"/>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2" t="s">
        <v>2228</v>
      </c>
      <c r="I225" s="2302"/>
      <c r="J225" s="2302"/>
      <c r="K225" s="2302"/>
      <c r="L225" s="2302"/>
      <c r="M225" s="2302"/>
      <c r="N225" s="2302"/>
      <c r="O225" s="2302"/>
      <c r="P225" s="2302"/>
      <c r="Q225" s="2302"/>
      <c r="R225" s="2302"/>
      <c r="S225" s="2302"/>
      <c r="T225" s="2302"/>
      <c r="U225" s="2302"/>
      <c r="V225" s="2302"/>
      <c r="W225" s="2302"/>
      <c r="X225" s="2302"/>
      <c r="Y225" s="2302"/>
      <c r="Z225" s="2302"/>
      <c r="AA225" s="2302"/>
      <c r="AB225" s="2302"/>
      <c r="AC225" s="2302"/>
      <c r="AD225" s="2302"/>
      <c r="AE225" s="2302"/>
      <c r="AF225" s="2302"/>
      <c r="AG225" s="2302"/>
      <c r="AH225" s="2302"/>
      <c r="AI225" s="2302"/>
      <c r="AJ225" s="2302"/>
      <c r="AK225" s="2302"/>
      <c r="AL225" s="2302"/>
      <c r="AM225" s="2302"/>
      <c r="AN225" s="2302"/>
      <c r="AO225" s="2302"/>
      <c r="AP225" s="2302"/>
      <c r="AQ225" s="2302"/>
      <c r="AR225" s="2302"/>
      <c r="AS225" s="2302"/>
      <c r="AT225" s="2302"/>
      <c r="AU225" s="2302"/>
      <c r="AV225" s="2302"/>
      <c r="AW225" s="2302"/>
      <c r="AX225" s="2302"/>
      <c r="AY225" s="2302"/>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0" t="s">
        <v>2227</v>
      </c>
      <c r="I227" s="2320"/>
      <c r="J227" s="2320"/>
      <c r="K227" s="2320"/>
      <c r="L227" s="2320"/>
      <c r="M227" s="2320"/>
      <c r="N227" s="2320"/>
      <c r="O227" s="2320"/>
      <c r="P227" s="2320"/>
      <c r="Q227" s="2320"/>
      <c r="R227" s="2320"/>
      <c r="S227" s="2320"/>
      <c r="T227" s="2320"/>
      <c r="U227" s="2320"/>
      <c r="V227" s="2320"/>
      <c r="W227" s="2320"/>
      <c r="X227" s="2320"/>
      <c r="Y227" s="2320"/>
      <c r="Z227" s="2320"/>
      <c r="AA227" s="2320"/>
      <c r="AB227" s="2320"/>
      <c r="AC227" s="2320"/>
      <c r="AD227" s="2320"/>
      <c r="AE227" s="2320"/>
      <c r="AF227" s="2320"/>
      <c r="AG227" s="2320"/>
      <c r="AH227" s="2320"/>
      <c r="AI227" s="2320"/>
      <c r="AJ227" s="2320"/>
      <c r="AK227" s="2320"/>
      <c r="AL227" s="2320"/>
      <c r="AM227" s="2320"/>
      <c r="AN227" s="2320"/>
      <c r="AO227" s="2320"/>
      <c r="AP227" s="2320"/>
      <c r="AQ227" s="2320"/>
      <c r="AR227" s="2320"/>
      <c r="AS227" s="2320"/>
      <c r="AT227" s="2320"/>
      <c r="AU227" s="2320"/>
      <c r="AV227" s="2320"/>
      <c r="AW227" s="2320"/>
      <c r="AX227" s="2320"/>
      <c r="AY227" s="2320"/>
      <c r="AZ227" s="2320"/>
      <c r="BA227" s="1208"/>
      <c r="BB227" s="1208"/>
      <c r="BC227" s="1208"/>
      <c r="BD227" s="1215"/>
      <c r="BE227" s="1215"/>
    </row>
    <row r="228" spans="1:57" ht="15.75" customHeight="1">
      <c r="A228" s="1208"/>
      <c r="B228" s="1207"/>
      <c r="C228" s="1208"/>
      <c r="D228" s="1208"/>
      <c r="E228" s="1208"/>
      <c r="F228" s="1208"/>
      <c r="G228" s="1208"/>
      <c r="H228" s="2320"/>
      <c r="I228" s="2320"/>
      <c r="J228" s="2320"/>
      <c r="K228" s="2320"/>
      <c r="L228" s="2320"/>
      <c r="M228" s="2320"/>
      <c r="N228" s="2320"/>
      <c r="O228" s="2320"/>
      <c r="P228" s="2320"/>
      <c r="Q228" s="2320"/>
      <c r="R228" s="2320"/>
      <c r="S228" s="2320"/>
      <c r="T228" s="2320"/>
      <c r="U228" s="2320"/>
      <c r="V228" s="2320"/>
      <c r="W228" s="2320"/>
      <c r="X228" s="2320"/>
      <c r="Y228" s="2320"/>
      <c r="Z228" s="2320"/>
      <c r="AA228" s="2320"/>
      <c r="AB228" s="2320"/>
      <c r="AC228" s="2320"/>
      <c r="AD228" s="2320"/>
      <c r="AE228" s="2320"/>
      <c r="AF228" s="2320"/>
      <c r="AG228" s="2320"/>
      <c r="AH228" s="2320"/>
      <c r="AI228" s="2320"/>
      <c r="AJ228" s="2320"/>
      <c r="AK228" s="2320"/>
      <c r="AL228" s="2320"/>
      <c r="AM228" s="2320"/>
      <c r="AN228" s="2320"/>
      <c r="AO228" s="2320"/>
      <c r="AP228" s="2320"/>
      <c r="AQ228" s="2320"/>
      <c r="AR228" s="2320"/>
      <c r="AS228" s="2320"/>
      <c r="AT228" s="2320"/>
      <c r="AU228" s="2320"/>
      <c r="AV228" s="2320"/>
      <c r="AW228" s="2320"/>
      <c r="AX228" s="2320"/>
      <c r="AY228" s="2320"/>
      <c r="AZ228" s="2320"/>
      <c r="BA228" s="1208"/>
      <c r="BB228" s="1208"/>
      <c r="BC228" s="1208"/>
      <c r="BD228" s="1215"/>
      <c r="BE228" s="1215"/>
    </row>
    <row r="229" spans="1:57" ht="15.75" customHeight="1">
      <c r="A229" s="1208"/>
      <c r="B229" s="1207"/>
      <c r="C229" s="1208"/>
      <c r="D229" s="1208"/>
      <c r="E229" s="1208"/>
      <c r="F229" s="1208"/>
      <c r="G229" s="1208"/>
      <c r="H229" s="2320"/>
      <c r="I229" s="2320"/>
      <c r="J229" s="2320"/>
      <c r="K229" s="2320"/>
      <c r="L229" s="2320"/>
      <c r="M229" s="2320"/>
      <c r="N229" s="2320"/>
      <c r="O229" s="2320"/>
      <c r="P229" s="2320"/>
      <c r="Q229" s="2320"/>
      <c r="R229" s="2320"/>
      <c r="S229" s="2320"/>
      <c r="T229" s="2320"/>
      <c r="U229" s="2320"/>
      <c r="V229" s="2320"/>
      <c r="W229" s="2320"/>
      <c r="X229" s="2320"/>
      <c r="Y229" s="2320"/>
      <c r="Z229" s="2320"/>
      <c r="AA229" s="2320"/>
      <c r="AB229" s="2320"/>
      <c r="AC229" s="2320"/>
      <c r="AD229" s="2320"/>
      <c r="AE229" s="2320"/>
      <c r="AF229" s="2320"/>
      <c r="AG229" s="2320"/>
      <c r="AH229" s="2320"/>
      <c r="AI229" s="2320"/>
      <c r="AJ229" s="2320"/>
      <c r="AK229" s="2320"/>
      <c r="AL229" s="2320"/>
      <c r="AM229" s="2320"/>
      <c r="AN229" s="2320"/>
      <c r="AO229" s="2320"/>
      <c r="AP229" s="2320"/>
      <c r="AQ229" s="2320"/>
      <c r="AR229" s="2320"/>
      <c r="AS229" s="2320"/>
      <c r="AT229" s="2320"/>
      <c r="AU229" s="2320"/>
      <c r="AV229" s="2320"/>
      <c r="AW229" s="2320"/>
      <c r="AX229" s="2320"/>
      <c r="AY229" s="2320"/>
      <c r="AZ229" s="2320"/>
      <c r="BA229" s="1208"/>
      <c r="BB229" s="1208"/>
      <c r="BC229" s="1208"/>
      <c r="BD229" s="1215"/>
      <c r="BE229" s="1215"/>
    </row>
    <row r="230" spans="1:57" ht="15.75" customHeight="1">
      <c r="A230" s="1208"/>
      <c r="B230" s="1207"/>
      <c r="C230" s="1208"/>
      <c r="D230" s="1208"/>
      <c r="E230" s="1208"/>
      <c r="F230" s="1208"/>
      <c r="G230" s="1208"/>
      <c r="H230" s="2320"/>
      <c r="I230" s="2320"/>
      <c r="J230" s="2320"/>
      <c r="K230" s="2320"/>
      <c r="L230" s="2320"/>
      <c r="M230" s="2320"/>
      <c r="N230" s="2320"/>
      <c r="O230" s="2320"/>
      <c r="P230" s="2320"/>
      <c r="Q230" s="2320"/>
      <c r="R230" s="2320"/>
      <c r="S230" s="2320"/>
      <c r="T230" s="2320"/>
      <c r="U230" s="2320"/>
      <c r="V230" s="2320"/>
      <c r="W230" s="2320"/>
      <c r="X230" s="2320"/>
      <c r="Y230" s="2320"/>
      <c r="Z230" s="2320"/>
      <c r="AA230" s="2320"/>
      <c r="AB230" s="2320"/>
      <c r="AC230" s="2320"/>
      <c r="AD230" s="2320"/>
      <c r="AE230" s="2320"/>
      <c r="AF230" s="2320"/>
      <c r="AG230" s="2320"/>
      <c r="AH230" s="2320"/>
      <c r="AI230" s="2320"/>
      <c r="AJ230" s="2320"/>
      <c r="AK230" s="2320"/>
      <c r="AL230" s="2320"/>
      <c r="AM230" s="2320"/>
      <c r="AN230" s="2320"/>
      <c r="AO230" s="2320"/>
      <c r="AP230" s="2320"/>
      <c r="AQ230" s="2320"/>
      <c r="AR230" s="2320"/>
      <c r="AS230" s="2320"/>
      <c r="AT230" s="2320"/>
      <c r="AU230" s="2320"/>
      <c r="AV230" s="2320"/>
      <c r="AW230" s="2320"/>
      <c r="AX230" s="2320"/>
      <c r="AY230" s="2320"/>
      <c r="AZ230" s="232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1" t="s">
        <v>2226</v>
      </c>
      <c r="I232" s="2321"/>
      <c r="J232" s="2321"/>
      <c r="K232" s="2321"/>
      <c r="L232" s="2321"/>
      <c r="M232" s="2321"/>
      <c r="N232" s="2321"/>
      <c r="O232" s="2321"/>
      <c r="P232" s="2321"/>
      <c r="Q232" s="2321"/>
      <c r="R232" s="2321"/>
      <c r="S232" s="2321"/>
      <c r="T232" s="2321"/>
      <c r="U232" s="2321"/>
      <c r="V232" s="2321"/>
      <c r="W232" s="2321"/>
      <c r="X232" s="2321"/>
      <c r="Y232" s="2321"/>
      <c r="Z232" s="2321"/>
      <c r="AA232" s="2321"/>
      <c r="AB232" s="2321"/>
      <c r="AC232" s="2321"/>
      <c r="AD232" s="2321"/>
      <c r="AE232" s="2321"/>
      <c r="AF232" s="2321"/>
      <c r="AG232" s="2321"/>
      <c r="AH232" s="2321"/>
      <c r="AI232" s="2321"/>
      <c r="AJ232" s="2321"/>
      <c r="AK232" s="2321"/>
      <c r="AL232" s="2321"/>
      <c r="AM232" s="2321"/>
      <c r="AN232" s="2321"/>
      <c r="AO232" s="2321"/>
      <c r="AP232" s="2321"/>
      <c r="AQ232" s="2321"/>
      <c r="AR232" s="2321"/>
      <c r="AS232" s="2321"/>
      <c r="AT232" s="2321"/>
      <c r="AU232" s="2321"/>
      <c r="AV232" s="232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1" t="s">
        <v>2225</v>
      </c>
      <c r="I234" s="2311"/>
      <c r="J234" s="2311"/>
      <c r="K234" s="2311"/>
      <c r="L234" s="1259"/>
      <c r="M234" s="1259"/>
      <c r="N234" s="1259"/>
      <c r="O234" s="1259"/>
      <c r="P234" s="1259"/>
      <c r="Q234" s="1259"/>
      <c r="R234" s="1259"/>
      <c r="S234" s="2322"/>
      <c r="T234" s="2323"/>
      <c r="U234" s="2323"/>
      <c r="V234" s="2323"/>
      <c r="W234" s="2323"/>
      <c r="X234" s="2323"/>
      <c r="Y234" s="2323"/>
      <c r="Z234" s="2323"/>
      <c r="AA234" s="2323"/>
      <c r="AB234" s="2323"/>
      <c r="AC234" s="2323"/>
      <c r="AD234" s="2323"/>
      <c r="AE234" s="2323"/>
      <c r="AF234" s="2323"/>
      <c r="AG234" s="2323"/>
      <c r="AH234" s="2323"/>
      <c r="AI234" s="2323"/>
      <c r="AJ234" s="232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1" t="s">
        <v>2224</v>
      </c>
      <c r="I236" s="2311"/>
      <c r="J236" s="2311"/>
      <c r="K236" s="1261"/>
      <c r="L236" s="1259"/>
      <c r="M236" s="1259"/>
      <c r="N236" s="1259"/>
      <c r="O236" s="1259"/>
      <c r="P236" s="1259"/>
      <c r="Q236" s="1259"/>
      <c r="R236" s="1259"/>
      <c r="S236" s="2312"/>
      <c r="T236" s="2313"/>
      <c r="U236" s="2313"/>
      <c r="V236" s="2313"/>
      <c r="W236" s="2313"/>
      <c r="X236" s="2313"/>
      <c r="Y236" s="2313"/>
      <c r="Z236" s="2313"/>
      <c r="AA236" s="2313"/>
      <c r="AB236" s="2313"/>
      <c r="AC236" s="2313"/>
      <c r="AD236" s="2313"/>
      <c r="AE236" s="2313"/>
      <c r="AF236" s="2313"/>
      <c r="AG236" s="2313"/>
      <c r="AH236" s="2313"/>
      <c r="AI236" s="2313"/>
      <c r="AJ236" s="231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1" t="s">
        <v>441</v>
      </c>
      <c r="I238" s="2311"/>
      <c r="J238" s="1261"/>
      <c r="K238" s="1261"/>
      <c r="L238" s="1259"/>
      <c r="M238" s="1259"/>
      <c r="N238" s="1259"/>
      <c r="O238" s="1259"/>
      <c r="P238" s="1259"/>
      <c r="Q238" s="1259"/>
      <c r="R238" s="1259"/>
      <c r="S238" s="2312"/>
      <c r="T238" s="2313"/>
      <c r="U238" s="2313"/>
      <c r="V238" s="2313"/>
      <c r="W238" s="2313"/>
      <c r="X238" s="2313"/>
      <c r="Y238" s="2313"/>
      <c r="Z238" s="2313"/>
      <c r="AA238" s="2313"/>
      <c r="AB238" s="2313"/>
      <c r="AC238" s="2313"/>
      <c r="AD238" s="2313"/>
      <c r="AE238" s="2313"/>
      <c r="AF238" s="2313"/>
      <c r="AG238" s="2313"/>
      <c r="AH238" s="2313"/>
      <c r="AI238" s="2313"/>
      <c r="AJ238" s="231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5" t="s">
        <v>2223</v>
      </c>
      <c r="I240" s="2315"/>
      <c r="J240" s="2315"/>
      <c r="K240" s="2315"/>
      <c r="L240" s="2315"/>
      <c r="M240" s="2315"/>
      <c r="N240" s="2315"/>
      <c r="O240" s="2315"/>
      <c r="P240" s="1259"/>
      <c r="Q240" s="1259"/>
      <c r="R240" s="1259"/>
      <c r="S240" s="2312"/>
      <c r="T240" s="2313"/>
      <c r="U240" s="2313"/>
      <c r="V240" s="2313"/>
      <c r="W240" s="2313"/>
      <c r="X240" s="2313"/>
      <c r="Y240" s="2313"/>
      <c r="Z240" s="2313"/>
      <c r="AA240" s="2313"/>
      <c r="AB240" s="2313"/>
      <c r="AC240" s="2313"/>
      <c r="AD240" s="2313"/>
      <c r="AE240" s="2313"/>
      <c r="AF240" s="2313"/>
      <c r="AG240" s="2313"/>
      <c r="AH240" s="2313"/>
      <c r="AI240" s="2313"/>
      <c r="AJ240" s="231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6" t="s">
        <v>2222</v>
      </c>
      <c r="I242" s="2316"/>
      <c r="J242" s="1259"/>
      <c r="K242" s="1259"/>
      <c r="L242" s="1259"/>
      <c r="M242" s="1259"/>
      <c r="N242" s="1259"/>
      <c r="O242" s="1259"/>
      <c r="P242" s="1259"/>
      <c r="Q242" s="1259"/>
      <c r="R242" s="1259"/>
      <c r="S242" s="2317"/>
      <c r="T242" s="2318"/>
      <c r="U242" s="2318"/>
      <c r="V242" s="2318"/>
      <c r="W242" s="2318"/>
      <c r="X242" s="2318"/>
      <c r="Y242" s="2318"/>
      <c r="Z242" s="2318"/>
      <c r="AA242" s="2318"/>
      <c r="AB242" s="2318"/>
      <c r="AC242" s="2318"/>
      <c r="AD242" s="2318"/>
      <c r="AE242" s="2318"/>
      <c r="AF242" s="2318"/>
      <c r="AG242" s="2318"/>
      <c r="AH242" s="2318"/>
      <c r="AI242" s="2318"/>
      <c r="AJ242" s="231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I56" sqref="AI56"/>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2" t="s">
        <v>1280</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2.95"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DDA/QCT
Building(s)</v>
      </c>
      <c r="U7" s="2352"/>
      <c r="V7" s="2352"/>
      <c r="W7" s="2352"/>
      <c r="X7" s="2352"/>
      <c r="Y7" s="2352" t="str">
        <f>IF(T25=100%,"",'Sources and Basis Breakdown'!G2)</f>
        <v>30% PVC for New Const/
Rehabilitation
NON-DDA/
NON-QCT Building(s)</v>
      </c>
      <c r="Z7" s="2352"/>
      <c r="AA7" s="2352"/>
      <c r="AB7" s="2352"/>
      <c r="AC7" s="2352"/>
      <c r="AD7" s="2352" t="str">
        <f xml:space="preserve"> IF(T25=100%, 'Sources and Basis Breakdown'!J2,'Sources and Basis Breakdown'!I2)</f>
        <v>30% PVC for Acquisition
DDA/QCT Building(s)</v>
      </c>
      <c r="AE7" s="2352"/>
      <c r="AF7" s="2352"/>
      <c r="AG7" s="2352"/>
      <c r="AH7" s="2352"/>
      <c r="AI7" s="2352" t="str">
        <f>IF(T25=100%,"",'Sources and Basis Breakdown'!J2)</f>
        <v>30% PVC for Acquisition
NON-DDA/
NON-QCT Building(s)</v>
      </c>
      <c r="AJ7" s="2352"/>
      <c r="AK7" s="2352"/>
      <c r="AL7" s="2352"/>
      <c r="AM7" s="2352"/>
    </row>
    <row r="8" spans="1:40" ht="12.95"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2.95"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2.95"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2.95" customHeight="1">
      <c r="B11" s="2338" t="s">
        <v>375</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19520558</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2.95" customHeight="1">
      <c r="B12" s="2376" t="s">
        <v>497</v>
      </c>
      <c r="C12" s="1833"/>
      <c r="D12" s="1833"/>
      <c r="E12" s="1833"/>
      <c r="F12" s="1833"/>
      <c r="G12" s="1833"/>
      <c r="H12" s="1833"/>
      <c r="I12" s="1833"/>
      <c r="J12" s="1833"/>
      <c r="K12" s="1833"/>
      <c r="L12" s="1833"/>
      <c r="M12" s="1833"/>
      <c r="N12" s="1833"/>
      <c r="O12" s="1833"/>
      <c r="P12" s="1833"/>
      <c r="Q12" s="1833"/>
      <c r="R12" s="1833"/>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2.95" customHeight="1">
      <c r="B13" s="435"/>
      <c r="C13" s="2378" t="s">
        <v>498</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5" customHeight="1">
      <c r="B14" s="435"/>
      <c r="C14" s="2378" t="s">
        <v>499</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2.95" customHeight="1">
      <c r="B15" s="435"/>
      <c r="C15" s="2378" t="s">
        <v>500</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2.95" customHeight="1">
      <c r="B16" s="435"/>
      <c r="C16" s="2378" t="s">
        <v>805</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2.95" customHeight="1">
      <c r="B17" s="435"/>
      <c r="C17" s="2378" t="s">
        <v>501</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2.95" customHeight="1">
      <c r="A18"/>
      <c r="B18" s="1144"/>
      <c r="C18" s="1359" t="s">
        <v>960</v>
      </c>
      <c r="D18" s="1359"/>
      <c r="E18" s="1359"/>
      <c r="F18" s="1359"/>
      <c r="G18" s="1359"/>
      <c r="H18" s="1359"/>
      <c r="I18" s="1359"/>
      <c r="J18" s="1359"/>
      <c r="K18" s="1359"/>
      <c r="L18" s="1359"/>
      <c r="M18" s="1359"/>
      <c r="N18" s="1359"/>
      <c r="O18" s="1359"/>
      <c r="P18" s="1359"/>
      <c r="Q18" s="1359"/>
      <c r="R18" s="1359"/>
      <c r="S18" s="1360"/>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2.95" customHeight="1">
      <c r="B19" s="1144"/>
      <c r="C19" s="1359" t="s">
        <v>960</v>
      </c>
      <c r="D19" s="1359"/>
      <c r="E19" s="1359"/>
      <c r="F19" s="1359"/>
      <c r="G19" s="1359"/>
      <c r="H19" s="1359"/>
      <c r="I19" s="1359"/>
      <c r="J19" s="1359"/>
      <c r="K19" s="1359"/>
      <c r="L19" s="1359"/>
      <c r="M19" s="1359"/>
      <c r="N19" s="1359"/>
      <c r="O19" s="1359"/>
      <c r="P19" s="1359"/>
      <c r="Q19" s="1359"/>
      <c r="R19" s="1359"/>
      <c r="S19" s="1360"/>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2.95" customHeight="1">
      <c r="B20" s="2338" t="s">
        <v>502</v>
      </c>
      <c r="C20" s="2339"/>
      <c r="D20" s="2339"/>
      <c r="E20" s="2339"/>
      <c r="F20" s="2339"/>
      <c r="G20" s="2339"/>
      <c r="H20" s="2339"/>
      <c r="I20" s="2339"/>
      <c r="J20" s="2339"/>
      <c r="K20" s="2339"/>
      <c r="L20" s="2339"/>
      <c r="M20" s="2339"/>
      <c r="N20" s="2339"/>
      <c r="O20" s="2339"/>
      <c r="P20" s="2339"/>
      <c r="Q20" s="2339"/>
      <c r="R20" s="2339"/>
      <c r="S20" s="2340"/>
      <c r="T20" s="2351">
        <f>SUM(T13:X19)</f>
        <v>0</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2.95" customHeight="1">
      <c r="B21" s="2338" t="s">
        <v>1263</v>
      </c>
      <c r="C21" s="2339"/>
      <c r="D21" s="2339"/>
      <c r="E21" s="2339"/>
      <c r="F21" s="2339"/>
      <c r="G21" s="2339"/>
      <c r="H21" s="2339"/>
      <c r="I21" s="2339"/>
      <c r="J21" s="2339"/>
      <c r="K21" s="2339"/>
      <c r="L21" s="2339"/>
      <c r="M21" s="2339"/>
      <c r="N21" s="2339"/>
      <c r="O21" s="2339"/>
      <c r="P21" s="2339"/>
      <c r="Q21" s="2339"/>
      <c r="R21" s="2339"/>
      <c r="S21" s="2340"/>
      <c r="T21" s="2360"/>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2.95" customHeight="1">
      <c r="B22" s="2338" t="s">
        <v>503</v>
      </c>
      <c r="C22" s="2339"/>
      <c r="D22" s="2339"/>
      <c r="E22" s="2339"/>
      <c r="F22" s="2339"/>
      <c r="G22" s="2339"/>
      <c r="H22" s="2339"/>
      <c r="I22" s="2339"/>
      <c r="J22" s="2339"/>
      <c r="K22" s="2339"/>
      <c r="L22" s="2339"/>
      <c r="M22" s="2339"/>
      <c r="N22" s="2339"/>
      <c r="O22" s="2339"/>
      <c r="P22" s="2339"/>
      <c r="Q22" s="2339"/>
      <c r="R22" s="2339"/>
      <c r="S22" s="2340"/>
      <c r="T22" s="2356">
        <f>(ABS(T20)+ABS(T21))*-1</f>
        <v>0</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2.95" customHeight="1">
      <c r="B23" s="2338" t="s">
        <v>504</v>
      </c>
      <c r="C23" s="2339"/>
      <c r="D23" s="2339"/>
      <c r="E23" s="2339"/>
      <c r="F23" s="2339"/>
      <c r="G23" s="2339"/>
      <c r="H23" s="2339"/>
      <c r="I23" s="2339"/>
      <c r="J23" s="2339"/>
      <c r="K23" s="2339"/>
      <c r="L23" s="2339"/>
      <c r="M23" s="2339"/>
      <c r="N23" s="2339"/>
      <c r="O23" s="2339"/>
      <c r="P23" s="2339"/>
      <c r="Q23" s="2339"/>
      <c r="R23" s="2339"/>
      <c r="S23" s="2340"/>
      <c r="T23" s="2351">
        <f>T11+T22</f>
        <v>19520558</v>
      </c>
      <c r="U23" s="2332"/>
      <c r="V23" s="2332"/>
      <c r="W23" s="2332"/>
      <c r="X23" s="2332"/>
      <c r="Y23" s="2351">
        <f>Y11+Y22</f>
        <v>0</v>
      </c>
      <c r="Z23" s="2332"/>
      <c r="AA23" s="2332"/>
      <c r="AB23" s="2332"/>
      <c r="AC23" s="2332"/>
      <c r="AD23" s="2351">
        <f>AD11+AD22</f>
        <v>0</v>
      </c>
      <c r="AE23" s="2332"/>
      <c r="AF23" s="2332"/>
      <c r="AG23" s="2332"/>
      <c r="AH23" s="2332"/>
      <c r="AI23" s="2351">
        <f>AI11+AI22</f>
        <v>0</v>
      </c>
      <c r="AJ23" s="2332"/>
      <c r="AK23" s="2332"/>
      <c r="AL23" s="2332"/>
      <c r="AM23" s="2332"/>
    </row>
    <row r="24" spans="1:40" ht="12.95" customHeight="1">
      <c r="B24" s="2338" t="s">
        <v>961</v>
      </c>
      <c r="C24" s="2339"/>
      <c r="D24" s="2339"/>
      <c r="E24" s="2339"/>
      <c r="F24" s="2339"/>
      <c r="G24" s="2339"/>
      <c r="H24" s="2339"/>
      <c r="I24" s="2339"/>
      <c r="J24" s="2339"/>
      <c r="K24" s="2339"/>
      <c r="L24" s="2339"/>
      <c r="M24" s="2339"/>
      <c r="N24" s="2339"/>
      <c r="O24" s="2339"/>
      <c r="P24" s="2339"/>
      <c r="Q24" s="2339"/>
      <c r="R24" s="2339"/>
      <c r="S24" s="2340"/>
      <c r="T24" s="2342">
        <f>Application!AJ1062</f>
        <v>50814726.030000001</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2.95" customHeight="1">
      <c r="B25" s="2382" t="s">
        <v>1264</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8" t="s">
        <v>505</v>
      </c>
      <c r="C26" s="2339"/>
      <c r="D26" s="2339"/>
      <c r="E26" s="2339"/>
      <c r="F26" s="2339"/>
      <c r="G26" s="2339"/>
      <c r="H26" s="2339"/>
      <c r="I26" s="2339"/>
      <c r="J26" s="2339"/>
      <c r="K26" s="2339"/>
      <c r="L26" s="2339"/>
      <c r="M26" s="2339"/>
      <c r="N26" s="2339"/>
      <c r="O26" s="2339"/>
      <c r="P26" s="2339"/>
      <c r="Q26" s="2339"/>
      <c r="R26" s="2339"/>
      <c r="S26" s="2340"/>
      <c r="T26" s="2351">
        <f>T23*T25</f>
        <v>25376725.400000002</v>
      </c>
      <c r="U26" s="2332"/>
      <c r="V26" s="2332"/>
      <c r="W26" s="2332"/>
      <c r="X26" s="2332"/>
      <c r="Y26" s="2351">
        <f>Y23*Y25</f>
        <v>0</v>
      </c>
      <c r="Z26" s="2332"/>
      <c r="AA26" s="2332"/>
      <c r="AB26" s="2332"/>
      <c r="AC26" s="2332"/>
      <c r="AD26" s="2351">
        <f>AD23*AD25</f>
        <v>0</v>
      </c>
      <c r="AE26" s="2332"/>
      <c r="AF26" s="2332"/>
      <c r="AG26" s="2332"/>
      <c r="AH26" s="2332"/>
      <c r="AI26" s="2351">
        <f>AI23*AI25</f>
        <v>0</v>
      </c>
      <c r="AJ26" s="2332"/>
      <c r="AK26" s="2332"/>
      <c r="AL26" s="2332"/>
      <c r="AM26" s="2332"/>
    </row>
    <row r="27" spans="1:40" ht="12.95" customHeight="1">
      <c r="A27" s="410"/>
      <c r="B27" s="2385" t="s">
        <v>426</v>
      </c>
      <c r="C27" s="2386"/>
      <c r="D27" s="2386"/>
      <c r="E27" s="2386"/>
      <c r="F27" s="2386"/>
      <c r="G27" s="2386"/>
      <c r="H27" s="2386"/>
      <c r="I27" s="2386"/>
      <c r="J27" s="2386"/>
      <c r="K27" s="2386"/>
      <c r="L27" s="2386"/>
      <c r="M27" s="2386"/>
      <c r="N27" s="2386"/>
      <c r="O27" s="2386"/>
      <c r="P27" s="2386"/>
      <c r="Q27" s="2386"/>
      <c r="R27" s="2386"/>
      <c r="S27" s="2387"/>
      <c r="T27" s="2362">
        <f>Application!$AG$454</f>
        <v>1</v>
      </c>
      <c r="U27" s="2363"/>
      <c r="V27" s="2363"/>
      <c r="W27" s="2363"/>
      <c r="X27" s="2363"/>
      <c r="Y27" s="2362">
        <f>Application!$AG$454</f>
        <v>1</v>
      </c>
      <c r="Z27" s="2363"/>
      <c r="AA27" s="2363"/>
      <c r="AB27" s="2363"/>
      <c r="AC27" s="2363"/>
      <c r="AD27" s="2362">
        <f>Application!$AG$454</f>
        <v>1</v>
      </c>
      <c r="AE27" s="2363"/>
      <c r="AF27" s="2363"/>
      <c r="AG27" s="2363"/>
      <c r="AH27" s="2363"/>
      <c r="AI27" s="2362">
        <f>Application!$AG$454</f>
        <v>1</v>
      </c>
      <c r="AJ27" s="2363"/>
      <c r="AK27" s="2363"/>
      <c r="AL27" s="2363"/>
      <c r="AM27" s="2363"/>
    </row>
    <row r="28" spans="1:40" ht="12.95" customHeight="1">
      <c r="A28" s="404"/>
      <c r="B28" s="2338" t="s">
        <v>506</v>
      </c>
      <c r="C28" s="2339"/>
      <c r="D28" s="2339"/>
      <c r="E28" s="2339"/>
      <c r="F28" s="2339"/>
      <c r="G28" s="2339"/>
      <c r="H28" s="2339"/>
      <c r="I28" s="2339"/>
      <c r="J28" s="2339"/>
      <c r="K28" s="2339"/>
      <c r="L28" s="2339"/>
      <c r="M28" s="2339"/>
      <c r="N28" s="2339"/>
      <c r="O28" s="2339"/>
      <c r="P28" s="2339"/>
      <c r="Q28" s="2339"/>
      <c r="R28" s="2339"/>
      <c r="S28" s="2340"/>
      <c r="T28" s="2351">
        <f>IF(ISERROR((T26*T27)),0,(T26*T27))</f>
        <v>25376725.400000002</v>
      </c>
      <c r="U28" s="2332"/>
      <c r="V28" s="2332"/>
      <c r="W28" s="2332"/>
      <c r="X28" s="2332"/>
      <c r="Y28" s="2351">
        <f>IF(ISERROR((Y26*Y27)),0,(Y26*Y27))</f>
        <v>0</v>
      </c>
      <c r="Z28" s="2332"/>
      <c r="AA28" s="2332"/>
      <c r="AB28" s="2332"/>
      <c r="AC28" s="2332"/>
      <c r="AD28" s="2351">
        <f>IF(ISERROR((AD26*AD27)),0,(AD26*AD27))</f>
        <v>0</v>
      </c>
      <c r="AE28" s="2332"/>
      <c r="AF28" s="2332"/>
      <c r="AG28" s="2332"/>
      <c r="AH28" s="2332"/>
      <c r="AI28" s="2351">
        <f>IF(ISERROR((AI26*AI27)),0,(AI26*AI27))</f>
        <v>0</v>
      </c>
      <c r="AJ28" s="2332"/>
      <c r="AK28" s="2332"/>
      <c r="AL28" s="2332"/>
      <c r="AM28" s="2332"/>
    </row>
    <row r="29" spans="1:40" ht="12.95" customHeight="1">
      <c r="B29" s="2338" t="s">
        <v>523</v>
      </c>
      <c r="C29" s="2339"/>
      <c r="D29" s="2339"/>
      <c r="E29" s="2339"/>
      <c r="F29" s="2339"/>
      <c r="G29" s="2339"/>
      <c r="H29" s="2339"/>
      <c r="I29" s="2339"/>
      <c r="J29" s="2339"/>
      <c r="K29" s="2339"/>
      <c r="L29" s="2339"/>
      <c r="M29" s="2339"/>
      <c r="N29" s="2339"/>
      <c r="O29" s="2339"/>
      <c r="P29" s="2339"/>
      <c r="Q29" s="2339"/>
      <c r="R29" s="2339"/>
      <c r="S29" s="2340"/>
      <c r="T29" s="2342">
        <f>T28+Y28+AD28+AI28</f>
        <v>25376725.400000002</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2.95" customHeight="1">
      <c r="B30" s="2355" t="s">
        <v>1266</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2.95" customHeight="1">
      <c r="B31" s="2355" t="s">
        <v>1265</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1154</v>
      </c>
      <c r="Z35" s="2352"/>
      <c r="AA35" s="2352"/>
      <c r="AB35" s="2352"/>
      <c r="AC35" s="2352"/>
      <c r="AD35" s="2353" t="s">
        <v>369</v>
      </c>
      <c r="AE35" s="2353"/>
      <c r="AF35" s="2353"/>
      <c r="AG35" s="2353"/>
      <c r="AH35" s="2353"/>
    </row>
    <row r="36" spans="1:76" ht="12.95" customHeight="1">
      <c r="B36" s="407"/>
      <c r="X36" s="412"/>
      <c r="Y36" s="2352"/>
      <c r="Z36" s="2352"/>
      <c r="AA36" s="2352"/>
      <c r="AB36" s="2352"/>
      <c r="AC36" s="2352"/>
      <c r="AD36" s="2353"/>
      <c r="AE36" s="2353"/>
      <c r="AF36" s="2353"/>
      <c r="AG36" s="2353"/>
      <c r="AH36" s="235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2.95" customHeight="1">
      <c r="A38" s="404"/>
      <c r="B38" s="2338" t="s">
        <v>506</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25376725.400000002</v>
      </c>
      <c r="Z38" s="2332"/>
      <c r="AA38" s="2332"/>
      <c r="AB38" s="2332"/>
      <c r="AC38" s="2332"/>
      <c r="AD38" s="2332">
        <f>IF(T24&gt;=(T23+Y23+AD23+AI23),AD28+AI28,0)</f>
        <v>0</v>
      </c>
      <c r="AE38" s="2332"/>
      <c r="AF38" s="2332"/>
      <c r="AG38" s="2332"/>
      <c r="AH38" s="2332"/>
    </row>
    <row r="39" spans="1:76" ht="12.95" customHeight="1">
      <c r="B39" s="2338" t="s">
        <v>1680</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2.95" customHeight="1">
      <c r="A40" s="404"/>
      <c r="B40" s="2338" t="s">
        <v>642</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1015069</v>
      </c>
      <c r="Z40" s="2332"/>
      <c r="AA40" s="2332"/>
      <c r="AB40" s="2332"/>
      <c r="AC40" s="2332"/>
      <c r="AD40" s="2351">
        <f>ROUND(AD38*AD39,0)</f>
        <v>0</v>
      </c>
      <c r="AE40" s="2332"/>
      <c r="AF40" s="2332"/>
      <c r="AG40" s="2332"/>
      <c r="AH40" s="2332"/>
    </row>
    <row r="41" spans="1:76" ht="12.95" customHeight="1">
      <c r="B41" s="2338" t="s">
        <v>643</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1015069</v>
      </c>
      <c r="Z41" s="2350"/>
      <c r="AA41" s="2350"/>
      <c r="AB41" s="2350"/>
      <c r="AC41" s="2350"/>
      <c r="AD41" s="2350"/>
      <c r="AE41" s="2350"/>
      <c r="AF41" s="2350"/>
      <c r="AG41" s="2350"/>
      <c r="AH41" s="2351"/>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9" t="s">
        <v>1276</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2.95" customHeight="1" thickTop="1"/>
    <row r="46" spans="1:76" ht="12.95" customHeight="1">
      <c r="A46" s="404" t="s">
        <v>586</v>
      </c>
      <c r="C46" s="404" t="s">
        <v>282</v>
      </c>
    </row>
    <row r="47" spans="1:76" ht="12.95" customHeight="1">
      <c r="D47" s="404" t="s">
        <v>283</v>
      </c>
      <c r="AB47" s="2346">
        <f>'Sources and Uses Budget'!B105-MAX(IF('Sources and Uses Budget'!B15="",0,'Sources and Uses Budget'!B15),IF(Application!AG403="",0,Application!AG403))</f>
        <v>21607387</v>
      </c>
      <c r="AC47" s="2347"/>
      <c r="AD47" s="2347"/>
      <c r="AE47" s="2347"/>
      <c r="AF47" s="2348"/>
    </row>
    <row r="48" spans="1:76" ht="12.95" customHeight="1">
      <c r="D48" s="404" t="s">
        <v>21</v>
      </c>
      <c r="AB48" s="2346">
        <f>Application!AO647-MAX(IF('Sources and Uses Budget'!B15="",0,'Sources and Uses Budget'!B15),IF(Application!AG403="",0,Application!AG403))</f>
        <v>12301325</v>
      </c>
      <c r="AC48" s="2347"/>
      <c r="AD48" s="2347"/>
      <c r="AE48" s="2347"/>
      <c r="AF48" s="2348"/>
    </row>
    <row r="49" spans="1:76" ht="12.95" customHeight="1">
      <c r="D49" s="404" t="s">
        <v>91</v>
      </c>
      <c r="AB49" s="2346">
        <f>AB47-AB48</f>
        <v>9306062</v>
      </c>
      <c r="AC49" s="2347"/>
      <c r="AD49" s="2347"/>
      <c r="AE49" s="2347"/>
      <c r="AF49" s="2348"/>
    </row>
    <row r="50" spans="1:76" ht="12.95" customHeight="1">
      <c r="D50" s="404" t="s">
        <v>681</v>
      </c>
      <c r="AA50" s="415"/>
      <c r="AB50" s="2334">
        <f>8221237/(Y41*10)</f>
        <v>0.80991903013489719</v>
      </c>
      <c r="AC50" s="2335"/>
      <c r="AD50" s="2335"/>
      <c r="AE50" s="2335"/>
      <c r="AF50" s="2336"/>
    </row>
    <row r="51" spans="1:76" s="417" customFormat="1" ht="12.95" customHeight="1">
      <c r="A51" s="402"/>
      <c r="B51" s="402"/>
      <c r="C51" s="402"/>
      <c r="D51" s="402"/>
      <c r="E51" s="2345" t="s">
        <v>2526</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6">
        <f>ROUND(IF(ISERROR((AB49/AB50)),0,(AB49/AB50)),0)</f>
        <v>11490114</v>
      </c>
      <c r="AC54" s="2347"/>
      <c r="AD54" s="2347"/>
      <c r="AE54" s="2347"/>
      <c r="AF54" s="2348"/>
    </row>
    <row r="55" spans="1:76" ht="12.95" customHeight="1">
      <c r="D55" s="404" t="s">
        <v>333</v>
      </c>
      <c r="AB55" s="2346">
        <f>(AB54/10)</f>
        <v>1149011.3999999999</v>
      </c>
      <c r="AC55" s="2347"/>
      <c r="AD55" s="2347"/>
      <c r="AE55" s="2347"/>
      <c r="AF55" s="2348"/>
    </row>
    <row r="56" spans="1:76" ht="12.95" customHeight="1">
      <c r="D56" s="404" t="s">
        <v>756</v>
      </c>
      <c r="AB56" s="2346">
        <f>ROUND((IF((Y41&lt;AB55),Y41,AB55)),0)</f>
        <v>1015069</v>
      </c>
      <c r="AC56" s="2347"/>
      <c r="AD56" s="2347"/>
      <c r="AE56" s="2347"/>
      <c r="AF56" s="2348"/>
    </row>
    <row r="57" spans="1:76" ht="12.95" customHeight="1">
      <c r="D57" s="404" t="s">
        <v>755</v>
      </c>
      <c r="AB57" s="2346">
        <f>ROUND((10*AB56*AB50),0)</f>
        <v>8221237</v>
      </c>
      <c r="AC57" s="2347"/>
      <c r="AD57" s="2347"/>
      <c r="AE57" s="2347"/>
      <c r="AF57" s="2348"/>
    </row>
    <row r="58" spans="1:76" ht="12.95" customHeight="1">
      <c r="D58" s="404"/>
      <c r="AB58" s="423"/>
      <c r="AC58" s="423"/>
      <c r="AD58" s="423"/>
      <c r="AE58" s="423"/>
      <c r="AF58" s="423"/>
    </row>
    <row r="59" spans="1:76" ht="12.95" customHeight="1">
      <c r="D59" s="404" t="s">
        <v>754</v>
      </c>
      <c r="AB59" s="2330">
        <f>AB49-AB57</f>
        <v>1084825</v>
      </c>
      <c r="AC59" s="2330"/>
      <c r="AD59" s="2330"/>
      <c r="AE59" s="2330"/>
      <c r="AF59" s="2330"/>
    </row>
    <row r="60" spans="1:76" ht="12.95" customHeight="1">
      <c r="D60" s="404"/>
      <c r="AB60" s="423"/>
      <c r="AC60" s="423"/>
      <c r="AD60" s="423"/>
      <c r="AE60" s="423"/>
      <c r="AF60" s="423"/>
    </row>
    <row r="61" spans="1:76" s="204" customFormat="1" ht="12.95"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2.95" customHeight="1" thickTop="1"/>
    <row r="63" spans="1:76" ht="12.95" customHeight="1">
      <c r="A63" s="404" t="s">
        <v>589</v>
      </c>
      <c r="C63" s="205" t="s">
        <v>1248</v>
      </c>
      <c r="Y63" s="2341" t="s">
        <v>984</v>
      </c>
      <c r="Z63" s="2341"/>
      <c r="AA63" s="2341"/>
      <c r="AB63" s="2341"/>
      <c r="AC63" s="2341"/>
      <c r="AD63" s="2341" t="s">
        <v>369</v>
      </c>
      <c r="AE63" s="2341"/>
      <c r="AF63" s="2341"/>
      <c r="AG63" s="2341"/>
      <c r="AH63" s="2341"/>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19520558</v>
      </c>
      <c r="Z64" s="2343"/>
      <c r="AA64" s="2343"/>
      <c r="AB64" s="2343"/>
      <c r="AC64" s="2344"/>
      <c r="AD64" s="2342">
        <f>IF(AND(OR(Application!D211="At-Risk",Application!D211="At-Risk and Special Needs"),Application!M367="yes"),AD28+AI28,0)</f>
        <v>0</v>
      </c>
      <c r="AE64" s="2343"/>
      <c r="AF64" s="2343"/>
      <c r="AG64" s="2343"/>
      <c r="AH64" s="2344"/>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1">
        <f>IF(OR(Application!Z205="State Farmworker Credit",Application!Z205="$500M (Farmworker Housing)"),0.75,IF(Application!Z205="15% set-aside",0.13,IF(Application!Z205="15% set-aside with qualifying low value rehab",0.95,IF(Application!Z205="$500M",0.3,0))))</f>
        <v>0.3</v>
      </c>
      <c r="Z67" s="2331"/>
      <c r="AA67" s="2331"/>
      <c r="AB67" s="2331"/>
      <c r="AC67" s="2331"/>
      <c r="AD67" s="2331">
        <f>IF(Application!Z205="15% set-aside with qualifying low value rehab", 0.95,IF(OR(Application!D211="At-Risk",'Points System'!B26="Yes"),0.13,0))</f>
        <v>0</v>
      </c>
      <c r="AE67" s="2331"/>
      <c r="AF67" s="2331"/>
      <c r="AG67" s="2331"/>
      <c r="AH67" s="2331"/>
    </row>
    <row r="68" spans="1:37" ht="12.95" customHeight="1">
      <c r="C68" s="404"/>
      <c r="D68" s="205" t="s">
        <v>2178</v>
      </c>
      <c r="Y68" s="2332">
        <f>IF(AND(T25=1.3,OR(Y67=0.13,Y67=0.95),NOT(Application!T212&gt;=50%)),0,ROUND(Y64*Y67,0))</f>
        <v>5856167</v>
      </c>
      <c r="Z68" s="2333"/>
      <c r="AA68" s="2333"/>
      <c r="AB68" s="2333"/>
      <c r="AC68" s="2333"/>
      <c r="AD68" s="2332">
        <f>IF(AND(T25=1.3,AD67&gt;0,NOT(Application!T212&gt;=50%)),0,ROUND(AD64*AD67,0))</f>
        <v>0</v>
      </c>
      <c r="AE68" s="2333"/>
      <c r="AF68" s="2333"/>
      <c r="AG68" s="2333"/>
      <c r="AH68" s="2333"/>
      <c r="AK68" s="1192"/>
    </row>
    <row r="69" spans="1:37" ht="12.95" customHeight="1">
      <c r="C69" s="404"/>
      <c r="D69" s="205" t="s">
        <v>2179</v>
      </c>
      <c r="Y69" s="2332">
        <f>IF(OR(Application!Z205="State Farmworker Credit",Application!Z205="$500M (Farmworker Housing)"),Y68+AD68,MIN(Y68+AD68,200000*(Application!G761+Application!O785)))</f>
        <v>5856167</v>
      </c>
      <c r="Z69" s="2332"/>
      <c r="AA69" s="2332"/>
      <c r="AB69" s="2332"/>
      <c r="AC69" s="2332"/>
      <c r="AD69" s="2332"/>
      <c r="AE69" s="2332"/>
      <c r="AF69" s="2332"/>
      <c r="AG69" s="2332"/>
      <c r="AH69" s="2332"/>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34">
        <f>AB59/1356167</f>
        <v>0.79991992136661638</v>
      </c>
      <c r="AC72" s="2335"/>
      <c r="AD72" s="2335"/>
      <c r="AE72" s="2335"/>
      <c r="AF72" s="2336"/>
    </row>
    <row r="73" spans="1:37" ht="12.95" customHeight="1">
      <c r="A73" s="404"/>
      <c r="C73" s="404"/>
      <c r="D73" s="404"/>
      <c r="E73" s="2337" t="s">
        <v>1251</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7" ht="12.95"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7" ht="12.95"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25">
        <f>ROUND(IF(ISERROR((AB59/AB72)),0,(AB59/AB72)),0)</f>
        <v>1356167</v>
      </c>
      <c r="AC77" s="2325"/>
      <c r="AD77" s="2325"/>
      <c r="AE77" s="2325"/>
      <c r="AF77" s="2325"/>
    </row>
    <row r="78" spans="1:37" ht="12.95" customHeight="1">
      <c r="C78" s="404"/>
      <c r="D78" s="205" t="s">
        <v>1253</v>
      </c>
      <c r="AB78" s="2326">
        <f>ROUNDUP(MIN(Y69,AB77),0)</f>
        <v>1356167</v>
      </c>
      <c r="AC78" s="2327"/>
      <c r="AD78" s="2327"/>
      <c r="AE78" s="2327"/>
      <c r="AF78" s="2328"/>
    </row>
    <row r="79" spans="1:37" ht="12.95" customHeight="1">
      <c r="C79" s="404"/>
      <c r="D79" s="205" t="s">
        <v>1254</v>
      </c>
      <c r="AB79" s="2329">
        <f>AB78*AB72</f>
        <v>1084825</v>
      </c>
      <c r="AC79" s="2329"/>
      <c r="AD79" s="2329"/>
      <c r="AE79" s="2329"/>
      <c r="AF79" s="2329"/>
    </row>
    <row r="80" spans="1:37" ht="12.95" customHeight="1">
      <c r="C80" s="404"/>
      <c r="D80" s="404"/>
      <c r="AB80" s="425"/>
      <c r="AC80" s="425"/>
      <c r="AD80" s="425"/>
      <c r="AE80" s="425"/>
      <c r="AF80" s="425"/>
    </row>
    <row r="81" spans="1:78" ht="12.95" customHeight="1">
      <c r="D81" s="404" t="s">
        <v>754</v>
      </c>
      <c r="AB81" s="2330">
        <f>AB49-(AB57+AB79)</f>
        <v>0</v>
      </c>
      <c r="AC81" s="2330"/>
      <c r="AD81" s="2330"/>
      <c r="AE81" s="2330"/>
      <c r="AF81" s="2330"/>
    </row>
    <row r="82" spans="1:78" ht="12.95" customHeight="1">
      <c r="F82" s="522"/>
      <c r="J82" s="522" t="str">
        <f>IF(AB81&gt;0,"FUNDING GAP MUST NOT EXCEED ZERO","")</f>
        <v/>
      </c>
    </row>
    <row r="83" spans="1:78" ht="12.95" customHeight="1">
      <c r="D83" s="523"/>
    </row>
    <row r="84" spans="1:78" ht="12.95"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2.95" customHeight="1" thickTop="1"/>
    <row r="86" spans="1:78" ht="12.95" hidden="1" customHeight="1">
      <c r="A86" s="404"/>
      <c r="C86" s="205"/>
    </row>
    <row r="87" spans="1:78" ht="12.95" hidden="1" customHeight="1">
      <c r="D87" s="205"/>
      <c r="AB87" s="2381"/>
      <c r="AC87" s="2381"/>
      <c r="AD87" s="2381"/>
      <c r="AE87" s="2381"/>
      <c r="AF87" s="2381"/>
    </row>
    <row r="88" spans="1:78" ht="12.95" hidden="1"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workbookViewId="0">
      <selection activeCell="AL169" sqref="AL16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4" t="s">
        <v>1299</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row>
    <row r="2" spans="1:41" s="536" customFormat="1" ht="12.7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2539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7" t="s">
        <v>1303</v>
      </c>
      <c r="AF7" s="2417"/>
      <c r="AG7" s="2417"/>
      <c r="AH7" s="2417"/>
      <c r="AI7" s="2417"/>
      <c r="AJ7" s="2417"/>
      <c r="AK7" s="2417"/>
      <c r="AL7" s="540"/>
      <c r="AM7" s="540"/>
      <c r="AN7" s="535"/>
    </row>
    <row r="8" spans="1:41" s="536" customFormat="1" ht="12.75" customHeight="1">
      <c r="A8" s="538"/>
      <c r="B8" s="539" t="s">
        <v>2628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9" t="s">
        <v>591</v>
      </c>
      <c r="C12" s="2389"/>
      <c r="D12" s="540"/>
      <c r="E12" s="2405" t="s">
        <v>2540</v>
      </c>
      <c r="F12" s="2406"/>
      <c r="G12" s="2406"/>
      <c r="H12" s="2406"/>
      <c r="I12" s="2406"/>
      <c r="J12" s="2406"/>
      <c r="K12" s="2406"/>
      <c r="L12" s="2406"/>
      <c r="M12" s="2406"/>
      <c r="N12" s="2406"/>
      <c r="O12" s="2406"/>
      <c r="P12" s="2406"/>
      <c r="Q12" s="2406"/>
      <c r="R12" s="2406"/>
      <c r="S12" s="2406"/>
      <c r="T12" s="2406"/>
      <c r="U12" s="2406"/>
      <c r="V12" s="2406"/>
      <c r="W12" s="2406"/>
      <c r="X12" s="2406"/>
      <c r="Y12" s="2406"/>
      <c r="Z12" s="2406"/>
      <c r="AA12" s="2406"/>
      <c r="AB12" s="2406"/>
      <c r="AC12" s="2406"/>
      <c r="AD12" s="2406"/>
      <c r="AE12" s="2406"/>
      <c r="AF12" s="2406"/>
      <c r="AG12" s="2406"/>
      <c r="AH12" s="2406"/>
      <c r="AI12" s="2406"/>
      <c r="AJ12" s="2407"/>
      <c r="AK12" s="540"/>
      <c r="AL12" s="540"/>
      <c r="AM12" s="540"/>
      <c r="AN12" s="535"/>
      <c r="AO12" s="557"/>
    </row>
    <row r="13" spans="1:41" s="536" customFormat="1" ht="12.75" customHeight="1">
      <c r="A13" s="540"/>
      <c r="D13" s="546"/>
      <c r="E13" s="2434"/>
      <c r="F13" s="2435"/>
      <c r="G13" s="2435"/>
      <c r="H13" s="2435"/>
      <c r="I13" s="2435"/>
      <c r="J13" s="2435"/>
      <c r="K13" s="2435"/>
      <c r="L13" s="2435"/>
      <c r="M13" s="2435"/>
      <c r="N13" s="2435"/>
      <c r="O13" s="2435"/>
      <c r="P13" s="2435"/>
      <c r="Q13" s="2435"/>
      <c r="R13" s="2435"/>
      <c r="S13" s="2435"/>
      <c r="T13" s="2435"/>
      <c r="U13" s="2435"/>
      <c r="V13" s="2435"/>
      <c r="W13" s="2435"/>
      <c r="X13" s="2435"/>
      <c r="Y13" s="2435"/>
      <c r="Z13" s="2435"/>
      <c r="AA13" s="2435"/>
      <c r="AB13" s="2435"/>
      <c r="AC13" s="2435"/>
      <c r="AD13" s="2435"/>
      <c r="AE13" s="2435"/>
      <c r="AF13" s="2435"/>
      <c r="AG13" s="2435"/>
      <c r="AH13" s="2435"/>
      <c r="AI13" s="2435"/>
      <c r="AJ13" s="2436"/>
      <c r="AK13" s="540"/>
      <c r="AL13" s="540"/>
      <c r="AM13" s="540"/>
      <c r="AN13" s="535"/>
      <c r="AO13" s="557"/>
    </row>
    <row r="14" spans="1:41" s="536" customFormat="1" ht="12.75" customHeight="1">
      <c r="A14" s="540"/>
      <c r="D14" s="540"/>
      <c r="E14" s="2408"/>
      <c r="F14" s="2409"/>
      <c r="G14" s="2409"/>
      <c r="H14" s="2409"/>
      <c r="I14" s="2409"/>
      <c r="J14" s="2409"/>
      <c r="K14" s="2409"/>
      <c r="L14" s="2409"/>
      <c r="M14" s="2409"/>
      <c r="N14" s="2409"/>
      <c r="O14" s="2409"/>
      <c r="P14" s="2409"/>
      <c r="Q14" s="2409"/>
      <c r="R14" s="2409"/>
      <c r="S14" s="2409"/>
      <c r="T14" s="2409"/>
      <c r="U14" s="2409"/>
      <c r="V14" s="2409"/>
      <c r="W14" s="2409"/>
      <c r="X14" s="2409"/>
      <c r="Y14" s="2409"/>
      <c r="Z14" s="2409"/>
      <c r="AA14" s="2409"/>
      <c r="AB14" s="2409"/>
      <c r="AC14" s="2409"/>
      <c r="AD14" s="2409"/>
      <c r="AE14" s="2409"/>
      <c r="AF14" s="2409"/>
      <c r="AG14" s="2409"/>
      <c r="AH14" s="2409"/>
      <c r="AI14" s="2409"/>
      <c r="AJ14" s="2410"/>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9" t="s">
        <v>591</v>
      </c>
      <c r="C16" s="2389"/>
      <c r="D16" s="540"/>
      <c r="E16" s="2405" t="s">
        <v>2541</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row>
    <row r="17" spans="1:50" s="536" customFormat="1" ht="12.75" customHeight="1">
      <c r="A17" s="540"/>
      <c r="B17" s="540"/>
      <c r="C17" s="540"/>
      <c r="D17" s="540"/>
      <c r="E17" s="2434"/>
      <c r="F17" s="2435"/>
      <c r="G17" s="2435"/>
      <c r="H17" s="2435"/>
      <c r="I17" s="2435"/>
      <c r="J17" s="2435"/>
      <c r="K17" s="2435"/>
      <c r="L17" s="2435"/>
      <c r="M17" s="2435"/>
      <c r="N17" s="2435"/>
      <c r="O17" s="2435"/>
      <c r="P17" s="2435"/>
      <c r="Q17" s="2435"/>
      <c r="R17" s="2435"/>
      <c r="S17" s="2435"/>
      <c r="T17" s="2435"/>
      <c r="U17" s="2435"/>
      <c r="V17" s="2435"/>
      <c r="W17" s="2435"/>
      <c r="X17" s="2435"/>
      <c r="Y17" s="2435"/>
      <c r="Z17" s="2435"/>
      <c r="AA17" s="2435"/>
      <c r="AB17" s="2435"/>
      <c r="AC17" s="2435"/>
      <c r="AD17" s="2435"/>
      <c r="AE17" s="2435"/>
      <c r="AF17" s="2435"/>
      <c r="AG17" s="2435"/>
      <c r="AH17" s="2435"/>
      <c r="AI17" s="2435"/>
      <c r="AJ17" s="2436"/>
      <c r="AK17" s="540"/>
      <c r="AL17" s="540"/>
      <c r="AM17" s="540"/>
      <c r="AN17" s="535"/>
    </row>
    <row r="18" spans="1:50" s="536" customFormat="1" ht="12.75" customHeight="1">
      <c r="A18" s="540"/>
      <c r="B18" s="540"/>
      <c r="C18" s="1135"/>
      <c r="D18" s="540"/>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9" t="s">
        <v>591</v>
      </c>
      <c r="C20" s="2389"/>
      <c r="D20" s="540"/>
      <c r="E20" s="2405" t="s">
        <v>1979</v>
      </c>
      <c r="F20" s="2406"/>
      <c r="G20" s="2406"/>
      <c r="H20" s="2406"/>
      <c r="I20" s="2406"/>
      <c r="J20" s="2406"/>
      <c r="K20" s="2406"/>
      <c r="L20" s="2406"/>
      <c r="M20" s="2406"/>
      <c r="N20" s="2406"/>
      <c r="O20" s="2406"/>
      <c r="P20" s="2406"/>
      <c r="Q20" s="2406"/>
      <c r="R20" s="2406"/>
      <c r="S20" s="2406"/>
      <c r="T20" s="2406"/>
      <c r="U20" s="2406"/>
      <c r="V20" s="2406"/>
      <c r="W20" s="2406"/>
      <c r="X20" s="2406"/>
      <c r="Y20" s="2406"/>
      <c r="Z20" s="2406"/>
      <c r="AA20" s="2406"/>
      <c r="AB20" s="2406"/>
      <c r="AC20" s="2406"/>
      <c r="AD20" s="2406"/>
      <c r="AE20" s="2406"/>
      <c r="AF20" s="2406"/>
      <c r="AG20" s="2406"/>
      <c r="AH20" s="2406"/>
      <c r="AI20" s="2406"/>
      <c r="AJ20" s="2407"/>
      <c r="AK20" s="540"/>
      <c r="AL20" s="540"/>
      <c r="AM20" s="540"/>
      <c r="AN20" s="535"/>
    </row>
    <row r="21" spans="1:50" s="536" customFormat="1" ht="12.75" customHeight="1">
      <c r="A21" s="540"/>
      <c r="B21" s="546"/>
      <c r="C21" s="546"/>
      <c r="D21" s="546"/>
      <c r="E21" s="2408"/>
      <c r="F21" s="2409"/>
      <c r="G21" s="2409"/>
      <c r="H21" s="2409"/>
      <c r="I21" s="2409"/>
      <c r="J21" s="2409"/>
      <c r="K21" s="2409"/>
      <c r="L21" s="2409"/>
      <c r="M21" s="2409"/>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10"/>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2629</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2543</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9" t="s">
        <v>591</v>
      </c>
      <c r="C26" s="2389"/>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6"/>
      <c r="AH26" s="2426"/>
      <c r="AI26" s="2426"/>
      <c r="AJ26" s="2427"/>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2544</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9" t="s">
        <v>591</v>
      </c>
      <c r="C30" s="2389"/>
      <c r="D30" s="546"/>
      <c r="E30" s="2390" t="s">
        <v>2630</v>
      </c>
      <c r="F30" s="2391"/>
      <c r="G30" s="2391"/>
      <c r="H30" s="2391"/>
      <c r="I30" s="2391"/>
      <c r="J30" s="2391"/>
      <c r="K30" s="2391"/>
      <c r="L30" s="2391"/>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2"/>
      <c r="AK30" s="540"/>
      <c r="AL30" s="540"/>
      <c r="AM30" s="540"/>
      <c r="AN30" s="535"/>
      <c r="AO30" s="549">
        <f>IF($B30="yes",9,0)</f>
        <v>0</v>
      </c>
    </row>
    <row r="31" spans="1:50" s="536" customFormat="1" ht="12.75" customHeight="1">
      <c r="A31" s="540"/>
      <c r="B31" s="540"/>
      <c r="C31" s="540"/>
      <c r="E31" s="2393"/>
      <c r="F31" s="2394"/>
      <c r="G31" s="2394"/>
      <c r="H31" s="2394"/>
      <c r="I31" s="2394"/>
      <c r="J31" s="2394"/>
      <c r="K31" s="2394"/>
      <c r="L31" s="2394"/>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5"/>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9" t="s">
        <v>591</v>
      </c>
      <c r="C33" s="2389"/>
      <c r="D33" s="546"/>
      <c r="E33" s="2390" t="s">
        <v>2547</v>
      </c>
      <c r="F33" s="2391"/>
      <c r="G33" s="2391"/>
      <c r="H33" s="2391"/>
      <c r="I33" s="2391"/>
      <c r="J33" s="2391"/>
      <c r="K33" s="2391"/>
      <c r="L33" s="2391"/>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2"/>
      <c r="AK33" s="540"/>
      <c r="AL33" s="540"/>
      <c r="AM33" s="540"/>
      <c r="AN33" s="535"/>
      <c r="AO33" s="549">
        <f>IF($B39="yes",9,0)</f>
        <v>0</v>
      </c>
    </row>
    <row r="34" spans="1:43" s="536" customFormat="1" ht="12.75" customHeight="1">
      <c r="A34" s="540"/>
      <c r="B34" s="540"/>
      <c r="C34" s="540"/>
      <c r="D34" s="546"/>
      <c r="E34" s="2431"/>
      <c r="F34" s="2432"/>
      <c r="G34" s="2432"/>
      <c r="H34" s="2432"/>
      <c r="I34" s="2432"/>
      <c r="J34" s="2432"/>
      <c r="K34" s="2432"/>
      <c r="L34" s="2432"/>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3"/>
      <c r="AK34" s="540"/>
      <c r="AL34" s="540"/>
      <c r="AM34" s="540"/>
      <c r="AN34" s="535"/>
      <c r="AO34" s="536">
        <f>MAX(AO30,AO31,AO32,AO33)</f>
        <v>0</v>
      </c>
      <c r="AP34" s="536" t="s">
        <v>1305</v>
      </c>
    </row>
    <row r="35" spans="1:43" s="536" customFormat="1" ht="12.75" customHeight="1">
      <c r="A35" s="540"/>
      <c r="B35" s="540"/>
      <c r="C35" s="540"/>
      <c r="E35" s="2393"/>
      <c r="F35" s="2394"/>
      <c r="G35" s="2394"/>
      <c r="H35" s="2394"/>
      <c r="I35" s="2394"/>
      <c r="J35" s="2394"/>
      <c r="K35" s="2394"/>
      <c r="L35" s="2394"/>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5"/>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9" t="s">
        <v>591</v>
      </c>
      <c r="C37" s="2389"/>
      <c r="D37" s="1136"/>
      <c r="E37" s="2396" t="s">
        <v>2549</v>
      </c>
      <c r="F37" s="2397"/>
      <c r="G37" s="2397"/>
      <c r="H37" s="2397"/>
      <c r="I37" s="2397"/>
      <c r="J37" s="2397"/>
      <c r="K37" s="2397"/>
      <c r="L37" s="2397"/>
      <c r="M37" s="2397"/>
      <c r="N37" s="2397"/>
      <c r="O37" s="2397"/>
      <c r="P37" s="2397"/>
      <c r="Q37" s="2397"/>
      <c r="R37" s="2397"/>
      <c r="S37" s="2397"/>
      <c r="T37" s="2397"/>
      <c r="U37" s="2397"/>
      <c r="V37" s="2397"/>
      <c r="W37" s="2397"/>
      <c r="X37" s="2397"/>
      <c r="Y37" s="2397"/>
      <c r="Z37" s="2397"/>
      <c r="AA37" s="2397"/>
      <c r="AB37" s="2397"/>
      <c r="AC37" s="2397"/>
      <c r="AD37" s="2397"/>
      <c r="AE37" s="2397"/>
      <c r="AF37" s="2397"/>
      <c r="AG37" s="2397"/>
      <c r="AH37" s="2397"/>
      <c r="AI37" s="2397"/>
      <c r="AJ37" s="239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9" t="s">
        <v>591</v>
      </c>
      <c r="C39" s="2389"/>
      <c r="D39" s="1136"/>
      <c r="E39" s="2396" t="s">
        <v>2548</v>
      </c>
      <c r="F39" s="2397"/>
      <c r="G39" s="2397"/>
      <c r="H39" s="2397"/>
      <c r="I39" s="2397"/>
      <c r="J39" s="2397"/>
      <c r="K39" s="2397"/>
      <c r="L39" s="2397"/>
      <c r="M39" s="2397"/>
      <c r="N39" s="2397"/>
      <c r="O39" s="2397"/>
      <c r="P39" s="2397"/>
      <c r="Q39" s="2397"/>
      <c r="R39" s="2397"/>
      <c r="S39" s="2397"/>
      <c r="T39" s="2397"/>
      <c r="U39" s="2397"/>
      <c r="V39" s="2397"/>
      <c r="W39" s="2397"/>
      <c r="X39" s="2397"/>
      <c r="Y39" s="2397"/>
      <c r="Z39" s="2397"/>
      <c r="AA39" s="2397"/>
      <c r="AB39" s="2397"/>
      <c r="AC39" s="2397"/>
      <c r="AD39" s="2397"/>
      <c r="AE39" s="2397"/>
      <c r="AF39" s="2397"/>
      <c r="AG39" s="2397"/>
      <c r="AH39" s="2397"/>
      <c r="AI39" s="2397"/>
      <c r="AJ39" s="239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2545</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9" t="s">
        <v>591</v>
      </c>
      <c r="C43" s="2389"/>
      <c r="D43" s="546"/>
      <c r="E43" s="2399" t="s">
        <v>2631</v>
      </c>
      <c r="F43" s="2400"/>
      <c r="G43" s="2400"/>
      <c r="H43" s="2400"/>
      <c r="I43" s="2400"/>
      <c r="J43" s="2400"/>
      <c r="K43" s="2400"/>
      <c r="L43" s="2400"/>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1"/>
      <c r="AK43" s="540"/>
      <c r="AL43" s="540"/>
      <c r="AM43" s="540"/>
      <c r="AN43" s="535"/>
      <c r="AO43" s="549">
        <f>IF($B43="yes",8,0)</f>
        <v>0</v>
      </c>
      <c r="AP43" s="14"/>
    </row>
    <row r="44" spans="1:43" s="536" customFormat="1" ht="12.75" customHeight="1">
      <c r="A44" s="540"/>
      <c r="B44" s="540"/>
      <c r="C44" s="540"/>
      <c r="D44" s="550"/>
      <c r="E44" s="2402"/>
      <c r="F44" s="2403"/>
      <c r="G44" s="2403"/>
      <c r="H44" s="2403"/>
      <c r="I44" s="2403"/>
      <c r="J44" s="2403"/>
      <c r="K44" s="2403"/>
      <c r="L44" s="2403"/>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9" t="s">
        <v>591</v>
      </c>
      <c r="C46" s="2389"/>
      <c r="D46" s="546"/>
      <c r="E46" s="2390" t="s">
        <v>2632</v>
      </c>
      <c r="F46" s="2391"/>
      <c r="G46" s="2391"/>
      <c r="H46" s="2391"/>
      <c r="I46" s="2391"/>
      <c r="J46" s="2391"/>
      <c r="K46" s="2391"/>
      <c r="L46" s="2391"/>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2"/>
      <c r="AK46" s="540"/>
      <c r="AL46" s="540"/>
      <c r="AM46" s="540"/>
      <c r="AN46" s="535"/>
      <c r="AO46" s="549">
        <f>IF($B52="yes",8,0)</f>
        <v>0</v>
      </c>
    </row>
    <row r="47" spans="1:43" s="536" customFormat="1" ht="12.75" customHeight="1">
      <c r="A47" s="540"/>
      <c r="B47" s="540"/>
      <c r="C47" s="540"/>
      <c r="D47" s="549"/>
      <c r="E47" s="2393"/>
      <c r="F47" s="2394"/>
      <c r="G47" s="2394"/>
      <c r="H47" s="2394"/>
      <c r="I47" s="2394"/>
      <c r="J47" s="2394"/>
      <c r="K47" s="2394"/>
      <c r="L47" s="2394"/>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5"/>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9" t="s">
        <v>591</v>
      </c>
      <c r="C49" s="2389"/>
      <c r="D49" s="546"/>
      <c r="E49" s="2405" t="s">
        <v>2633</v>
      </c>
      <c r="F49" s="2406"/>
      <c r="G49" s="2406"/>
      <c r="H49" s="2406"/>
      <c r="I49" s="2406"/>
      <c r="J49" s="2406"/>
      <c r="K49" s="2406"/>
      <c r="L49" s="2406"/>
      <c r="M49" s="2406"/>
      <c r="N49" s="2406"/>
      <c r="O49" s="2406"/>
      <c r="P49" s="2406"/>
      <c r="Q49" s="2406"/>
      <c r="R49" s="2406"/>
      <c r="S49" s="2406"/>
      <c r="T49" s="2406"/>
      <c r="U49" s="2406"/>
      <c r="V49" s="2406"/>
      <c r="W49" s="2406"/>
      <c r="X49" s="2406"/>
      <c r="Y49" s="2406"/>
      <c r="Z49" s="2406"/>
      <c r="AA49" s="2406"/>
      <c r="AB49" s="2406"/>
      <c r="AC49" s="2406"/>
      <c r="AD49" s="2406"/>
      <c r="AE49" s="2406"/>
      <c r="AF49" s="2406"/>
      <c r="AG49" s="2406"/>
      <c r="AH49" s="2406"/>
      <c r="AI49" s="2406"/>
      <c r="AJ49" s="2407"/>
      <c r="AK49" s="540"/>
      <c r="AL49" s="540"/>
      <c r="AM49" s="540"/>
      <c r="AN49" s="535"/>
      <c r="AO49" s="549"/>
    </row>
    <row r="50" spans="1:42" s="536" customFormat="1" ht="12.75" customHeight="1">
      <c r="A50" s="540"/>
      <c r="B50" s="540"/>
      <c r="C50" s="540"/>
      <c r="D50" s="549"/>
      <c r="E50" s="2408"/>
      <c r="F50" s="2409"/>
      <c r="G50" s="2409"/>
      <c r="H50" s="2409"/>
      <c r="I50" s="2409"/>
      <c r="J50" s="2409"/>
      <c r="K50" s="2409"/>
      <c r="L50" s="2409"/>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10"/>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9" t="s">
        <v>591</v>
      </c>
      <c r="C52" s="2389"/>
      <c r="D52" s="546"/>
      <c r="E52" s="2396" t="s">
        <v>2634</v>
      </c>
      <c r="F52" s="2397"/>
      <c r="G52" s="2397"/>
      <c r="H52" s="2397"/>
      <c r="I52" s="2397"/>
      <c r="J52" s="2397"/>
      <c r="K52" s="2397"/>
      <c r="L52" s="2397"/>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2546</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9" t="s">
        <v>591</v>
      </c>
      <c r="C56" s="2389"/>
      <c r="D56" s="546"/>
      <c r="E56" s="2405" t="s">
        <v>2550</v>
      </c>
      <c r="F56" s="2406"/>
      <c r="G56" s="2406"/>
      <c r="H56" s="2406"/>
      <c r="I56" s="2406"/>
      <c r="J56" s="2406"/>
      <c r="K56" s="2406"/>
      <c r="L56" s="2406"/>
      <c r="M56" s="2406"/>
      <c r="N56" s="2406"/>
      <c r="O56" s="2406"/>
      <c r="P56" s="2406"/>
      <c r="Q56" s="2406"/>
      <c r="R56" s="2406"/>
      <c r="S56" s="2406"/>
      <c r="T56" s="2406"/>
      <c r="U56" s="2406"/>
      <c r="V56" s="2406"/>
      <c r="W56" s="2406"/>
      <c r="X56" s="2406"/>
      <c r="Y56" s="2406"/>
      <c r="Z56" s="2406"/>
      <c r="AA56" s="2406"/>
      <c r="AB56" s="2406"/>
      <c r="AC56" s="2406"/>
      <c r="AD56" s="2406"/>
      <c r="AE56" s="2406"/>
      <c r="AF56" s="2406"/>
      <c r="AG56" s="2406"/>
      <c r="AH56" s="2406"/>
      <c r="AI56" s="2406"/>
      <c r="AJ56" s="2407"/>
      <c r="AK56" s="540"/>
      <c r="AL56" s="540"/>
      <c r="AM56" s="540"/>
      <c r="AN56" s="535"/>
      <c r="AO56" s="549">
        <f>IF($B59="yes",7,0)</f>
        <v>0</v>
      </c>
    </row>
    <row r="57" spans="1:42" s="536" customFormat="1" ht="12.75" customHeight="1">
      <c r="A57" s="540"/>
      <c r="B57" s="540"/>
      <c r="C57" s="540"/>
      <c r="D57" s="549"/>
      <c r="E57" s="2408"/>
      <c r="F57" s="2409"/>
      <c r="G57" s="2409"/>
      <c r="H57" s="2409"/>
      <c r="I57" s="2409"/>
      <c r="J57" s="2409"/>
      <c r="K57" s="2409"/>
      <c r="L57" s="2409"/>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10"/>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9" t="s">
        <v>591</v>
      </c>
      <c r="C59" s="2389"/>
      <c r="D59" s="546"/>
      <c r="E59" s="2396" t="s">
        <v>2551</v>
      </c>
      <c r="F59" s="2397"/>
      <c r="G59" s="2397"/>
      <c r="H59" s="2397"/>
      <c r="I59" s="2397"/>
      <c r="J59" s="2397"/>
      <c r="K59" s="2397"/>
      <c r="L59" s="2397"/>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2552</v>
      </c>
      <c r="AK61" s="2428">
        <f>AO60</f>
        <v>0</v>
      </c>
      <c r="AL61" s="2429"/>
      <c r="AM61" s="2430"/>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7" t="s">
        <v>1308</v>
      </c>
      <c r="AF64" s="2417"/>
      <c r="AG64" s="2417"/>
      <c r="AH64" s="2417"/>
      <c r="AI64" s="2417"/>
      <c r="AJ64" s="2417"/>
      <c r="AK64" s="2417"/>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9" t="s">
        <v>591</v>
      </c>
      <c r="C67" s="2389"/>
      <c r="D67" s="546" t="s">
        <v>1309</v>
      </c>
      <c r="E67" s="2399" t="s">
        <v>1980</v>
      </c>
      <c r="F67" s="2400"/>
      <c r="G67" s="2400"/>
      <c r="H67" s="2400"/>
      <c r="I67" s="2400"/>
      <c r="J67" s="2400"/>
      <c r="K67" s="2400"/>
      <c r="L67" s="2400"/>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1"/>
      <c r="AK67" s="543"/>
      <c r="AL67" s="540"/>
      <c r="AM67" s="540"/>
      <c r="AN67" s="535"/>
      <c r="AO67" s="549">
        <f>IF($B67="yes",10,0)</f>
        <v>0</v>
      </c>
    </row>
    <row r="68" spans="1:42" s="536" customFormat="1" ht="12.75" customHeight="1">
      <c r="A68" s="538"/>
      <c r="B68" s="540"/>
      <c r="C68" s="540"/>
      <c r="D68" s="550"/>
      <c r="E68" s="2418"/>
      <c r="F68" s="2419"/>
      <c r="G68" s="2419"/>
      <c r="H68" s="2419"/>
      <c r="I68" s="2419"/>
      <c r="J68" s="2419"/>
      <c r="K68" s="2419"/>
      <c r="L68" s="2419"/>
      <c r="M68" s="2419"/>
      <c r="N68" s="2419"/>
      <c r="O68" s="2419"/>
      <c r="P68" s="2419"/>
      <c r="Q68" s="2419"/>
      <c r="R68" s="2419"/>
      <c r="S68" s="2419"/>
      <c r="T68" s="2419"/>
      <c r="U68" s="2419"/>
      <c r="V68" s="2419"/>
      <c r="W68" s="2419"/>
      <c r="X68" s="2419"/>
      <c r="Y68" s="2419"/>
      <c r="Z68" s="2419"/>
      <c r="AA68" s="2419"/>
      <c r="AB68" s="2419"/>
      <c r="AC68" s="2419"/>
      <c r="AD68" s="2419"/>
      <c r="AE68" s="2419"/>
      <c r="AF68" s="2419"/>
      <c r="AG68" s="2419"/>
      <c r="AH68" s="2419"/>
      <c r="AI68" s="2419"/>
      <c r="AJ68" s="2420"/>
      <c r="AK68" s="543"/>
      <c r="AL68" s="540"/>
      <c r="AM68" s="540"/>
      <c r="AN68" s="535"/>
      <c r="AO68" s="549">
        <f>IF(AND($B73="yes",OR(E74="Yes",E75="Yes",E76="Yes")),10,0)</f>
        <v>0</v>
      </c>
    </row>
    <row r="69" spans="1:42" s="536" customFormat="1" ht="12.75" customHeight="1">
      <c r="A69" s="538"/>
      <c r="B69" s="540"/>
      <c r="C69" s="540"/>
      <c r="D69" s="550"/>
      <c r="E69" s="2418"/>
      <c r="F69" s="2419"/>
      <c r="G69" s="2419"/>
      <c r="H69" s="2419"/>
      <c r="I69" s="2419"/>
      <c r="J69" s="2419"/>
      <c r="K69" s="2419"/>
      <c r="L69" s="2419"/>
      <c r="M69" s="2419"/>
      <c r="N69" s="2419"/>
      <c r="O69" s="2419"/>
      <c r="P69" s="2419"/>
      <c r="Q69" s="2419"/>
      <c r="R69" s="2419"/>
      <c r="S69" s="2419"/>
      <c r="T69" s="2419"/>
      <c r="U69" s="2419"/>
      <c r="V69" s="2419"/>
      <c r="W69" s="2419"/>
      <c r="X69" s="2419"/>
      <c r="Y69" s="2419"/>
      <c r="Z69" s="2419"/>
      <c r="AA69" s="2419"/>
      <c r="AB69" s="2419"/>
      <c r="AC69" s="2419"/>
      <c r="AD69" s="2419"/>
      <c r="AE69" s="2419"/>
      <c r="AF69" s="2419"/>
      <c r="AG69" s="2419"/>
      <c r="AH69" s="2419"/>
      <c r="AI69" s="2419"/>
      <c r="AJ69" s="2420"/>
      <c r="AK69" s="543"/>
      <c r="AL69" s="540"/>
      <c r="AM69" s="540"/>
      <c r="AN69" s="535"/>
      <c r="AO69" s="549">
        <f>IF($B78="yes",10,0)</f>
        <v>10</v>
      </c>
    </row>
    <row r="70" spans="1:42" s="536" customFormat="1" ht="12.75" customHeight="1">
      <c r="A70" s="538"/>
      <c r="B70" s="540"/>
      <c r="C70" s="540"/>
      <c r="D70" s="550"/>
      <c r="E70" s="2418"/>
      <c r="F70" s="2419"/>
      <c r="G70" s="2419"/>
      <c r="H70" s="2419"/>
      <c r="I70" s="2419"/>
      <c r="J70" s="2419"/>
      <c r="K70" s="2419"/>
      <c r="L70" s="2419"/>
      <c r="M70" s="2419"/>
      <c r="N70" s="2419"/>
      <c r="O70" s="2419"/>
      <c r="P70" s="2419"/>
      <c r="Q70" s="2419"/>
      <c r="R70" s="2419"/>
      <c r="S70" s="2419"/>
      <c r="T70" s="2419"/>
      <c r="U70" s="2419"/>
      <c r="V70" s="2419"/>
      <c r="W70" s="2419"/>
      <c r="X70" s="2419"/>
      <c r="Y70" s="2419"/>
      <c r="Z70" s="2419"/>
      <c r="AA70" s="2419"/>
      <c r="AB70" s="2419"/>
      <c r="AC70" s="2419"/>
      <c r="AD70" s="2419"/>
      <c r="AE70" s="2419"/>
      <c r="AF70" s="2419"/>
      <c r="AG70" s="2419"/>
      <c r="AH70" s="2419"/>
      <c r="AI70" s="2419"/>
      <c r="AJ70" s="2420"/>
      <c r="AK70" s="543"/>
      <c r="AL70" s="540"/>
      <c r="AM70" s="540"/>
      <c r="AN70" s="535"/>
      <c r="AO70" s="549">
        <f>IF($B81="yes",10,0)</f>
        <v>0</v>
      </c>
    </row>
    <row r="71" spans="1:42" s="536" customFormat="1" ht="12.75" customHeight="1">
      <c r="A71" s="538"/>
      <c r="B71" s="540"/>
      <c r="C71" s="540"/>
      <c r="D71" s="550"/>
      <c r="E71" s="2402"/>
      <c r="F71" s="2403"/>
      <c r="G71" s="2403"/>
      <c r="H71" s="2403"/>
      <c r="I71" s="2403"/>
      <c r="J71" s="2403"/>
      <c r="K71" s="2403"/>
      <c r="L71" s="2403"/>
      <c r="M71" s="2403"/>
      <c r="N71" s="2403"/>
      <c r="O71" s="2403"/>
      <c r="P71" s="2403"/>
      <c r="Q71" s="2403"/>
      <c r="R71" s="2403"/>
      <c r="S71" s="2403"/>
      <c r="T71" s="2403"/>
      <c r="U71" s="2403"/>
      <c r="V71" s="2403"/>
      <c r="W71" s="2403"/>
      <c r="X71" s="2403"/>
      <c r="Y71" s="2403"/>
      <c r="Z71" s="2403"/>
      <c r="AA71" s="2403"/>
      <c r="AB71" s="2403"/>
      <c r="AC71" s="2403"/>
      <c r="AD71" s="2403"/>
      <c r="AE71" s="2403"/>
      <c r="AF71" s="2403"/>
      <c r="AG71" s="2403"/>
      <c r="AH71" s="2403"/>
      <c r="AI71" s="2403"/>
      <c r="AJ71" s="2404"/>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9" t="s">
        <v>591</v>
      </c>
      <c r="C73" s="2389"/>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1" t="s">
        <v>591</v>
      </c>
      <c r="F74" s="2389"/>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5" t="s">
        <v>591</v>
      </c>
      <c r="F75" s="2416"/>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5" t="s">
        <v>591</v>
      </c>
      <c r="F76" s="2416"/>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9" t="s">
        <v>545</v>
      </c>
      <c r="C78" s="2389"/>
      <c r="D78" s="546" t="s">
        <v>1314</v>
      </c>
      <c r="E78" s="2405" t="s">
        <v>1728</v>
      </c>
      <c r="F78" s="2406"/>
      <c r="G78" s="2406"/>
      <c r="H78" s="2406"/>
      <c r="I78" s="2406"/>
      <c r="J78" s="2406"/>
      <c r="K78" s="2406"/>
      <c r="L78" s="2406"/>
      <c r="M78" s="2406"/>
      <c r="N78" s="2406"/>
      <c r="O78" s="2406"/>
      <c r="P78" s="2406"/>
      <c r="Q78" s="2406"/>
      <c r="R78" s="2406"/>
      <c r="S78" s="2406"/>
      <c r="T78" s="2406"/>
      <c r="U78" s="2406"/>
      <c r="V78" s="2406"/>
      <c r="W78" s="2406"/>
      <c r="X78" s="2406"/>
      <c r="Y78" s="2406"/>
      <c r="Z78" s="2406"/>
      <c r="AA78" s="2406"/>
      <c r="AB78" s="2406"/>
      <c r="AC78" s="2406"/>
      <c r="AD78" s="2406"/>
      <c r="AE78" s="2406"/>
      <c r="AF78" s="2406"/>
      <c r="AG78" s="2406"/>
      <c r="AH78" s="2406"/>
      <c r="AI78" s="2406"/>
      <c r="AJ78" s="2407"/>
      <c r="AK78" s="543"/>
      <c r="AL78" s="540"/>
      <c r="AM78" s="540"/>
      <c r="AN78" s="535"/>
    </row>
    <row r="79" spans="1:42" s="536" customFormat="1" ht="12.75" customHeight="1">
      <c r="A79" s="538"/>
      <c r="B79" s="540"/>
      <c r="C79" s="540"/>
      <c r="E79" s="2408"/>
      <c r="F79" s="2409"/>
      <c r="G79" s="2409"/>
      <c r="H79" s="2409"/>
      <c r="I79" s="2409"/>
      <c r="J79" s="2409"/>
      <c r="K79" s="2409"/>
      <c r="L79" s="2409"/>
      <c r="M79" s="2409"/>
      <c r="N79" s="2409"/>
      <c r="O79" s="2409"/>
      <c r="P79" s="2409"/>
      <c r="Q79" s="2409"/>
      <c r="R79" s="2409"/>
      <c r="S79" s="2409"/>
      <c r="T79" s="2409"/>
      <c r="U79" s="2409"/>
      <c r="V79" s="2409"/>
      <c r="W79" s="2409"/>
      <c r="X79" s="2409"/>
      <c r="Y79" s="2409"/>
      <c r="Z79" s="2409"/>
      <c r="AA79" s="2409"/>
      <c r="AB79" s="2409"/>
      <c r="AC79" s="2409"/>
      <c r="AD79" s="2409"/>
      <c r="AE79" s="2409"/>
      <c r="AF79" s="2409"/>
      <c r="AG79" s="2409"/>
      <c r="AH79" s="2409"/>
      <c r="AI79" s="2409"/>
      <c r="AJ79" s="2410"/>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9" t="s">
        <v>591</v>
      </c>
      <c r="C81" s="2389"/>
      <c r="D81" s="546" t="s">
        <v>1461</v>
      </c>
      <c r="E81" s="2396" t="s">
        <v>1726</v>
      </c>
      <c r="F81" s="2397"/>
      <c r="G81" s="2397"/>
      <c r="H81" s="2397"/>
      <c r="I81" s="2397"/>
      <c r="J81" s="2397"/>
      <c r="K81" s="2397"/>
      <c r="L81" s="2397"/>
      <c r="M81" s="2397"/>
      <c r="N81" s="2397"/>
      <c r="O81" s="2397"/>
      <c r="P81" s="2397"/>
      <c r="Q81" s="2397"/>
      <c r="R81" s="2397"/>
      <c r="S81" s="2397"/>
      <c r="T81" s="2397"/>
      <c r="U81" s="2397"/>
      <c r="V81" s="2397"/>
      <c r="W81" s="2397"/>
      <c r="X81" s="2397"/>
      <c r="Y81" s="2397"/>
      <c r="Z81" s="2397"/>
      <c r="AA81" s="2397"/>
      <c r="AB81" s="2397"/>
      <c r="AC81" s="2397"/>
      <c r="AD81" s="2397"/>
      <c r="AE81" s="2397"/>
      <c r="AF81" s="2397"/>
      <c r="AG81" s="2397"/>
      <c r="AH81" s="2397"/>
      <c r="AI81" s="2397"/>
      <c r="AJ81" s="239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28">
        <f>IF(AK61&gt;0,0,AO71)</f>
        <v>10</v>
      </c>
      <c r="AL83" s="2429"/>
      <c r="AM83" s="2430"/>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7" t="s">
        <v>1303</v>
      </c>
      <c r="AF86" s="2417"/>
      <c r="AG86" s="2417"/>
      <c r="AH86" s="2417"/>
      <c r="AI86" s="2417"/>
      <c r="AJ86" s="2417"/>
      <c r="AK86" s="2417"/>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9" t="s">
        <v>591</v>
      </c>
      <c r="C89" s="2389"/>
      <c r="D89" s="546" t="s">
        <v>1309</v>
      </c>
      <c r="E89" s="2399" t="s">
        <v>1319</v>
      </c>
      <c r="F89" s="2400"/>
      <c r="G89" s="2400"/>
      <c r="H89" s="2400"/>
      <c r="I89" s="2400"/>
      <c r="J89" s="2400"/>
      <c r="K89" s="2400"/>
      <c r="L89" s="2400"/>
      <c r="M89" s="2400"/>
      <c r="N89" s="2400"/>
      <c r="O89" s="2400"/>
      <c r="P89" s="2400"/>
      <c r="Q89" s="2400"/>
      <c r="R89" s="2400"/>
      <c r="S89" s="2400"/>
      <c r="T89" s="2400"/>
      <c r="U89" s="2400"/>
      <c r="V89" s="2400"/>
      <c r="W89" s="2400"/>
      <c r="X89" s="2400"/>
      <c r="Y89" s="2400"/>
      <c r="Z89" s="2400"/>
      <c r="AA89" s="2400"/>
      <c r="AB89" s="2400"/>
      <c r="AC89" s="2400"/>
      <c r="AD89" s="2400"/>
      <c r="AE89" s="2400"/>
      <c r="AF89" s="2400"/>
      <c r="AG89" s="2400"/>
      <c r="AH89" s="2400"/>
      <c r="AI89" s="2400"/>
      <c r="AJ89" s="2401"/>
      <c r="AK89" s="543"/>
      <c r="AL89" s="540"/>
      <c r="AM89" s="540"/>
      <c r="AN89" s="535"/>
    </row>
    <row r="90" spans="1:43" s="536" customFormat="1" ht="12.75" customHeight="1">
      <c r="A90" s="538"/>
      <c r="B90" s="539"/>
      <c r="C90" s="539"/>
      <c r="D90" s="539"/>
      <c r="E90" s="2418"/>
      <c r="F90" s="2419"/>
      <c r="G90" s="2419"/>
      <c r="H90" s="2419"/>
      <c r="I90" s="2419"/>
      <c r="J90" s="2419"/>
      <c r="K90" s="2419"/>
      <c r="L90" s="2419"/>
      <c r="M90" s="2419"/>
      <c r="N90" s="2419"/>
      <c r="O90" s="2419"/>
      <c r="P90" s="2419"/>
      <c r="Q90" s="2419"/>
      <c r="R90" s="2419"/>
      <c r="S90" s="2419"/>
      <c r="T90" s="2419"/>
      <c r="U90" s="2419"/>
      <c r="V90" s="2419"/>
      <c r="W90" s="2419"/>
      <c r="X90" s="2419"/>
      <c r="Y90" s="2419"/>
      <c r="Z90" s="2419"/>
      <c r="AA90" s="2419"/>
      <c r="AB90" s="2419"/>
      <c r="AC90" s="2419"/>
      <c r="AD90" s="2419"/>
      <c r="AE90" s="2419"/>
      <c r="AF90" s="2419"/>
      <c r="AG90" s="2419"/>
      <c r="AH90" s="2419"/>
      <c r="AI90" s="2419"/>
      <c r="AJ90" s="2420"/>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1">
        <f>Application!AC761</f>
        <v>0.59999999999999987</v>
      </c>
      <c r="F92" s="2412"/>
      <c r="G92" s="2412"/>
      <c r="H92" s="2412"/>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3">
        <f>0.6-ROUNDUP(E92,2)</f>
        <v>0</v>
      </c>
      <c r="F93" s="2414"/>
      <c r="G93" s="2414"/>
      <c r="H93" s="2414"/>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0">
        <f>IF(E93*200&gt;20,20,E93*200)</f>
        <v>0</v>
      </c>
      <c r="F94" s="2441"/>
      <c r="G94" s="2441"/>
      <c r="H94" s="2441"/>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9" t="s">
        <v>545</v>
      </c>
      <c r="C97" s="2389"/>
      <c r="D97" s="546" t="s">
        <v>1311</v>
      </c>
      <c r="E97" s="2399" t="s">
        <v>1714</v>
      </c>
      <c r="F97" s="2400"/>
      <c r="G97" s="2400"/>
      <c r="H97" s="2400"/>
      <c r="I97" s="2400"/>
      <c r="J97" s="2400"/>
      <c r="K97" s="2400"/>
      <c r="L97" s="2400"/>
      <c r="M97" s="2400"/>
      <c r="N97" s="2400"/>
      <c r="O97" s="2400"/>
      <c r="P97" s="2400"/>
      <c r="Q97" s="2400"/>
      <c r="R97" s="2400"/>
      <c r="S97" s="2400"/>
      <c r="T97" s="2400"/>
      <c r="U97" s="2400"/>
      <c r="V97" s="2400"/>
      <c r="W97" s="2400"/>
      <c r="X97" s="2400"/>
      <c r="Y97" s="2400"/>
      <c r="Z97" s="2400"/>
      <c r="AA97" s="2400"/>
      <c r="AB97" s="2400"/>
      <c r="AC97" s="2400"/>
      <c r="AD97" s="2400"/>
      <c r="AE97" s="2400"/>
      <c r="AF97" s="2400"/>
      <c r="AG97" s="2400"/>
      <c r="AH97" s="2400"/>
      <c r="AI97" s="2400"/>
      <c r="AJ97" s="2401"/>
      <c r="AK97" s="543"/>
      <c r="AL97" s="540"/>
      <c r="AM97" s="540"/>
      <c r="AN97" s="535"/>
    </row>
    <row r="98" spans="1:47" s="536" customFormat="1" ht="12.75" customHeight="1">
      <c r="A98" s="538"/>
      <c r="B98" s="539"/>
      <c r="C98" s="539"/>
      <c r="D98" s="539"/>
      <c r="E98" s="2418"/>
      <c r="F98" s="2419"/>
      <c r="G98" s="2419"/>
      <c r="H98" s="2419"/>
      <c r="I98" s="2419"/>
      <c r="J98" s="2419"/>
      <c r="K98" s="2419"/>
      <c r="L98" s="2419"/>
      <c r="M98" s="2419"/>
      <c r="N98" s="2419"/>
      <c r="O98" s="2419"/>
      <c r="P98" s="2419"/>
      <c r="Q98" s="2419"/>
      <c r="R98" s="2419"/>
      <c r="S98" s="2419"/>
      <c r="T98" s="2419"/>
      <c r="U98" s="2419"/>
      <c r="V98" s="2419"/>
      <c r="W98" s="2419"/>
      <c r="X98" s="2419"/>
      <c r="Y98" s="2419"/>
      <c r="Z98" s="2419"/>
      <c r="AA98" s="2419"/>
      <c r="AB98" s="2419"/>
      <c r="AC98" s="2419"/>
      <c r="AD98" s="2419"/>
      <c r="AE98" s="2419"/>
      <c r="AF98" s="2419"/>
      <c r="AG98" s="2419"/>
      <c r="AH98" s="2419"/>
      <c r="AI98" s="2419"/>
      <c r="AJ98" s="2420"/>
      <c r="AK98" s="543"/>
      <c r="AL98" s="540"/>
      <c r="AM98" s="540"/>
      <c r="AN98" s="535"/>
    </row>
    <row r="99" spans="1:47" s="536" customFormat="1" ht="12.75" customHeight="1">
      <c r="A99" s="538"/>
      <c r="B99" s="539"/>
      <c r="C99" s="539"/>
      <c r="D99" s="539"/>
      <c r="E99" s="2418"/>
      <c r="F99" s="2419"/>
      <c r="G99" s="2419"/>
      <c r="H99" s="2419"/>
      <c r="I99" s="2419"/>
      <c r="J99" s="2419"/>
      <c r="K99" s="2419"/>
      <c r="L99" s="2419"/>
      <c r="M99" s="2419"/>
      <c r="N99" s="2419"/>
      <c r="O99" s="2419"/>
      <c r="P99" s="2419"/>
      <c r="Q99" s="2419"/>
      <c r="R99" s="2419"/>
      <c r="S99" s="2419"/>
      <c r="T99" s="2419"/>
      <c r="U99" s="2419"/>
      <c r="V99" s="2419"/>
      <c r="W99" s="2419"/>
      <c r="X99" s="2419"/>
      <c r="Y99" s="2419"/>
      <c r="Z99" s="2419"/>
      <c r="AA99" s="2419"/>
      <c r="AB99" s="2419"/>
      <c r="AC99" s="2419"/>
      <c r="AD99" s="2419"/>
      <c r="AE99" s="2419"/>
      <c r="AF99" s="2419"/>
      <c r="AG99" s="2419"/>
      <c r="AH99" s="2419"/>
      <c r="AI99" s="2419"/>
      <c r="AJ99" s="2420"/>
      <c r="AK99" s="543"/>
      <c r="AL99" s="540"/>
      <c r="AM99" s="540"/>
      <c r="AN99" s="535"/>
    </row>
    <row r="100" spans="1:47" s="536" customFormat="1" ht="12.75" customHeight="1">
      <c r="A100" s="538"/>
      <c r="B100" s="539"/>
      <c r="C100" s="539"/>
      <c r="D100" s="539"/>
      <c r="E100" s="2418"/>
      <c r="F100" s="2419"/>
      <c r="G100" s="2419"/>
      <c r="H100" s="2419"/>
      <c r="I100" s="2419"/>
      <c r="J100" s="2419"/>
      <c r="K100" s="2419"/>
      <c r="L100" s="2419"/>
      <c r="M100" s="2419"/>
      <c r="N100" s="2419"/>
      <c r="O100" s="2419"/>
      <c r="P100" s="2419"/>
      <c r="Q100" s="2419"/>
      <c r="R100" s="2419"/>
      <c r="S100" s="2419"/>
      <c r="T100" s="2419"/>
      <c r="U100" s="2419"/>
      <c r="V100" s="2419"/>
      <c r="W100" s="2419"/>
      <c r="X100" s="2419"/>
      <c r="Y100" s="2419"/>
      <c r="Z100" s="2419"/>
      <c r="AA100" s="2419"/>
      <c r="AB100" s="2419"/>
      <c r="AC100" s="2419"/>
      <c r="AD100" s="2419"/>
      <c r="AE100" s="2419"/>
      <c r="AF100" s="2419"/>
      <c r="AG100" s="2419"/>
      <c r="AH100" s="2419"/>
      <c r="AI100" s="2419"/>
      <c r="AJ100" s="2420"/>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1">
        <f>Application!AC761</f>
        <v>0.59999999999999987</v>
      </c>
      <c r="F102" s="2412"/>
      <c r="G102" s="2412"/>
      <c r="H102" s="2412"/>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1">
        <f ca="1">SUMIF(Application!AC726:AG760,0.2,Application!G726:J760)/Application!G761+SUMIF(Application!AC726:AG760,0.25,Application!G726:J760)/Application!G761+SUMIF(Application!AC726:AG760,0.3,Application!G726:J760)/Application!G761</f>
        <v>0.17241379310344829</v>
      </c>
      <c r="F103" s="2412"/>
      <c r="G103" s="2412"/>
      <c r="H103" s="2412"/>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1">
        <f ca="1">SUMIF(Application!AC726:AG760,0.35,Application!G726:J760)/Application!G761+SUMIF(Application!AC726:AG760,0.4,Application!G726:J760)/Application!G761+SUMIF(Application!AC726:AG760,0.45,Application!G726:J760)/Application!G761+SUMIF(Application!AC726:AG760,0.5,Application!G726:J760)/Application!G761</f>
        <v>0.15517241379310345</v>
      </c>
      <c r="F104" s="2412"/>
      <c r="G104" s="2412"/>
      <c r="H104" s="2412"/>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6">
        <f ca="1">IF(AND(E102&lt;=0.6,OR(AND(E103&gt;=0.1,E104&gt;=0.1),AND(E103&gt;0.1,(E103+E104)&gt;=0.2))),20,0)</f>
        <v>20</v>
      </c>
      <c r="F105" s="2447"/>
      <c r="G105" s="2447"/>
      <c r="H105" s="2447"/>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28">
        <f ca="1">MAX(AP94,AP105)</f>
        <v>20</v>
      </c>
      <c r="AL108" s="2429"/>
      <c r="AM108" s="2430"/>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7" t="s">
        <v>1308</v>
      </c>
      <c r="AF111" s="2417"/>
      <c r="AG111" s="2417"/>
      <c r="AH111" s="2417"/>
      <c r="AI111" s="2417"/>
      <c r="AJ111" s="2417"/>
      <c r="AK111" s="2417"/>
      <c r="AL111" s="540"/>
      <c r="AM111" s="540"/>
      <c r="AN111" s="535"/>
      <c r="AO111" s="536" t="str">
        <f>Application!B726</f>
        <v>SRO/Studio</v>
      </c>
      <c r="AQ111" s="536">
        <f>Application!O726</f>
        <v>795</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1325</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1855</v>
      </c>
    </row>
    <row r="114" spans="1:52" s="536" customFormat="1" ht="12.75" customHeight="1">
      <c r="A114" s="540"/>
      <c r="B114" s="2389" t="s">
        <v>545</v>
      </c>
      <c r="C114" s="2389"/>
      <c r="D114" s="546" t="s">
        <v>1309</v>
      </c>
      <c r="E114" s="2399" t="s">
        <v>2553</v>
      </c>
      <c r="F114" s="2400"/>
      <c r="G114" s="2400"/>
      <c r="H114" s="2400"/>
      <c r="I114" s="2400"/>
      <c r="J114" s="2400"/>
      <c r="K114" s="2400"/>
      <c r="L114" s="2400"/>
      <c r="M114" s="2400"/>
      <c r="N114" s="2400"/>
      <c r="O114" s="2400"/>
      <c r="P114" s="2400"/>
      <c r="Q114" s="2400"/>
      <c r="R114" s="2400"/>
      <c r="S114" s="2400"/>
      <c r="T114" s="2400"/>
      <c r="U114" s="2400"/>
      <c r="V114" s="2400"/>
      <c r="W114" s="2400"/>
      <c r="X114" s="2400"/>
      <c r="Y114" s="2400"/>
      <c r="Z114" s="2400"/>
      <c r="AA114" s="2400"/>
      <c r="AB114" s="2400"/>
      <c r="AC114" s="2400"/>
      <c r="AD114" s="2400"/>
      <c r="AE114" s="2400"/>
      <c r="AF114" s="2400"/>
      <c r="AG114" s="2400"/>
      <c r="AH114" s="2400"/>
      <c r="AI114" s="2400"/>
      <c r="AJ114" s="2401"/>
      <c r="AK114" s="540"/>
      <c r="AL114" s="540"/>
      <c r="AM114" s="540"/>
      <c r="AN114" s="535"/>
      <c r="AO114" s="536">
        <f>Application!B729</f>
        <v>0</v>
      </c>
      <c r="AQ114" s="536">
        <f>Application!O729</f>
        <v>0</v>
      </c>
      <c r="AU114" s="536" t="s">
        <v>1816</v>
      </c>
      <c r="AV114" s="593" t="s">
        <v>1817</v>
      </c>
      <c r="AW114" s="536" t="s">
        <v>1818</v>
      </c>
    </row>
    <row r="115" spans="1:52" s="536" customFormat="1" ht="12.75" customHeight="1">
      <c r="A115" s="540"/>
      <c r="B115" s="539"/>
      <c r="C115" s="539"/>
      <c r="D115" s="539"/>
      <c r="E115" s="2418"/>
      <c r="F115" s="2419"/>
      <c r="G115" s="2419"/>
      <c r="H115" s="2419"/>
      <c r="I115" s="2419"/>
      <c r="J115" s="2419"/>
      <c r="K115" s="2419"/>
      <c r="L115" s="2419"/>
      <c r="M115" s="2419"/>
      <c r="N115" s="2419"/>
      <c r="O115" s="2419"/>
      <c r="P115" s="2419"/>
      <c r="Q115" s="2419"/>
      <c r="R115" s="2419"/>
      <c r="S115" s="2419"/>
      <c r="T115" s="2419"/>
      <c r="U115" s="2419"/>
      <c r="V115" s="2419"/>
      <c r="W115" s="2419"/>
      <c r="X115" s="2419"/>
      <c r="Y115" s="2419"/>
      <c r="Z115" s="2419"/>
      <c r="AA115" s="2419"/>
      <c r="AB115" s="2419"/>
      <c r="AC115" s="2419"/>
      <c r="AD115" s="2419"/>
      <c r="AE115" s="2419"/>
      <c r="AF115" s="2419"/>
      <c r="AG115" s="2419"/>
      <c r="AH115" s="2419"/>
      <c r="AI115" s="2419"/>
      <c r="AJ115" s="2420"/>
      <c r="AK115" s="540"/>
      <c r="AL115" s="540"/>
      <c r="AM115" s="540"/>
      <c r="AN115" s="535"/>
      <c r="AO115" s="536" t="str">
        <f>Application!B730</f>
        <v>1 Bedroom</v>
      </c>
      <c r="AQ115" s="536">
        <f>Application!O730</f>
        <v>852</v>
      </c>
      <c r="AU115" s="852" t="str">
        <f>E123</f>
        <v>Studio/SRO</v>
      </c>
      <c r="AV115" s="536">
        <f t="array" ref="AV115">SUM(IF(Application!B726:F760="SRO/Studio",Application!G726:J760))</f>
        <v>7</v>
      </c>
      <c r="AW115" s="1006">
        <f>AV115/AV121</f>
        <v>0.1206896551724138</v>
      </c>
    </row>
    <row r="116" spans="1:52" s="536" customFormat="1" ht="12.75" customHeight="1">
      <c r="A116" s="540"/>
      <c r="B116" s="539"/>
      <c r="C116" s="539"/>
      <c r="D116" s="539"/>
      <c r="E116" s="2418"/>
      <c r="F116" s="2419"/>
      <c r="G116" s="2419"/>
      <c r="H116" s="2419"/>
      <c r="I116" s="2419"/>
      <c r="J116" s="2419"/>
      <c r="K116" s="2419"/>
      <c r="L116" s="2419"/>
      <c r="M116" s="2419"/>
      <c r="N116" s="2419"/>
      <c r="O116" s="2419"/>
      <c r="P116" s="2419"/>
      <c r="Q116" s="2419"/>
      <c r="R116" s="2419"/>
      <c r="S116" s="2419"/>
      <c r="T116" s="2419"/>
      <c r="U116" s="2419"/>
      <c r="V116" s="2419"/>
      <c r="W116" s="2419"/>
      <c r="X116" s="2419"/>
      <c r="Y116" s="2419"/>
      <c r="Z116" s="2419"/>
      <c r="AA116" s="2419"/>
      <c r="AB116" s="2419"/>
      <c r="AC116" s="2419"/>
      <c r="AD116" s="2419"/>
      <c r="AE116" s="2419"/>
      <c r="AF116" s="2419"/>
      <c r="AG116" s="2419"/>
      <c r="AH116" s="2419"/>
      <c r="AI116" s="2419"/>
      <c r="AJ116" s="2420"/>
      <c r="AK116" s="540"/>
      <c r="AL116" s="540"/>
      <c r="AM116" s="540"/>
      <c r="AN116" s="535"/>
      <c r="AO116" s="536" t="str">
        <f>Application!B731</f>
        <v>1 Bedroom</v>
      </c>
      <c r="AQ116" s="536">
        <f>Application!O731</f>
        <v>1420</v>
      </c>
      <c r="AU116" s="852" t="str">
        <f>J123</f>
        <v>1-bedroom</v>
      </c>
      <c r="AV116" s="536">
        <f t="array" ref="AV116">SUM(IF(Application!B726:F760="1 Bedroom",Application!G726:J760))</f>
        <v>37</v>
      </c>
      <c r="AW116" s="1006">
        <f>AV116/AV121</f>
        <v>0.63793103448275867</v>
      </c>
    </row>
    <row r="117" spans="1:52" s="536" customFormat="1" ht="12.75" customHeight="1">
      <c r="A117" s="540"/>
      <c r="B117" s="539"/>
      <c r="C117" s="539"/>
      <c r="D117" s="539"/>
      <c r="E117" s="2418"/>
      <c r="F117" s="2419"/>
      <c r="G117" s="2419"/>
      <c r="H117" s="2419"/>
      <c r="I117" s="2419"/>
      <c r="J117" s="2419"/>
      <c r="K117" s="2419"/>
      <c r="L117" s="2419"/>
      <c r="M117" s="2419"/>
      <c r="N117" s="2419"/>
      <c r="O117" s="2419"/>
      <c r="P117" s="2419"/>
      <c r="Q117" s="2419"/>
      <c r="R117" s="2419"/>
      <c r="S117" s="2419"/>
      <c r="T117" s="2419"/>
      <c r="U117" s="2419"/>
      <c r="V117" s="2419"/>
      <c r="W117" s="2419"/>
      <c r="X117" s="2419"/>
      <c r="Y117" s="2419"/>
      <c r="Z117" s="2419"/>
      <c r="AA117" s="2419"/>
      <c r="AB117" s="2419"/>
      <c r="AC117" s="2419"/>
      <c r="AD117" s="2419"/>
      <c r="AE117" s="2419"/>
      <c r="AF117" s="2419"/>
      <c r="AG117" s="2419"/>
      <c r="AH117" s="2419"/>
      <c r="AI117" s="2419"/>
      <c r="AJ117" s="2420"/>
      <c r="AK117" s="540"/>
      <c r="AL117" s="540"/>
      <c r="AM117" s="540"/>
      <c r="AN117" s="535"/>
      <c r="AO117" s="536" t="str">
        <f>Application!B732</f>
        <v>1 Bedroom</v>
      </c>
      <c r="AQ117" s="536">
        <f>Application!O732</f>
        <v>1988</v>
      </c>
      <c r="AU117" s="852" t="str">
        <f>O123</f>
        <v>2-bedroom</v>
      </c>
      <c r="AV117" s="536">
        <f t="array" ref="AV117">SUM(IF(Application!B726:F760="2 Bedrooms",Application!G726:J760))</f>
        <v>7</v>
      </c>
      <c r="AW117" s="1006">
        <f>AV117/AV121</f>
        <v>0.1206896551724138</v>
      </c>
    </row>
    <row r="118" spans="1:52" s="536" customFormat="1" ht="12.75" customHeight="1">
      <c r="A118" s="540"/>
      <c r="B118" s="539"/>
      <c r="C118" s="539"/>
      <c r="D118" s="539"/>
      <c r="E118" s="2418"/>
      <c r="F118" s="2419"/>
      <c r="G118" s="2419"/>
      <c r="H118" s="2419"/>
      <c r="I118" s="2419"/>
      <c r="J118" s="2419"/>
      <c r="K118" s="2419"/>
      <c r="L118" s="2419"/>
      <c r="M118" s="2419"/>
      <c r="N118" s="2419"/>
      <c r="O118" s="2419"/>
      <c r="P118" s="2419"/>
      <c r="Q118" s="2419"/>
      <c r="R118" s="2419"/>
      <c r="S118" s="2419"/>
      <c r="T118" s="2419"/>
      <c r="U118" s="2419"/>
      <c r="V118" s="2419"/>
      <c r="W118" s="2419"/>
      <c r="X118" s="2419"/>
      <c r="Y118" s="2419"/>
      <c r="Z118" s="2419"/>
      <c r="AA118" s="2419"/>
      <c r="AB118" s="2419"/>
      <c r="AC118" s="2419"/>
      <c r="AD118" s="2419"/>
      <c r="AE118" s="2419"/>
      <c r="AF118" s="2419"/>
      <c r="AG118" s="2419"/>
      <c r="AH118" s="2419"/>
      <c r="AI118" s="2419"/>
      <c r="AJ118" s="2420"/>
      <c r="AK118" s="540"/>
      <c r="AL118" s="540"/>
      <c r="AM118" s="540"/>
      <c r="AN118" s="535"/>
      <c r="AO118" s="536">
        <f>Application!B733</f>
        <v>0</v>
      </c>
      <c r="AQ118" s="536">
        <f>Application!O733</f>
        <v>0</v>
      </c>
      <c r="AU118" s="852" t="str">
        <f>T123</f>
        <v>3-bedroom</v>
      </c>
      <c r="AV118" s="536">
        <f t="array" ref="AV118">SUM(IF(Application!B726:F760="3 Bedrooms",Application!G726:J760))</f>
        <v>7</v>
      </c>
      <c r="AW118" s="1006">
        <f>AV118/AV121</f>
        <v>0.1206896551724138</v>
      </c>
    </row>
    <row r="119" spans="1:52" s="536" customFormat="1" ht="12.75" customHeight="1">
      <c r="A119" s="540"/>
      <c r="B119" s="539"/>
      <c r="C119" s="539"/>
      <c r="D119" s="539"/>
      <c r="E119" s="2418"/>
      <c r="F119" s="2419"/>
      <c r="G119" s="2419"/>
      <c r="H119" s="2419"/>
      <c r="I119" s="2419"/>
      <c r="J119" s="2419"/>
      <c r="K119" s="2419"/>
      <c r="L119" s="2419"/>
      <c r="M119" s="2419"/>
      <c r="N119" s="2419"/>
      <c r="O119" s="2419"/>
      <c r="P119" s="2419"/>
      <c r="Q119" s="2419"/>
      <c r="R119" s="2419"/>
      <c r="S119" s="2419"/>
      <c r="T119" s="2419"/>
      <c r="U119" s="2419"/>
      <c r="V119" s="2419"/>
      <c r="W119" s="2419"/>
      <c r="X119" s="2419"/>
      <c r="Y119" s="2419"/>
      <c r="Z119" s="2419"/>
      <c r="AA119" s="2419"/>
      <c r="AB119" s="2419"/>
      <c r="AC119" s="2419"/>
      <c r="AD119" s="2419"/>
      <c r="AE119" s="2419"/>
      <c r="AF119" s="2419"/>
      <c r="AG119" s="2419"/>
      <c r="AH119" s="2419"/>
      <c r="AI119" s="2419"/>
      <c r="AJ119" s="2420"/>
      <c r="AK119" s="540"/>
      <c r="AL119" s="540"/>
      <c r="AM119" s="540"/>
      <c r="AN119" s="535"/>
      <c r="AO119" s="536" t="str">
        <f>Application!B734</f>
        <v>2 Bedrooms</v>
      </c>
      <c r="AQ119" s="536">
        <f>Application!O734</f>
        <v>1022</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8"/>
      <c r="F120" s="2419"/>
      <c r="G120" s="2419"/>
      <c r="H120" s="2419"/>
      <c r="I120" s="2419"/>
      <c r="J120" s="2419"/>
      <c r="K120" s="2419"/>
      <c r="L120" s="2419"/>
      <c r="M120" s="2419"/>
      <c r="N120" s="2419"/>
      <c r="O120" s="2419"/>
      <c r="P120" s="2419"/>
      <c r="Q120" s="2419"/>
      <c r="R120" s="2419"/>
      <c r="S120" s="2419"/>
      <c r="T120" s="2419"/>
      <c r="U120" s="2419"/>
      <c r="V120" s="2419"/>
      <c r="W120" s="2419"/>
      <c r="X120" s="2419"/>
      <c r="Y120" s="2419"/>
      <c r="Z120" s="2419"/>
      <c r="AA120" s="2419"/>
      <c r="AB120" s="2419"/>
      <c r="AC120" s="2419"/>
      <c r="AD120" s="2419"/>
      <c r="AE120" s="2419"/>
      <c r="AF120" s="2419"/>
      <c r="AG120" s="2419"/>
      <c r="AH120" s="2419"/>
      <c r="AI120" s="2419"/>
      <c r="AJ120" s="2420"/>
      <c r="AK120" s="540"/>
      <c r="AL120" s="540"/>
      <c r="AM120" s="540"/>
      <c r="AN120" s="535"/>
      <c r="AO120" s="536" t="str">
        <f>Application!B735</f>
        <v>2 Bedrooms</v>
      </c>
      <c r="AQ120" s="536">
        <f>Application!O735</f>
        <v>1703</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8"/>
      <c r="F121" s="2419"/>
      <c r="G121" s="2419"/>
      <c r="H121" s="2419"/>
      <c r="I121" s="2419"/>
      <c r="J121" s="2419"/>
      <c r="K121" s="2419"/>
      <c r="L121" s="2419"/>
      <c r="M121" s="2419"/>
      <c r="N121" s="2419"/>
      <c r="O121" s="2419"/>
      <c r="P121" s="2419"/>
      <c r="Q121" s="2419"/>
      <c r="R121" s="2419"/>
      <c r="S121" s="2419"/>
      <c r="T121" s="2419"/>
      <c r="U121" s="2419"/>
      <c r="V121" s="2419"/>
      <c r="W121" s="2419"/>
      <c r="X121" s="2419"/>
      <c r="Y121" s="2419"/>
      <c r="Z121" s="2419"/>
      <c r="AA121" s="2419"/>
      <c r="AB121" s="2419"/>
      <c r="AC121" s="2419"/>
      <c r="AD121" s="2419"/>
      <c r="AE121" s="2419"/>
      <c r="AF121" s="2419"/>
      <c r="AG121" s="2419"/>
      <c r="AH121" s="2419"/>
      <c r="AI121" s="2419"/>
      <c r="AJ121" s="2420"/>
      <c r="AK121" s="540"/>
      <c r="AL121" s="540"/>
      <c r="AM121" s="540"/>
      <c r="AN121" s="535"/>
      <c r="AO121" s="536" t="str">
        <f>Application!B736</f>
        <v>2 Bedrooms</v>
      </c>
      <c r="AQ121" s="536">
        <f>Application!O736</f>
        <v>2385</v>
      </c>
      <c r="AV121" s="536">
        <f>SUM(AV115:AV120)</f>
        <v>58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1" t="s">
        <v>1577</v>
      </c>
      <c r="F123" s="2412"/>
      <c r="G123" s="2412"/>
      <c r="H123" s="2412"/>
      <c r="I123" s="575"/>
      <c r="J123" s="2412" t="s">
        <v>1620</v>
      </c>
      <c r="K123" s="2412"/>
      <c r="L123" s="2412"/>
      <c r="M123" s="2412"/>
      <c r="N123" s="575"/>
      <c r="O123" s="2412" t="s">
        <v>1621</v>
      </c>
      <c r="P123" s="2412"/>
      <c r="Q123" s="2412"/>
      <c r="R123" s="2412"/>
      <c r="S123" s="575"/>
      <c r="T123" s="2412" t="s">
        <v>1328</v>
      </c>
      <c r="U123" s="2412"/>
      <c r="V123" s="2412"/>
      <c r="W123" s="2412"/>
      <c r="X123" s="575"/>
      <c r="Y123" s="2412" t="s">
        <v>1622</v>
      </c>
      <c r="Z123" s="2412"/>
      <c r="AA123" s="2412"/>
      <c r="AB123" s="2412"/>
      <c r="AC123" s="575"/>
      <c r="AD123" s="2412" t="s">
        <v>1623</v>
      </c>
      <c r="AE123" s="2412"/>
      <c r="AF123" s="2412"/>
      <c r="AG123" s="2412"/>
      <c r="AH123" s="575"/>
      <c r="AI123" s="575"/>
      <c r="AJ123" s="577"/>
      <c r="AK123" s="540"/>
      <c r="AL123" s="540"/>
      <c r="AM123" s="540"/>
      <c r="AN123" s="535"/>
      <c r="AO123" s="536" t="str">
        <f>Application!B738</f>
        <v>3 Bedrooms</v>
      </c>
      <c r="AQ123" s="536">
        <f>Application!O738</f>
        <v>1181.4000000000001</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3 Bedrooms</v>
      </c>
      <c r="AQ124" s="536">
        <f>Application!O739</f>
        <v>1969</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3 Bedrooms</v>
      </c>
      <c r="AQ125" s="536">
        <f>Application!O740</f>
        <v>2756.6</v>
      </c>
    </row>
    <row r="126" spans="1:52" s="536" customFormat="1" ht="12.75" customHeight="1">
      <c r="A126" s="540"/>
      <c r="B126" s="539"/>
      <c r="C126" s="540"/>
      <c r="D126" s="540"/>
      <c r="E126" s="2448">
        <v>2111</v>
      </c>
      <c r="F126" s="2449"/>
      <c r="G126" s="2449"/>
      <c r="H126" s="2449"/>
      <c r="I126" s="860"/>
      <c r="J126" s="2449">
        <v>2500</v>
      </c>
      <c r="K126" s="2449"/>
      <c r="L126" s="2449"/>
      <c r="M126" s="2449"/>
      <c r="N126" s="860"/>
      <c r="O126" s="2449">
        <v>3853</v>
      </c>
      <c r="P126" s="2449"/>
      <c r="Q126" s="2449"/>
      <c r="R126" s="2449"/>
      <c r="S126" s="860"/>
      <c r="T126" s="2449">
        <v>5527</v>
      </c>
      <c r="U126" s="2449"/>
      <c r="V126" s="2449"/>
      <c r="W126" s="2449"/>
      <c r="X126" s="860"/>
      <c r="Y126" s="2449"/>
      <c r="Z126" s="2449"/>
      <c r="AA126" s="2449"/>
      <c r="AB126" s="2449"/>
      <c r="AC126" s="860"/>
      <c r="AD126" s="2449"/>
      <c r="AE126" s="2449"/>
      <c r="AF126" s="2449"/>
      <c r="AG126" s="2449"/>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2">
        <f>Application!DX678</f>
        <v>1325</v>
      </c>
      <c r="F129" s="2423"/>
      <c r="G129" s="2423"/>
      <c r="H129" s="2423"/>
      <c r="I129" s="860"/>
      <c r="J129" s="2423">
        <f>Application!EC678</f>
        <v>1742.3783783783786</v>
      </c>
      <c r="K129" s="2423"/>
      <c r="L129" s="2423"/>
      <c r="M129" s="2423"/>
      <c r="N129" s="860"/>
      <c r="O129" s="2423">
        <f>Application!EH678</f>
        <v>2092.8571428571431</v>
      </c>
      <c r="P129" s="2423"/>
      <c r="Q129" s="2423"/>
      <c r="R129" s="2423"/>
      <c r="S129" s="864"/>
      <c r="T129" s="2423">
        <f>Application!EM678</f>
        <v>2419.0571428571429</v>
      </c>
      <c r="U129" s="2423"/>
      <c r="V129" s="2423"/>
      <c r="W129" s="2423"/>
      <c r="X129" s="864"/>
      <c r="Y129" s="2423">
        <f>Application!ER678</f>
        <v>0</v>
      </c>
      <c r="Z129" s="2423"/>
      <c r="AA129" s="2423"/>
      <c r="AB129" s="2423"/>
      <c r="AC129" s="864"/>
      <c r="AD129" s="2423">
        <f>Application!EW678</f>
        <v>0</v>
      </c>
      <c r="AE129" s="2423"/>
      <c r="AF129" s="2423"/>
      <c r="AG129" s="242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1">
        <f>(E126-E129)/E126</f>
        <v>0.37233538607295119</v>
      </c>
      <c r="F132" s="2414"/>
      <c r="G132" s="2414"/>
      <c r="H132" s="2622"/>
      <c r="I132" s="575"/>
      <c r="J132" s="2621">
        <f>(J126-J129)/J126</f>
        <v>0.30304864864864856</v>
      </c>
      <c r="K132" s="2414"/>
      <c r="L132" s="2414"/>
      <c r="M132" s="2622"/>
      <c r="N132" s="575"/>
      <c r="O132" s="2621">
        <f>(O126-O129)/O126</f>
        <v>0.45682399614400648</v>
      </c>
      <c r="P132" s="2414"/>
      <c r="Q132" s="2414"/>
      <c r="R132" s="2622"/>
      <c r="S132" s="575"/>
      <c r="T132" s="2621">
        <f>(T126-T129)/T126</f>
        <v>0.56232003928765284</v>
      </c>
      <c r="U132" s="2414"/>
      <c r="V132" s="2414"/>
      <c r="W132" s="2622"/>
      <c r="X132" s="575"/>
      <c r="Y132" s="2621" t="e">
        <f>(Y126-Y129)/Y126</f>
        <v>#DIV/0!</v>
      </c>
      <c r="Z132" s="2414"/>
      <c r="AA132" s="2414"/>
      <c r="AB132" s="2622"/>
      <c r="AC132" s="575"/>
      <c r="AD132" s="2621" t="e">
        <f>(AD126-AD129)/AD126</f>
        <v>#DIV/0!</v>
      </c>
      <c r="AE132" s="2414"/>
      <c r="AF132" s="2414"/>
      <c r="AG132" s="2622"/>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7">
        <f>IF(((E132-0.1)*AW115)&gt;0,((E132-0.1)*AW115),0)</f>
        <v>3.2868063836390661E-2</v>
      </c>
      <c r="F135" s="2438"/>
      <c r="G135" s="2438"/>
      <c r="H135" s="2439"/>
      <c r="I135" s="575"/>
      <c r="J135" s="2437">
        <f>IF(((J132-0.1)*AW116)&gt;0,((J132-0.1)*AW116),0)</f>
        <v>0.12953103448275857</v>
      </c>
      <c r="K135" s="2438"/>
      <c r="L135" s="2438"/>
      <c r="M135" s="2439"/>
      <c r="N135" s="575"/>
      <c r="O135" s="2437">
        <f>IF(((O132-0.1)*AW117)&gt;0,((O132-0.1)*AW117),0)</f>
        <v>4.3064965051862858E-2</v>
      </c>
      <c r="P135" s="2438"/>
      <c r="Q135" s="2438"/>
      <c r="R135" s="2439"/>
      <c r="S135" s="575"/>
      <c r="T135" s="2437">
        <f>IF(((T132-0.1)*AW118)&gt;0,((T132-0.1)*AW118),0)</f>
        <v>5.5797246120923627E-2</v>
      </c>
      <c r="U135" s="2438"/>
      <c r="V135" s="2438"/>
      <c r="W135" s="2439"/>
      <c r="X135" s="575"/>
      <c r="Y135" s="2437" t="e">
        <f>IF(((Y132-0.1)*AW119)&gt;0,((Y132-0.1)*AW119),0)</f>
        <v>#DIV/0!</v>
      </c>
      <c r="Z135" s="2438"/>
      <c r="AA135" s="2438"/>
      <c r="AB135" s="2439"/>
      <c r="AC135" s="575"/>
      <c r="AD135" s="2437" t="e">
        <f>IF(((AD132-0.1)*AW120)&gt;0,((AD132-0.1)*AW120),0)</f>
        <v>#DIV/0!</v>
      </c>
      <c r="AE135" s="2438"/>
      <c r="AF135" s="2438"/>
      <c r="AG135" s="2439"/>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1">
        <f>ROUNDDOWN(SUMIF(E135:AG135,"&gt;0"),2)</f>
        <v>0.26</v>
      </c>
      <c r="F137" s="2414"/>
      <c r="G137" s="2414"/>
      <c r="H137" s="2622"/>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8">
        <f>IF((E137*100)&gt;10,10,E137*100)</f>
        <v>10</v>
      </c>
      <c r="F138" s="2429"/>
      <c r="G138" s="2429"/>
      <c r="H138" s="2430"/>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28">
        <f>E138</f>
        <v>10</v>
      </c>
      <c r="AL142" s="2429"/>
      <c r="AM142" s="2430"/>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17" t="s">
        <v>1308</v>
      </c>
      <c r="AF145" s="2417"/>
      <c r="AG145" s="2417"/>
      <c r="AH145" s="2417"/>
      <c r="AI145" s="2417"/>
      <c r="AJ145" s="2417"/>
      <c r="AK145" s="2417"/>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0" t="s">
        <v>1332</v>
      </c>
      <c r="AG147" s="2450"/>
      <c r="AH147" s="2450"/>
      <c r="AI147" s="2450"/>
      <c r="AJ147" s="2450"/>
      <c r="AK147" s="2450"/>
      <c r="AL147" s="2450"/>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0" t="s">
        <v>2754</v>
      </c>
      <c r="C149" s="2460"/>
      <c r="D149" s="2460"/>
      <c r="E149" s="2460"/>
      <c r="F149" s="2460"/>
      <c r="G149" s="2460"/>
      <c r="H149" s="2460"/>
      <c r="I149" s="2460"/>
      <c r="J149" s="2460"/>
      <c r="K149" s="2460"/>
      <c r="L149" s="2460"/>
      <c r="M149" s="2460"/>
      <c r="N149" s="2460"/>
      <c r="O149" s="2460"/>
      <c r="P149" s="2460"/>
      <c r="Q149" s="2460"/>
      <c r="R149" s="2460"/>
      <c r="S149" s="2460"/>
      <c r="T149" s="2460"/>
      <c r="U149" s="2460"/>
      <c r="V149" s="2460"/>
      <c r="W149" s="2460"/>
      <c r="X149" s="2460"/>
      <c r="Y149" s="2460"/>
      <c r="Z149" s="2460"/>
      <c r="AA149" s="2460"/>
      <c r="AB149" s="2460"/>
      <c r="AC149" s="2460"/>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61" t="s">
        <v>2612</v>
      </c>
      <c r="C152" s="2461"/>
      <c r="D152" s="2461"/>
      <c r="E152" s="2461"/>
      <c r="F152" s="2461"/>
      <c r="G152" s="2461"/>
      <c r="H152" s="2461"/>
      <c r="I152" s="2461"/>
      <c r="J152" s="2461"/>
      <c r="K152" s="2461"/>
      <c r="L152" s="2461"/>
      <c r="M152" s="2461"/>
      <c r="N152" s="2461"/>
      <c r="O152" s="2461"/>
      <c r="P152" s="2461"/>
      <c r="Q152" s="2461"/>
      <c r="R152" s="2461"/>
      <c r="S152" s="2461"/>
      <c r="T152" s="2461"/>
      <c r="U152" s="2461"/>
      <c r="V152" s="2461"/>
      <c r="W152" s="2461"/>
      <c r="X152" s="2461"/>
      <c r="Y152" s="2461"/>
      <c r="Z152" s="2461"/>
      <c r="AA152" s="2461"/>
      <c r="AB152" s="2461"/>
      <c r="AC152" s="2461"/>
      <c r="AD152" s="2461"/>
      <c r="AE152" s="2461"/>
      <c r="AF152" s="2461"/>
      <c r="AG152" s="2461"/>
      <c r="AH152" s="2461"/>
      <c r="AI152" s="2461"/>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2612</v>
      </c>
      <c r="AP153" s="489">
        <v>7</v>
      </c>
    </row>
    <row r="154" spans="1:42" s="536" customFormat="1" ht="12.75" customHeight="1">
      <c r="A154" s="538"/>
      <c r="B154" s="539" t="s">
        <v>1336</v>
      </c>
      <c r="AB154" s="2462" t="s">
        <v>591</v>
      </c>
      <c r="AC154" s="2462"/>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61" t="s">
        <v>1337</v>
      </c>
      <c r="C157" s="2461"/>
      <c r="D157" s="2461"/>
      <c r="E157" s="2461"/>
      <c r="F157" s="2461"/>
      <c r="G157" s="2461"/>
      <c r="H157" s="2461"/>
      <c r="I157" s="2461"/>
      <c r="J157" s="2461"/>
      <c r="K157" s="2461"/>
      <c r="L157" s="2461"/>
      <c r="M157" s="2461"/>
      <c r="N157" s="2461"/>
      <c r="O157" s="2461"/>
      <c r="P157" s="2461"/>
      <c r="Q157" s="2461"/>
      <c r="R157" s="2461"/>
      <c r="S157" s="2461"/>
      <c r="T157" s="2461"/>
      <c r="U157" s="2461"/>
      <c r="V157" s="2461"/>
      <c r="W157" s="2461"/>
      <c r="X157" s="2461"/>
      <c r="Y157" s="2461"/>
      <c r="Z157" s="2461"/>
      <c r="AA157" s="2461"/>
      <c r="AB157" s="2461"/>
      <c r="AC157" s="2461"/>
      <c r="AD157" s="2461"/>
      <c r="AE157" s="2461"/>
      <c r="AF157" s="2461"/>
      <c r="AG157" s="2461"/>
      <c r="AH157" s="2461"/>
      <c r="AI157" s="2461"/>
      <c r="AJ157" s="2461"/>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6" t="s">
        <v>2396</v>
      </c>
      <c r="C160" s="2626"/>
      <c r="D160" s="2626"/>
      <c r="E160" s="2626"/>
      <c r="F160" s="2626"/>
      <c r="G160" s="2626"/>
      <c r="H160" s="2626"/>
      <c r="I160" s="2626"/>
      <c r="J160" s="2626"/>
      <c r="K160" s="2626"/>
      <c r="L160" s="2626"/>
      <c r="M160" s="2626"/>
      <c r="N160" s="2626"/>
      <c r="O160" s="2626"/>
      <c r="P160" s="2626"/>
      <c r="Q160" s="2626"/>
      <c r="R160" s="2626"/>
      <c r="S160" s="2626"/>
      <c r="T160" s="2626"/>
      <c r="U160" s="2626"/>
      <c r="V160" s="2626"/>
      <c r="W160" s="2626"/>
      <c r="X160" s="2626"/>
      <c r="Y160" s="2626"/>
      <c r="Z160" s="2626"/>
      <c r="AA160" s="2626"/>
      <c r="AB160" s="2626"/>
      <c r="AC160" s="2626"/>
      <c r="AD160" s="2626"/>
      <c r="AE160" s="2626"/>
      <c r="AF160" s="2626"/>
      <c r="AG160" s="2626"/>
      <c r="AH160" s="2626"/>
      <c r="AI160" s="2626"/>
      <c r="AJ160" s="2626"/>
      <c r="AK160" s="1173"/>
      <c r="AM160" s="539"/>
      <c r="AN160" s="535"/>
      <c r="AO160" s="476"/>
      <c r="AP160" s="489"/>
    </row>
    <row r="161" spans="1:42" s="536" customFormat="1" ht="12.75" customHeight="1">
      <c r="B161" s="2626"/>
      <c r="C161" s="2626"/>
      <c r="D161" s="2626"/>
      <c r="E161" s="2626"/>
      <c r="F161" s="2626"/>
      <c r="G161" s="2626"/>
      <c r="H161" s="2626"/>
      <c r="I161" s="2626"/>
      <c r="J161" s="2626"/>
      <c r="K161" s="2626"/>
      <c r="L161" s="2626"/>
      <c r="M161" s="2626"/>
      <c r="N161" s="2626"/>
      <c r="O161" s="2626"/>
      <c r="P161" s="2626"/>
      <c r="Q161" s="2626"/>
      <c r="R161" s="2626"/>
      <c r="S161" s="2626"/>
      <c r="T161" s="2626"/>
      <c r="U161" s="2626"/>
      <c r="V161" s="2626"/>
      <c r="W161" s="2626"/>
      <c r="X161" s="2626"/>
      <c r="Y161" s="2626"/>
      <c r="Z161" s="2626"/>
      <c r="AA161" s="2626"/>
      <c r="AB161" s="2626"/>
      <c r="AC161" s="2626"/>
      <c r="AD161" s="2626"/>
      <c r="AE161" s="2626"/>
      <c r="AF161" s="2626"/>
      <c r="AG161" s="2626"/>
      <c r="AH161" s="2626"/>
      <c r="AI161" s="2626"/>
      <c r="AJ161" s="2626"/>
      <c r="AK161" s="1173"/>
      <c r="AM161" s="539"/>
      <c r="AN161" s="535"/>
      <c r="AO161" s="476"/>
      <c r="AP161" s="489"/>
    </row>
    <row r="162" spans="1:42" s="536" customFormat="1" ht="12.75" customHeight="1">
      <c r="C162" s="2537" t="s">
        <v>2397</v>
      </c>
      <c r="D162" s="2537"/>
      <c r="E162" s="2537"/>
      <c r="F162" s="2537"/>
      <c r="G162" s="2537"/>
      <c r="H162" s="2537"/>
      <c r="I162" s="2537"/>
      <c r="J162" s="2537"/>
      <c r="K162" s="2537"/>
      <c r="L162" s="2537"/>
      <c r="M162" s="2537"/>
      <c r="N162" s="2537"/>
      <c r="O162" s="2537"/>
      <c r="P162" s="2537"/>
      <c r="Q162" s="2537"/>
      <c r="R162" s="2537"/>
      <c r="S162" s="2537"/>
      <c r="T162" s="2537"/>
      <c r="U162" s="2537"/>
      <c r="V162" s="2537"/>
      <c r="W162" s="2537"/>
      <c r="X162" s="2537"/>
      <c r="Y162" s="2537"/>
      <c r="Z162" s="2537"/>
      <c r="AA162" s="2537"/>
      <c r="AB162" s="2537"/>
      <c r="AC162" s="2537"/>
      <c r="AD162" s="2537"/>
      <c r="AE162" s="2537"/>
      <c r="AF162" s="2537"/>
      <c r="AG162" s="2537"/>
      <c r="AH162" s="2537"/>
      <c r="AI162" s="2537"/>
      <c r="AJ162" s="2537"/>
      <c r="AK162" s="1173"/>
      <c r="AM162" s="539"/>
      <c r="AN162" s="535"/>
      <c r="AO162" s="476"/>
      <c r="AP162" s="489"/>
    </row>
    <row r="163" spans="1:42" s="536" customFormat="1" ht="12.75" customHeight="1">
      <c r="B163" s="1173"/>
      <c r="C163" s="2459" t="s">
        <v>2395</v>
      </c>
      <c r="D163" s="2459"/>
      <c r="E163" s="2459"/>
      <c r="F163" s="2459"/>
      <c r="G163" s="2459"/>
      <c r="H163" s="2459"/>
      <c r="I163" s="2459"/>
      <c r="J163" s="2459"/>
      <c r="K163" s="2459"/>
      <c r="L163" s="2459"/>
      <c r="M163" s="2459"/>
      <c r="N163" s="2459"/>
      <c r="O163" s="2459"/>
      <c r="P163" s="2459"/>
      <c r="Q163" s="2459"/>
      <c r="R163" s="2459"/>
      <c r="S163" s="2459"/>
      <c r="T163" s="2459"/>
      <c r="U163" s="2459"/>
      <c r="V163" s="2459"/>
      <c r="W163" s="2459"/>
      <c r="X163" s="2459"/>
      <c r="Y163" s="2459"/>
      <c r="Z163" s="2459"/>
      <c r="AA163" s="1163"/>
      <c r="AB163" s="1163"/>
      <c r="AC163" s="1163"/>
      <c r="AD163" s="1163"/>
      <c r="AE163" s="1163"/>
      <c r="AF163" s="1163"/>
      <c r="AG163" s="1163"/>
      <c r="AH163" s="1163"/>
      <c r="AJ163" s="2462" t="s">
        <v>545</v>
      </c>
      <c r="AK163" s="2462"/>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65">
        <f>IF($AB$154="N/A",VLOOKUP($B$152,$AO$150:$AP$153,2,FALSE),VLOOKUP($B$157,$AO$155:$AP$157,2,FALSE))</f>
        <v>7</v>
      </c>
      <c r="AK165" s="2465"/>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0" t="s">
        <v>1346</v>
      </c>
      <c r="AG167" s="2450"/>
      <c r="AH167" s="2450"/>
      <c r="AI167" s="2450"/>
      <c r="AJ167" s="2450"/>
      <c r="AK167" s="2450"/>
      <c r="AL167" s="2450"/>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1" t="s">
        <v>1344</v>
      </c>
      <c r="D169" s="2461"/>
      <c r="E169" s="2461"/>
      <c r="F169" s="2461"/>
      <c r="G169" s="2461"/>
      <c r="H169" s="2461"/>
      <c r="I169" s="2461"/>
      <c r="J169" s="2461"/>
      <c r="K169" s="2461"/>
      <c r="L169" s="2461"/>
      <c r="M169" s="2461"/>
      <c r="N169" s="2461"/>
      <c r="O169" s="2461"/>
      <c r="P169" s="2461"/>
      <c r="Q169" s="2461"/>
      <c r="R169" s="2461"/>
      <c r="S169" s="2461"/>
      <c r="T169" s="2461"/>
      <c r="U169" s="2461"/>
      <c r="V169" s="2461"/>
      <c r="W169" s="2461"/>
      <c r="X169" s="2461"/>
      <c r="Y169" s="2461"/>
      <c r="Z169" s="2461"/>
      <c r="AA169" s="2461"/>
      <c r="AB169" s="2461"/>
      <c r="AC169" s="2461"/>
      <c r="AD169" s="2461"/>
      <c r="AE169" s="2461"/>
      <c r="AF169" s="2461"/>
      <c r="AG169" s="2461"/>
      <c r="AH169" s="2461"/>
      <c r="AI169" s="2461"/>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2" t="s">
        <v>591</v>
      </c>
      <c r="AG171" s="2462"/>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61" t="s">
        <v>1337</v>
      </c>
      <c r="D173" s="2461"/>
      <c r="E173" s="2461"/>
      <c r="F173" s="2461"/>
      <c r="G173" s="2461"/>
      <c r="H173" s="2461"/>
      <c r="I173" s="2461"/>
      <c r="J173" s="2461"/>
      <c r="K173" s="2461"/>
      <c r="L173" s="2461"/>
      <c r="M173" s="2461"/>
      <c r="N173" s="2461"/>
      <c r="O173" s="2461"/>
      <c r="P173" s="2461"/>
      <c r="Q173" s="2461"/>
      <c r="R173" s="2461"/>
      <c r="S173" s="2461"/>
      <c r="T173" s="2461"/>
      <c r="U173" s="2461"/>
      <c r="V173" s="2461"/>
      <c r="W173" s="2461"/>
      <c r="X173" s="2461"/>
      <c r="Y173" s="2461"/>
      <c r="Z173" s="2461"/>
      <c r="AA173" s="2461"/>
      <c r="AB173" s="2461"/>
      <c r="AC173" s="2461"/>
      <c r="AD173" s="2461"/>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63" t="str">
        <f>Application!AA344</f>
        <v>Aperto Property Management, Inc.</v>
      </c>
      <c r="D177" s="2463"/>
      <c r="E177" s="2463"/>
      <c r="F177" s="2463"/>
      <c r="G177" s="2463"/>
      <c r="H177" s="2463"/>
      <c r="I177" s="2463"/>
      <c r="J177" s="2463"/>
      <c r="K177" s="2463"/>
      <c r="L177" s="2463"/>
      <c r="M177" s="2463"/>
      <c r="N177" s="2463"/>
      <c r="O177" s="2463"/>
      <c r="P177" s="2463"/>
      <c r="Q177" s="2463"/>
      <c r="R177" s="2463"/>
      <c r="S177" s="2463"/>
      <c r="T177" s="2463"/>
      <c r="U177" s="2463"/>
      <c r="V177" s="2463"/>
      <c r="W177" s="2463"/>
      <c r="X177" s="2463"/>
      <c r="Y177" s="2463"/>
      <c r="Z177" s="2463"/>
      <c r="AA177" s="2463"/>
      <c r="AB177" s="2463"/>
      <c r="AC177" s="2463"/>
      <c r="AD177" s="2463"/>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4">
        <f>IF($AF$171="N/A",VLOOKUP($C$169,$AO$169:$AP$172,2,FALSE),VLOOKUP($C$173,$AO$176:$AP$178,2,FALSE))</f>
        <v>3</v>
      </c>
      <c r="AK179" s="2464"/>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28">
        <f>$AJ$165+$AJ$179</f>
        <v>10</v>
      </c>
      <c r="AL182" s="2429"/>
      <c r="AM182" s="2430"/>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7" t="s">
        <v>1308</v>
      </c>
      <c r="AF185" s="2417"/>
      <c r="AG185" s="2417"/>
      <c r="AH185" s="2417"/>
      <c r="AI185" s="2417"/>
      <c r="AJ185" s="2417"/>
      <c r="AK185" s="2417"/>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58" t="s">
        <v>2613</v>
      </c>
      <c r="C187" s="2458"/>
      <c r="D187" s="2458"/>
      <c r="E187" s="2458"/>
      <c r="F187" s="2458"/>
      <c r="G187" s="2458"/>
      <c r="H187" s="2458"/>
      <c r="I187" s="2458"/>
      <c r="J187" s="2458"/>
      <c r="K187" s="2458"/>
      <c r="L187" s="2458"/>
      <c r="M187" s="2458"/>
      <c r="N187" s="2458"/>
      <c r="O187" s="2458"/>
      <c r="P187" s="2458"/>
      <c r="Q187" s="2458"/>
      <c r="R187" s="2458"/>
      <c r="S187" s="2458"/>
      <c r="T187" s="2458"/>
      <c r="U187" s="2458"/>
      <c r="V187" s="2458"/>
      <c r="W187" s="2458"/>
      <c r="X187" s="2458"/>
      <c r="Y187" s="2458"/>
      <c r="Z187" s="2458"/>
      <c r="AA187" s="2458"/>
      <c r="AB187" s="2458"/>
      <c r="AC187" s="2458"/>
      <c r="AD187" s="536"/>
      <c r="AE187" s="536"/>
      <c r="AF187" s="2450" t="s">
        <v>1357</v>
      </c>
      <c r="AG187" s="2450"/>
      <c r="AH187" s="2450"/>
      <c r="AI187" s="2450"/>
      <c r="AJ187" s="2450"/>
      <c r="AK187" s="2450"/>
      <c r="AL187" s="2450"/>
      <c r="AN187" s="595"/>
      <c r="AP187" s="549" t="s">
        <v>1043</v>
      </c>
      <c r="AQ187" s="549">
        <v>10</v>
      </c>
    </row>
    <row r="188" spans="1:73" s="549" customFormat="1" ht="12.75" customHeight="1">
      <c r="A188" s="536"/>
      <c r="B188" s="2459" t="s">
        <v>1715</v>
      </c>
      <c r="C188" s="2459"/>
      <c r="D188" s="2459"/>
      <c r="E188" s="2459"/>
      <c r="F188" s="2459"/>
      <c r="G188" s="2459"/>
      <c r="H188" s="2459"/>
      <c r="I188" s="2459"/>
      <c r="J188" s="2459"/>
      <c r="K188" s="2459"/>
      <c r="L188" s="2459"/>
      <c r="M188" s="2459"/>
      <c r="N188" s="2459"/>
      <c r="O188" s="2459"/>
      <c r="P188" s="2459"/>
      <c r="Q188" s="2459"/>
      <c r="R188" s="2459"/>
      <c r="S188" s="2459"/>
      <c r="T188" s="2460" t="s">
        <v>591</v>
      </c>
      <c r="U188" s="2460"/>
      <c r="V188" s="2460"/>
      <c r="W188" s="2460"/>
      <c r="X188" s="2460"/>
      <c r="Y188" s="2460"/>
      <c r="Z188" s="2460"/>
      <c r="AA188" s="2460"/>
      <c r="AB188" s="2460"/>
      <c r="AC188" s="2460"/>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2613</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75">
        <f>IF(AK83&gt;0,VLOOKUP($B$187,AP184:AQ190,2,FALSE),0)</f>
        <v>10</v>
      </c>
      <c r="AL190" s="2476"/>
      <c r="AM190" s="2477"/>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7" t="s">
        <v>1365</v>
      </c>
      <c r="AF193" s="2417"/>
      <c r="AG193" s="2417"/>
      <c r="AH193" s="2417"/>
      <c r="AI193" s="2417"/>
      <c r="AJ193" s="2417"/>
      <c r="AK193" s="2417"/>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2"/>
      <c r="C198" s="2452"/>
      <c r="D198" s="2452"/>
      <c r="E198" s="2452"/>
      <c r="F198" s="2452"/>
      <c r="G198" s="2452"/>
      <c r="H198" s="2452"/>
      <c r="I198" s="2452"/>
      <c r="J198" s="2452"/>
      <c r="K198" s="2452"/>
      <c r="L198" s="2452"/>
      <c r="M198" s="2452"/>
      <c r="N198" s="2452"/>
      <c r="O198" s="2452"/>
      <c r="P198" s="2452"/>
      <c r="Q198" s="2452"/>
      <c r="R198" s="2452"/>
      <c r="S198" s="2452"/>
      <c r="T198" s="2452"/>
      <c r="U198" s="2452"/>
      <c r="V198" s="2452"/>
      <c r="W198" s="2452"/>
      <c r="X198" s="2452"/>
      <c r="Y198" s="2452"/>
      <c r="Z198" s="2452"/>
      <c r="AA198" s="2452"/>
      <c r="AB198" s="2452"/>
      <c r="AC198" s="842"/>
      <c r="AD198" s="2453"/>
      <c r="AE198" s="2453"/>
      <c r="AF198" s="2453"/>
      <c r="AG198" s="2453"/>
      <c r="AH198" s="2453"/>
      <c r="AI198" s="2453"/>
      <c r="AJ198" s="2453"/>
      <c r="AK198" s="608"/>
    </row>
    <row r="199" spans="1:37" hidden="1">
      <c r="A199" s="603"/>
      <c r="B199" s="2452"/>
      <c r="C199" s="2452"/>
      <c r="D199" s="2452"/>
      <c r="E199" s="2452"/>
      <c r="F199" s="2452"/>
      <c r="G199" s="2452"/>
      <c r="H199" s="2452"/>
      <c r="I199" s="2452"/>
      <c r="J199" s="2452"/>
      <c r="K199" s="2452"/>
      <c r="L199" s="2452"/>
      <c r="M199" s="2452"/>
      <c r="N199" s="2452"/>
      <c r="O199" s="2452"/>
      <c r="P199" s="2452"/>
      <c r="Q199" s="2452"/>
      <c r="R199" s="2452"/>
      <c r="S199" s="2452"/>
      <c r="T199" s="2452"/>
      <c r="U199" s="2452"/>
      <c r="V199" s="2452"/>
      <c r="W199" s="2452"/>
      <c r="X199" s="2452"/>
      <c r="Y199" s="2452"/>
      <c r="Z199" s="2452"/>
      <c r="AA199" s="2452"/>
      <c r="AB199" s="2452"/>
      <c r="AC199" s="842"/>
      <c r="AD199" s="2453"/>
      <c r="AE199" s="2453"/>
      <c r="AF199" s="2453"/>
      <c r="AG199" s="2453"/>
      <c r="AH199" s="2453"/>
      <c r="AI199" s="2453"/>
      <c r="AJ199" s="2453"/>
      <c r="AK199" s="608"/>
    </row>
    <row r="200" spans="1:37" hidden="1">
      <c r="A200" s="603"/>
      <c r="B200" s="2452"/>
      <c r="C200" s="2452"/>
      <c r="D200" s="2452"/>
      <c r="E200" s="2452"/>
      <c r="F200" s="2452"/>
      <c r="G200" s="2452"/>
      <c r="H200" s="2452"/>
      <c r="I200" s="2452"/>
      <c r="J200" s="2452"/>
      <c r="K200" s="2452"/>
      <c r="L200" s="2452"/>
      <c r="M200" s="2452"/>
      <c r="N200" s="2452"/>
      <c r="O200" s="2452"/>
      <c r="P200" s="2452"/>
      <c r="Q200" s="2452"/>
      <c r="R200" s="2452"/>
      <c r="S200" s="2452"/>
      <c r="T200" s="2452"/>
      <c r="U200" s="2452"/>
      <c r="V200" s="2452"/>
      <c r="W200" s="2452"/>
      <c r="X200" s="2452"/>
      <c r="Y200" s="2452"/>
      <c r="Z200" s="2452"/>
      <c r="AA200" s="2452"/>
      <c r="AB200" s="2452"/>
      <c r="AC200" s="842"/>
      <c r="AD200" s="2453"/>
      <c r="AE200" s="2453"/>
      <c r="AF200" s="2453"/>
      <c r="AG200" s="2453"/>
      <c r="AH200" s="2453"/>
      <c r="AI200" s="2453"/>
      <c r="AJ200" s="2453"/>
      <c r="AK200" s="608"/>
    </row>
    <row r="201" spans="1:37" hidden="1">
      <c r="A201" s="603"/>
      <c r="B201" s="2452"/>
      <c r="C201" s="2452"/>
      <c r="D201" s="2452"/>
      <c r="E201" s="2452"/>
      <c r="F201" s="2452"/>
      <c r="G201" s="2452"/>
      <c r="H201" s="2452"/>
      <c r="I201" s="2452"/>
      <c r="J201" s="2452"/>
      <c r="K201" s="2452"/>
      <c r="L201" s="2452"/>
      <c r="M201" s="2452"/>
      <c r="N201" s="2452"/>
      <c r="O201" s="2452"/>
      <c r="P201" s="2452"/>
      <c r="Q201" s="2452"/>
      <c r="R201" s="2452"/>
      <c r="S201" s="2452"/>
      <c r="T201" s="2452"/>
      <c r="U201" s="2452"/>
      <c r="V201" s="2452"/>
      <c r="W201" s="2452"/>
      <c r="X201" s="2452"/>
      <c r="Y201" s="2452"/>
      <c r="Z201" s="2452"/>
      <c r="AA201" s="2452"/>
      <c r="AB201" s="2452"/>
      <c r="AC201" s="842"/>
      <c r="AD201" s="2453"/>
      <c r="AE201" s="2453"/>
      <c r="AF201" s="2453"/>
      <c r="AG201" s="2453"/>
      <c r="AH201" s="2453"/>
      <c r="AI201" s="2453"/>
      <c r="AJ201" s="2453"/>
      <c r="AK201" s="608"/>
    </row>
    <row r="202" spans="1:37" hidden="1">
      <c r="A202" s="603"/>
      <c r="B202" s="2452"/>
      <c r="C202" s="2452"/>
      <c r="D202" s="2452"/>
      <c r="E202" s="2452"/>
      <c r="F202" s="2452"/>
      <c r="G202" s="2452"/>
      <c r="H202" s="2452"/>
      <c r="I202" s="2452"/>
      <c r="J202" s="2452"/>
      <c r="K202" s="2452"/>
      <c r="L202" s="2452"/>
      <c r="M202" s="2452"/>
      <c r="N202" s="2452"/>
      <c r="O202" s="2452"/>
      <c r="P202" s="2452"/>
      <c r="Q202" s="2452"/>
      <c r="R202" s="2452"/>
      <c r="S202" s="2452"/>
      <c r="T202" s="2452"/>
      <c r="U202" s="2452"/>
      <c r="V202" s="2452"/>
      <c r="W202" s="2452"/>
      <c r="X202" s="2452"/>
      <c r="Y202" s="2452"/>
      <c r="Z202" s="2452"/>
      <c r="AA202" s="2452"/>
      <c r="AB202" s="2452"/>
      <c r="AC202" s="842"/>
      <c r="AD202" s="2453"/>
      <c r="AE202" s="2453"/>
      <c r="AF202" s="2453"/>
      <c r="AG202" s="2453"/>
      <c r="AH202" s="2453"/>
      <c r="AI202" s="2453"/>
      <c r="AJ202" s="2453"/>
      <c r="AK202" s="608"/>
    </row>
    <row r="203" spans="1:37" hidden="1">
      <c r="A203" s="603"/>
      <c r="B203" s="2452"/>
      <c r="C203" s="2452"/>
      <c r="D203" s="2452"/>
      <c r="E203" s="2452"/>
      <c r="F203" s="2452"/>
      <c r="G203" s="2452"/>
      <c r="H203" s="2452"/>
      <c r="I203" s="2452"/>
      <c r="J203" s="2452"/>
      <c r="K203" s="2452"/>
      <c r="L203" s="2452"/>
      <c r="M203" s="2452"/>
      <c r="N203" s="2452"/>
      <c r="O203" s="2452"/>
      <c r="P203" s="2452"/>
      <c r="Q203" s="2452"/>
      <c r="R203" s="2452"/>
      <c r="S203" s="2452"/>
      <c r="T203" s="2452"/>
      <c r="U203" s="2452"/>
      <c r="V203" s="2452"/>
      <c r="W203" s="2452"/>
      <c r="X203" s="2452"/>
      <c r="Y203" s="2452"/>
      <c r="Z203" s="2452"/>
      <c r="AA203" s="2452"/>
      <c r="AB203" s="2452"/>
      <c r="AC203" s="842"/>
      <c r="AD203" s="2453"/>
      <c r="AE203" s="2453"/>
      <c r="AF203" s="2453"/>
      <c r="AG203" s="2453"/>
      <c r="AH203" s="2453"/>
      <c r="AI203" s="2453"/>
      <c r="AJ203" s="2453"/>
      <c r="AK203" s="608"/>
    </row>
    <row r="204" spans="1:37" hidden="1">
      <c r="A204" s="603"/>
      <c r="B204" s="2452"/>
      <c r="C204" s="2452"/>
      <c r="D204" s="2452"/>
      <c r="E204" s="2452"/>
      <c r="F204" s="2452"/>
      <c r="G204" s="2452"/>
      <c r="H204" s="2452"/>
      <c r="I204" s="2452"/>
      <c r="J204" s="2452"/>
      <c r="K204" s="2452"/>
      <c r="L204" s="2452"/>
      <c r="M204" s="2452"/>
      <c r="N204" s="2452"/>
      <c r="O204" s="2452"/>
      <c r="P204" s="2452"/>
      <c r="Q204" s="2452"/>
      <c r="R204" s="2452"/>
      <c r="S204" s="2452"/>
      <c r="T204" s="2452"/>
      <c r="U204" s="2452"/>
      <c r="V204" s="2452"/>
      <c r="W204" s="2452"/>
      <c r="X204" s="2452"/>
      <c r="Y204" s="2452"/>
      <c r="Z204" s="2452"/>
      <c r="AA204" s="2452"/>
      <c r="AB204" s="2452"/>
      <c r="AC204" s="842"/>
      <c r="AD204" s="2453"/>
      <c r="AE204" s="2453"/>
      <c r="AF204" s="2453"/>
      <c r="AG204" s="2453"/>
      <c r="AH204" s="2453"/>
      <c r="AI204" s="2453"/>
      <c r="AJ204" s="2453"/>
      <c r="AK204" s="608"/>
    </row>
    <row r="205" spans="1:37" hidden="1">
      <c r="A205" s="603"/>
      <c r="B205" s="2452"/>
      <c r="C205" s="2452"/>
      <c r="D205" s="2452"/>
      <c r="E205" s="2452"/>
      <c r="F205" s="2452"/>
      <c r="G205" s="2452"/>
      <c r="H205" s="2452"/>
      <c r="I205" s="2452"/>
      <c r="J205" s="2452"/>
      <c r="K205" s="2452"/>
      <c r="L205" s="2452"/>
      <c r="M205" s="2452"/>
      <c r="N205" s="2452"/>
      <c r="O205" s="2452"/>
      <c r="P205" s="2452"/>
      <c r="Q205" s="2452"/>
      <c r="R205" s="2452"/>
      <c r="S205" s="2452"/>
      <c r="T205" s="2452"/>
      <c r="U205" s="2452"/>
      <c r="V205" s="2452"/>
      <c r="W205" s="2452"/>
      <c r="X205" s="2452"/>
      <c r="Y205" s="2452"/>
      <c r="Z205" s="2452"/>
      <c r="AA205" s="2452"/>
      <c r="AB205" s="2452"/>
      <c r="AC205" s="842"/>
      <c r="AD205" s="2453"/>
      <c r="AE205" s="2453"/>
      <c r="AF205" s="2453"/>
      <c r="AG205" s="2453"/>
      <c r="AH205" s="2453"/>
      <c r="AI205" s="2453"/>
      <c r="AJ205" s="2453"/>
      <c r="AK205" s="608"/>
    </row>
    <row r="206" spans="1:37" hidden="1">
      <c r="A206" s="603"/>
      <c r="B206" s="2452"/>
      <c r="C206" s="2452"/>
      <c r="D206" s="2452"/>
      <c r="E206" s="2452"/>
      <c r="F206" s="2452"/>
      <c r="G206" s="2452"/>
      <c r="H206" s="2452"/>
      <c r="I206" s="2452"/>
      <c r="J206" s="2452"/>
      <c r="K206" s="2452"/>
      <c r="L206" s="2452"/>
      <c r="M206" s="2452"/>
      <c r="N206" s="2452"/>
      <c r="O206" s="2452"/>
      <c r="P206" s="2452"/>
      <c r="Q206" s="2452"/>
      <c r="R206" s="2452"/>
      <c r="S206" s="2452"/>
      <c r="T206" s="2452"/>
      <c r="U206" s="2452"/>
      <c r="V206" s="2452"/>
      <c r="W206" s="2452"/>
      <c r="X206" s="2452"/>
      <c r="Y206" s="2452"/>
      <c r="Z206" s="2452"/>
      <c r="AA206" s="2452"/>
      <c r="AB206" s="2452"/>
      <c r="AC206" s="842"/>
      <c r="AD206" s="2453"/>
      <c r="AE206" s="2453"/>
      <c r="AF206" s="2453"/>
      <c r="AG206" s="2453"/>
      <c r="AH206" s="2453"/>
      <c r="AI206" s="2453"/>
      <c r="AJ206" s="2453"/>
      <c r="AK206" s="608"/>
    </row>
    <row r="207" spans="1:37" hidden="1">
      <c r="A207" s="603"/>
      <c r="B207" s="2452"/>
      <c r="C207" s="2452"/>
      <c r="D207" s="2452"/>
      <c r="E207" s="2452"/>
      <c r="F207" s="2452"/>
      <c r="G207" s="2452"/>
      <c r="H207" s="2452"/>
      <c r="I207" s="2452"/>
      <c r="J207" s="2452"/>
      <c r="K207" s="2452"/>
      <c r="L207" s="2452"/>
      <c r="M207" s="2452"/>
      <c r="N207" s="2452"/>
      <c r="O207" s="2452"/>
      <c r="P207" s="2452"/>
      <c r="Q207" s="2452"/>
      <c r="R207" s="2452"/>
      <c r="S207" s="2452"/>
      <c r="T207" s="2452"/>
      <c r="U207" s="2452"/>
      <c r="V207" s="2452"/>
      <c r="W207" s="2452"/>
      <c r="X207" s="2452"/>
      <c r="Y207" s="2452"/>
      <c r="Z207" s="2452"/>
      <c r="AA207" s="2452"/>
      <c r="AB207" s="2452"/>
      <c r="AC207" s="842"/>
      <c r="AD207" s="2453"/>
      <c r="AE207" s="2453"/>
      <c r="AF207" s="2453"/>
      <c r="AG207" s="2453"/>
      <c r="AH207" s="2453"/>
      <c r="AI207" s="2453"/>
      <c r="AJ207" s="2453"/>
      <c r="AK207" s="608"/>
    </row>
    <row r="208" spans="1:37" hidden="1">
      <c r="A208" s="603"/>
      <c r="B208" s="2499" t="s">
        <v>1616</v>
      </c>
      <c r="C208" s="2499"/>
      <c r="D208" s="2499"/>
      <c r="E208" s="2499"/>
      <c r="F208" s="2499"/>
      <c r="G208" s="2499"/>
      <c r="H208" s="2499"/>
      <c r="I208" s="2499"/>
      <c r="J208" s="2499"/>
      <c r="K208" s="2499"/>
      <c r="L208" s="2499"/>
      <c r="M208" s="2499"/>
      <c r="N208" s="2499"/>
      <c r="O208" s="2499"/>
      <c r="P208" s="2499"/>
      <c r="Q208" s="2499"/>
      <c r="R208" s="2499"/>
      <c r="S208" s="2499"/>
      <c r="T208" s="2499"/>
      <c r="U208" s="2499"/>
      <c r="V208" s="2499"/>
      <c r="W208" s="2499"/>
      <c r="X208" s="2499"/>
      <c r="Y208" s="2499"/>
      <c r="Z208" s="2499"/>
      <c r="AA208" s="2499"/>
      <c r="AB208" s="2499"/>
      <c r="AC208" s="536"/>
      <c r="AD208" s="2482">
        <f>AB259</f>
        <v>0</v>
      </c>
      <c r="AE208" s="2482"/>
      <c r="AF208" s="2482"/>
      <c r="AG208" s="2482"/>
      <c r="AH208" s="2482"/>
      <c r="AI208" s="2482"/>
      <c r="AJ208" s="2482"/>
      <c r="AK208" s="608"/>
    </row>
    <row r="209" spans="1:37" hidden="1">
      <c r="A209" s="603"/>
      <c r="B209" s="2637" t="s">
        <v>1579</v>
      </c>
      <c r="C209" s="2637"/>
      <c r="D209" s="2637"/>
      <c r="E209" s="2637"/>
      <c r="F209" s="2637"/>
      <c r="G209" s="2637"/>
      <c r="H209" s="2637"/>
      <c r="I209" s="2637"/>
      <c r="J209" s="2637"/>
      <c r="K209" s="2637"/>
      <c r="L209" s="2637"/>
      <c r="M209" s="2637"/>
      <c r="N209" s="2637"/>
      <c r="O209" s="2637"/>
      <c r="P209" s="2637"/>
      <c r="Q209" s="2637"/>
      <c r="R209" s="2637"/>
      <c r="S209" s="2637"/>
      <c r="T209" s="2637"/>
      <c r="U209" s="2637"/>
      <c r="V209" s="2637"/>
      <c r="W209" s="2637"/>
      <c r="X209" s="2637"/>
      <c r="Y209" s="2637"/>
      <c r="Z209" s="2637"/>
      <c r="AA209" s="2637"/>
      <c r="AB209" s="2637"/>
      <c r="AC209" s="842"/>
      <c r="AD209" s="2483">
        <f>'Sources and Uses Budget'!B15</f>
        <v>0</v>
      </c>
      <c r="AE209" s="2483"/>
      <c r="AF209" s="2483"/>
      <c r="AG209" s="2483"/>
      <c r="AH209" s="2483"/>
      <c r="AI209" s="2483"/>
      <c r="AJ209" s="2483"/>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87">
        <f>SUM(AD198:AJ208)-AD209</f>
        <v>0</v>
      </c>
      <c r="AE210" s="2487"/>
      <c r="AF210" s="2487"/>
      <c r="AG210" s="2487"/>
      <c r="AH210" s="2487"/>
      <c r="AI210" s="2487"/>
      <c r="AJ210" s="2487"/>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6" t="s">
        <v>1596</v>
      </c>
      <c r="J221" s="2456"/>
      <c r="K221" s="2456"/>
      <c r="L221" s="536"/>
      <c r="M221" s="536"/>
      <c r="N221" s="536"/>
      <c r="O221" s="536"/>
      <c r="P221" s="536"/>
      <c r="Q221" s="536"/>
      <c r="R221" s="536"/>
      <c r="S221" s="536"/>
      <c r="T221" s="2624" t="s">
        <v>1590</v>
      </c>
      <c r="U221" s="2624"/>
      <c r="V221" s="2624"/>
      <c r="W221" s="2624"/>
      <c r="X221" s="2624"/>
      <c r="Y221" s="2624"/>
      <c r="Z221" s="845"/>
      <c r="AA221" s="489"/>
      <c r="AB221" s="2451" t="s">
        <v>1591</v>
      </c>
      <c r="AC221" s="2451"/>
      <c r="AD221" s="2451"/>
      <c r="AE221" s="2451"/>
      <c r="AF221" s="2451"/>
      <c r="AG221" s="2451"/>
      <c r="AH221" s="823"/>
      <c r="AI221" s="823"/>
      <c r="AJ221" s="823"/>
      <c r="AK221" s="608"/>
    </row>
    <row r="222" spans="1:37" hidden="1">
      <c r="A222" s="603"/>
      <c r="B222" s="2454" t="s">
        <v>1576</v>
      </c>
      <c r="C222" s="2454"/>
      <c r="D222" s="2454"/>
      <c r="E222" s="2454"/>
      <c r="F222" s="2454"/>
      <c r="G222" s="2454"/>
      <c r="I222" s="2455" t="s">
        <v>1597</v>
      </c>
      <c r="J222" s="2455"/>
      <c r="K222" s="2455"/>
      <c r="L222" s="1003"/>
      <c r="N222" s="2445" t="s">
        <v>1592</v>
      </c>
      <c r="O222" s="2445"/>
      <c r="P222" s="2445"/>
      <c r="Q222" s="2445"/>
      <c r="R222" s="2445"/>
      <c r="T222" s="2445" t="s">
        <v>1593</v>
      </c>
      <c r="U222" s="2445"/>
      <c r="V222" s="2445"/>
      <c r="W222" s="2445"/>
      <c r="X222" s="2445"/>
      <c r="Y222" s="2445"/>
      <c r="Z222" s="846"/>
      <c r="AA222" s="489"/>
      <c r="AB222" s="2603" t="s">
        <v>1594</v>
      </c>
      <c r="AC222" s="2603"/>
      <c r="AD222" s="2603"/>
      <c r="AE222" s="2603"/>
      <c r="AF222" s="2603"/>
      <c r="AG222" s="2603"/>
      <c r="AH222" s="823"/>
      <c r="AI222" s="823"/>
      <c r="AJ222" s="823"/>
      <c r="AK222" s="608"/>
    </row>
    <row r="223" spans="1:37" hidden="1">
      <c r="A223" s="603"/>
      <c r="B223" s="2457" t="s">
        <v>1184</v>
      </c>
      <c r="C223" s="2457"/>
      <c r="D223" s="2457"/>
      <c r="E223" s="2457"/>
      <c r="F223" s="2457"/>
      <c r="G223" s="2457"/>
      <c r="H223" s="848"/>
      <c r="I223" s="2443"/>
      <c r="J223" s="2443"/>
      <c r="K223" s="2443"/>
      <c r="L223" s="1003"/>
      <c r="N223" s="2498"/>
      <c r="O223" s="2498"/>
      <c r="P223" s="2498"/>
      <c r="Q223" s="2498"/>
      <c r="R223" s="2498"/>
      <c r="T223" s="2602"/>
      <c r="U223" s="2602"/>
      <c r="V223" s="2602"/>
      <c r="W223" s="2602"/>
      <c r="X223" s="2602"/>
      <c r="Y223" s="2602"/>
      <c r="Z223" s="847"/>
      <c r="AA223" s="847"/>
      <c r="AB223" s="2442">
        <f t="shared" ref="AB223:AB232" si="0">MAX(($T223-$N223)*$I223*12,0)</f>
        <v>0</v>
      </c>
      <c r="AC223" s="2442"/>
      <c r="AD223" s="2442"/>
      <c r="AE223" s="2442"/>
      <c r="AF223" s="2442"/>
      <c r="AG223" s="2442"/>
      <c r="AH223" s="823"/>
      <c r="AI223" s="823"/>
      <c r="AJ223" s="823"/>
      <c r="AK223" s="608"/>
    </row>
    <row r="224" spans="1:37" hidden="1">
      <c r="A224" s="603"/>
      <c r="B224" s="2457" t="s">
        <v>1184</v>
      </c>
      <c r="C224" s="2457"/>
      <c r="D224" s="2457"/>
      <c r="E224" s="2457"/>
      <c r="F224" s="2457"/>
      <c r="G224" s="2457"/>
      <c r="I224" s="2443"/>
      <c r="J224" s="2443"/>
      <c r="K224" s="2443"/>
      <c r="L224" s="1003"/>
      <c r="N224" s="2498"/>
      <c r="O224" s="2498"/>
      <c r="P224" s="2498"/>
      <c r="Q224" s="2498"/>
      <c r="R224" s="2498"/>
      <c r="T224" s="2602"/>
      <c r="U224" s="2602"/>
      <c r="V224" s="2602"/>
      <c r="W224" s="2602"/>
      <c r="X224" s="2602"/>
      <c r="Y224" s="2602"/>
      <c r="Z224" s="847"/>
      <c r="AA224" s="847"/>
      <c r="AB224" s="2442">
        <f t="shared" si="0"/>
        <v>0</v>
      </c>
      <c r="AC224" s="2442"/>
      <c r="AD224" s="2442"/>
      <c r="AE224" s="2442"/>
      <c r="AF224" s="2442"/>
      <c r="AG224" s="2442"/>
      <c r="AH224" s="823"/>
      <c r="AI224" s="823"/>
      <c r="AJ224" s="823"/>
      <c r="AK224" s="608"/>
    </row>
    <row r="225" spans="1:37" hidden="1">
      <c r="A225" s="603"/>
      <c r="B225" s="2457" t="s">
        <v>1184</v>
      </c>
      <c r="C225" s="2457"/>
      <c r="D225" s="2457"/>
      <c r="E225" s="2457"/>
      <c r="F225" s="2457"/>
      <c r="G225" s="2457"/>
      <c r="I225" s="2443"/>
      <c r="J225" s="2443"/>
      <c r="K225" s="2443"/>
      <c r="L225" s="1003"/>
      <c r="N225" s="2498"/>
      <c r="O225" s="2498"/>
      <c r="P225" s="2498"/>
      <c r="Q225" s="2498"/>
      <c r="R225" s="2498"/>
      <c r="T225" s="2602"/>
      <c r="U225" s="2602"/>
      <c r="V225" s="2602"/>
      <c r="W225" s="2602"/>
      <c r="X225" s="2602"/>
      <c r="Y225" s="2602"/>
      <c r="Z225" s="847"/>
      <c r="AA225" s="847"/>
      <c r="AB225" s="2442">
        <f t="shared" si="0"/>
        <v>0</v>
      </c>
      <c r="AC225" s="2442"/>
      <c r="AD225" s="2442"/>
      <c r="AE225" s="2442"/>
      <c r="AF225" s="2442"/>
      <c r="AG225" s="2442"/>
      <c r="AH225" s="823"/>
      <c r="AI225" s="823"/>
      <c r="AJ225" s="823"/>
      <c r="AK225" s="608"/>
    </row>
    <row r="226" spans="1:37" hidden="1">
      <c r="A226" s="603"/>
      <c r="B226" s="2457" t="s">
        <v>1184</v>
      </c>
      <c r="C226" s="2457"/>
      <c r="D226" s="2457"/>
      <c r="E226" s="2457"/>
      <c r="F226" s="2457"/>
      <c r="G226" s="2457"/>
      <c r="I226" s="2443"/>
      <c r="J226" s="2443"/>
      <c r="K226" s="2443"/>
      <c r="L226" s="1003"/>
      <c r="N226" s="2498"/>
      <c r="O226" s="2498"/>
      <c r="P226" s="2498"/>
      <c r="Q226" s="2498"/>
      <c r="R226" s="2498"/>
      <c r="T226" s="2602"/>
      <c r="U226" s="2602"/>
      <c r="V226" s="2602"/>
      <c r="W226" s="2602"/>
      <c r="X226" s="2602"/>
      <c r="Y226" s="2602"/>
      <c r="Z226" s="847"/>
      <c r="AA226" s="847"/>
      <c r="AB226" s="2442">
        <f t="shared" si="0"/>
        <v>0</v>
      </c>
      <c r="AC226" s="2442"/>
      <c r="AD226" s="2442"/>
      <c r="AE226" s="2442"/>
      <c r="AF226" s="2442"/>
      <c r="AG226" s="2442"/>
      <c r="AH226" s="823"/>
      <c r="AI226" s="823"/>
      <c r="AJ226" s="823"/>
      <c r="AK226" s="608"/>
    </row>
    <row r="227" spans="1:37" hidden="1">
      <c r="A227" s="603"/>
      <c r="B227" s="2457" t="s">
        <v>1184</v>
      </c>
      <c r="C227" s="2457"/>
      <c r="D227" s="2457"/>
      <c r="E227" s="2457"/>
      <c r="F227" s="2457"/>
      <c r="G227" s="2457"/>
      <c r="I227" s="2443"/>
      <c r="J227" s="2443"/>
      <c r="K227" s="2443"/>
      <c r="L227" s="1010"/>
      <c r="N227" s="2498"/>
      <c r="O227" s="2498"/>
      <c r="P227" s="2498"/>
      <c r="Q227" s="2498"/>
      <c r="R227" s="2498"/>
      <c r="T227" s="2602"/>
      <c r="U227" s="2602"/>
      <c r="V227" s="2602"/>
      <c r="W227" s="2602"/>
      <c r="X227" s="2602"/>
      <c r="Y227" s="2602"/>
      <c r="Z227" s="847"/>
      <c r="AA227" s="847"/>
      <c r="AB227" s="2442">
        <f t="shared" si="0"/>
        <v>0</v>
      </c>
      <c r="AC227" s="2442"/>
      <c r="AD227" s="2442"/>
      <c r="AE227" s="2442"/>
      <c r="AF227" s="2442"/>
      <c r="AG227" s="2442"/>
      <c r="AH227" s="823"/>
      <c r="AI227" s="823"/>
      <c r="AJ227" s="823"/>
      <c r="AK227" s="608"/>
    </row>
    <row r="228" spans="1:37" hidden="1">
      <c r="A228" s="603"/>
      <c r="B228" s="2457" t="s">
        <v>1184</v>
      </c>
      <c r="C228" s="2457"/>
      <c r="D228" s="2457"/>
      <c r="E228" s="2457"/>
      <c r="F228" s="2457"/>
      <c r="G228" s="2457"/>
      <c r="I228" s="2443"/>
      <c r="J228" s="2443"/>
      <c r="K228" s="2443"/>
      <c r="L228" s="1010"/>
      <c r="N228" s="2498"/>
      <c r="O228" s="2498"/>
      <c r="P228" s="2498"/>
      <c r="Q228" s="2498"/>
      <c r="R228" s="2498"/>
      <c r="T228" s="2602"/>
      <c r="U228" s="2602"/>
      <c r="V228" s="2602"/>
      <c r="W228" s="2602"/>
      <c r="X228" s="2602"/>
      <c r="Y228" s="2602"/>
      <c r="Z228" s="847"/>
      <c r="AA228" s="847"/>
      <c r="AB228" s="2442">
        <f t="shared" si="0"/>
        <v>0</v>
      </c>
      <c r="AC228" s="2442"/>
      <c r="AD228" s="2442"/>
      <c r="AE228" s="2442"/>
      <c r="AF228" s="2442"/>
      <c r="AG228" s="2442"/>
      <c r="AH228" s="823"/>
      <c r="AI228" s="823"/>
      <c r="AJ228" s="823"/>
      <c r="AK228" s="608"/>
    </row>
    <row r="229" spans="1:37" hidden="1">
      <c r="A229" s="603"/>
      <c r="B229" s="2457" t="s">
        <v>1184</v>
      </c>
      <c r="C229" s="2457"/>
      <c r="D229" s="2457"/>
      <c r="E229" s="2457"/>
      <c r="F229" s="2457"/>
      <c r="G229" s="2457"/>
      <c r="I229" s="2443"/>
      <c r="J229" s="2443"/>
      <c r="K229" s="2443"/>
      <c r="L229" s="1010"/>
      <c r="N229" s="2498"/>
      <c r="O229" s="2498"/>
      <c r="P229" s="2498"/>
      <c r="Q229" s="2498"/>
      <c r="R229" s="2498"/>
      <c r="T229" s="2602"/>
      <c r="U229" s="2602"/>
      <c r="V229" s="2602"/>
      <c r="W229" s="2602"/>
      <c r="X229" s="2602"/>
      <c r="Y229" s="2602"/>
      <c r="Z229" s="847"/>
      <c r="AA229" s="847"/>
      <c r="AB229" s="2442">
        <f t="shared" si="0"/>
        <v>0</v>
      </c>
      <c r="AC229" s="2442"/>
      <c r="AD229" s="2442"/>
      <c r="AE229" s="2442"/>
      <c r="AF229" s="2442"/>
      <c r="AG229" s="2442"/>
      <c r="AH229" s="823"/>
      <c r="AI229" s="823"/>
      <c r="AJ229" s="823"/>
      <c r="AK229" s="608"/>
    </row>
    <row r="230" spans="1:37" hidden="1">
      <c r="A230" s="603"/>
      <c r="B230" s="2457" t="s">
        <v>1184</v>
      </c>
      <c r="C230" s="2457"/>
      <c r="D230" s="2457"/>
      <c r="E230" s="2457"/>
      <c r="F230" s="2457"/>
      <c r="G230" s="2457"/>
      <c r="I230" s="2443"/>
      <c r="J230" s="2443"/>
      <c r="K230" s="2443"/>
      <c r="L230" s="1010"/>
      <c r="N230" s="2498"/>
      <c r="O230" s="2498"/>
      <c r="P230" s="2498"/>
      <c r="Q230" s="2498"/>
      <c r="R230" s="2498"/>
      <c r="T230" s="2602"/>
      <c r="U230" s="2602"/>
      <c r="V230" s="2602"/>
      <c r="W230" s="2602"/>
      <c r="X230" s="2602"/>
      <c r="Y230" s="2602"/>
      <c r="Z230" s="847"/>
      <c r="AA230" s="847"/>
      <c r="AB230" s="2442">
        <f t="shared" si="0"/>
        <v>0</v>
      </c>
      <c r="AC230" s="2442"/>
      <c r="AD230" s="2442"/>
      <c r="AE230" s="2442"/>
      <c r="AF230" s="2442"/>
      <c r="AG230" s="2442"/>
      <c r="AH230" s="823"/>
      <c r="AI230" s="823"/>
      <c r="AJ230" s="823"/>
      <c r="AK230" s="608"/>
    </row>
    <row r="231" spans="1:37" hidden="1">
      <c r="A231" s="603"/>
      <c r="B231" s="2457" t="s">
        <v>1184</v>
      </c>
      <c r="C231" s="2457"/>
      <c r="D231" s="2457"/>
      <c r="E231" s="2457"/>
      <c r="F231" s="2457"/>
      <c r="G231" s="2457"/>
      <c r="I231" s="2443"/>
      <c r="J231" s="2443"/>
      <c r="K231" s="2443"/>
      <c r="L231" s="1010"/>
      <c r="N231" s="2498"/>
      <c r="O231" s="2498"/>
      <c r="P231" s="2498"/>
      <c r="Q231" s="2498"/>
      <c r="R231" s="2498"/>
      <c r="T231" s="2602"/>
      <c r="U231" s="2602"/>
      <c r="V231" s="2602"/>
      <c r="W231" s="2602"/>
      <c r="X231" s="2602"/>
      <c r="Y231" s="2602"/>
      <c r="Z231" s="847"/>
      <c r="AA231" s="847"/>
      <c r="AB231" s="2442">
        <f t="shared" si="0"/>
        <v>0</v>
      </c>
      <c r="AC231" s="2442"/>
      <c r="AD231" s="2442"/>
      <c r="AE231" s="2442"/>
      <c r="AF231" s="2442"/>
      <c r="AG231" s="2442"/>
      <c r="AH231" s="823"/>
      <c r="AI231" s="823"/>
      <c r="AJ231" s="823"/>
      <c r="AK231" s="608"/>
    </row>
    <row r="232" spans="1:37" hidden="1">
      <c r="A232" s="603"/>
      <c r="B232" s="2457" t="s">
        <v>1184</v>
      </c>
      <c r="C232" s="2457"/>
      <c r="D232" s="2457"/>
      <c r="E232" s="2457"/>
      <c r="F232" s="2457"/>
      <c r="G232" s="2457"/>
      <c r="I232" s="2444"/>
      <c r="J232" s="2444"/>
      <c r="K232" s="2444"/>
      <c r="L232" s="1010"/>
      <c r="N232" s="2498"/>
      <c r="O232" s="2498"/>
      <c r="P232" s="2498"/>
      <c r="Q232" s="2498"/>
      <c r="R232" s="2498"/>
      <c r="T232" s="2602"/>
      <c r="U232" s="2602"/>
      <c r="V232" s="2602"/>
      <c r="W232" s="2602"/>
      <c r="X232" s="2602"/>
      <c r="Y232" s="2602"/>
      <c r="Z232" s="847"/>
      <c r="AA232" s="847"/>
      <c r="AB232" s="2611">
        <f t="shared" si="0"/>
        <v>0</v>
      </c>
      <c r="AC232" s="2611"/>
      <c r="AD232" s="2611"/>
      <c r="AE232" s="2611"/>
      <c r="AF232" s="2611"/>
      <c r="AG232" s="2611"/>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42">
        <f>SUM(AB223:AB232)</f>
        <v>0</v>
      </c>
      <c r="AC233" s="2442"/>
      <c r="AD233" s="2442"/>
      <c r="AE233" s="2442"/>
      <c r="AF233" s="2442"/>
      <c r="AG233" s="2442"/>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2"/>
      <c r="AC239" s="2612"/>
      <c r="AD239" s="2612"/>
      <c r="AE239" s="2612"/>
      <c r="AF239" s="2612"/>
      <c r="AG239" s="2612"/>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2"/>
      <c r="AC242" s="2612"/>
      <c r="AD242" s="2612"/>
      <c r="AE242" s="2612"/>
      <c r="AF242" s="2612"/>
      <c r="AG242" s="2612"/>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3"/>
      <c r="AC243" s="2623"/>
      <c r="AD243" s="2623"/>
      <c r="AE243" s="2623"/>
      <c r="AF243" s="2623"/>
      <c r="AG243" s="2623"/>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6">
        <f>IFERROR(AB242/AB243,0)</f>
        <v>0</v>
      </c>
      <c r="AC244" s="2636"/>
      <c r="AD244" s="2636"/>
      <c r="AE244" s="2636"/>
      <c r="AF244" s="2636"/>
      <c r="AG244" s="2636"/>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1">
        <f>MAX(AB239,AB244)</f>
        <v>0</v>
      </c>
      <c r="AC246" s="2611"/>
      <c r="AD246" s="2611"/>
      <c r="AE246" s="2611"/>
      <c r="AF246" s="2611"/>
      <c r="AG246" s="2611"/>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2">
        <f>AB233+AB246</f>
        <v>0</v>
      </c>
      <c r="AC249" s="2442"/>
      <c r="AD249" s="2442"/>
      <c r="AE249" s="2442"/>
      <c r="AF249" s="2442"/>
      <c r="AG249" s="2442"/>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1">
        <v>0.05</v>
      </c>
      <c r="AC250" s="2491"/>
      <c r="AD250" s="2491"/>
      <c r="AE250" s="2491"/>
      <c r="AF250" s="2491"/>
      <c r="AG250" s="2491"/>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2">
        <f>AB249-(AB249*AB250)</f>
        <v>0</v>
      </c>
      <c r="AC251" s="2492"/>
      <c r="AD251" s="2492"/>
      <c r="AE251" s="2492"/>
      <c r="AF251" s="2492"/>
      <c r="AG251" s="2492"/>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2">
        <f>AB251/AB257</f>
        <v>0</v>
      </c>
      <c r="AC253" s="2442"/>
      <c r="AD253" s="2442"/>
      <c r="AE253" s="2442"/>
      <c r="AF253" s="2442"/>
      <c r="AG253" s="2442"/>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1">
        <v>15</v>
      </c>
      <c r="AC255" s="2451"/>
      <c r="AD255" s="2451"/>
      <c r="AE255" s="2451"/>
      <c r="AF255" s="2451"/>
      <c r="AG255" s="2451"/>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3">
        <v>0.04</v>
      </c>
      <c r="AC256" s="2493"/>
      <c r="AD256" s="2493"/>
      <c r="AE256" s="2493"/>
      <c r="AF256" s="2493"/>
      <c r="AG256" s="2493"/>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0">
        <v>1.1499999999999999</v>
      </c>
      <c r="AC257" s="2500"/>
      <c r="AD257" s="2500"/>
      <c r="AE257" s="2500"/>
      <c r="AF257" s="2500"/>
      <c r="AG257" s="2500"/>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4">
        <f>PV(AB256/12,AB255*12,-AB253/12, ,0)</f>
        <v>0</v>
      </c>
      <c r="AC259" s="2485"/>
      <c r="AD259" s="2485"/>
      <c r="AE259" s="2485"/>
      <c r="AF259" s="2485"/>
      <c r="AG259" s="2486"/>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8">
        <f>IFERROR(('Sources and Uses Budget'!D105/'Sources and Uses Budget'!B105),0)</f>
        <v>0</v>
      </c>
      <c r="AC265" s="2489"/>
      <c r="AD265" s="2489"/>
      <c r="AE265" s="2489"/>
      <c r="AF265" s="2489"/>
      <c r="AG265" s="2490"/>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8">
        <f>AD210*(1-AB265)</f>
        <v>0</v>
      </c>
      <c r="AH267" s="2478"/>
      <c r="AI267" s="2478"/>
      <c r="AJ267" s="2478"/>
      <c r="AK267" s="2478"/>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8">
        <f>'Sources and Uses Budget'!C105</f>
        <v>21607387</v>
      </c>
      <c r="AH268" s="2478"/>
      <c r="AI268" s="2478"/>
      <c r="AJ268" s="2478"/>
      <c r="AK268" s="2478"/>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9">
        <f>ROUNDDOWN(IF(AND(C305="Yes",AK83=10),((AG267*2)/AG268),AG267/AG268),2)</f>
        <v>0</v>
      </c>
      <c r="AH269" s="2479"/>
      <c r="AI269" s="2479"/>
      <c r="AJ269" s="2479"/>
      <c r="AK269" s="2479"/>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80">
        <f>IFERROR(IF(AG269=0,0,IF((AG269*100)&gt;8,8,(AG269*100))),0)</f>
        <v>0</v>
      </c>
      <c r="AL272" s="2480"/>
      <c r="AM272" s="2481"/>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2562</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2" t="s">
        <v>545</v>
      </c>
      <c r="D279" s="2472"/>
      <c r="E279" s="546"/>
      <c r="F279" s="2627" t="s">
        <v>2554</v>
      </c>
      <c r="G279" s="2628"/>
      <c r="H279" s="2628"/>
      <c r="I279" s="2628"/>
      <c r="J279" s="2628"/>
      <c r="K279" s="2628"/>
      <c r="L279" s="2628"/>
      <c r="M279" s="2628"/>
      <c r="N279" s="2628"/>
      <c r="O279" s="2628"/>
      <c r="P279" s="2628"/>
      <c r="Q279" s="2628"/>
      <c r="R279" s="2628"/>
      <c r="S279" s="2628"/>
      <c r="T279" s="2628"/>
      <c r="U279" s="2628"/>
      <c r="V279" s="2628"/>
      <c r="W279" s="2628"/>
      <c r="X279" s="2628"/>
      <c r="Y279" s="2628"/>
      <c r="Z279" s="2628"/>
      <c r="AA279" s="2628"/>
      <c r="AB279" s="2628"/>
      <c r="AC279" s="2628"/>
      <c r="AD279" s="2629"/>
      <c r="AE279" s="549"/>
      <c r="AF279" s="633"/>
      <c r="AG279" s="2473" t="s">
        <v>1357</v>
      </c>
      <c r="AH279" s="2473"/>
      <c r="AI279" s="2473"/>
      <c r="AJ279" s="2473"/>
      <c r="AK279" s="549"/>
      <c r="AL279" s="549"/>
      <c r="AM279" s="549"/>
      <c r="AO279" s="549"/>
    </row>
    <row r="280" spans="1:52" ht="13.7" customHeight="1">
      <c r="A280" s="549"/>
      <c r="B280" s="594"/>
      <c r="C280" s="634"/>
      <c r="D280" s="549"/>
      <c r="E280" s="546"/>
      <c r="F280" s="2630"/>
      <c r="G280" s="2631"/>
      <c r="H280" s="2631"/>
      <c r="I280" s="2631"/>
      <c r="J280" s="2631"/>
      <c r="K280" s="2631"/>
      <c r="L280" s="2631"/>
      <c r="M280" s="2631"/>
      <c r="N280" s="2631"/>
      <c r="O280" s="2631"/>
      <c r="P280" s="2631"/>
      <c r="Q280" s="2631"/>
      <c r="R280" s="2631"/>
      <c r="S280" s="2631"/>
      <c r="T280" s="2631"/>
      <c r="U280" s="2631"/>
      <c r="V280" s="2631"/>
      <c r="W280" s="2631"/>
      <c r="X280" s="2631"/>
      <c r="Y280" s="2631"/>
      <c r="Z280" s="2631"/>
      <c r="AA280" s="2631"/>
      <c r="AB280" s="2631"/>
      <c r="AC280" s="2631"/>
      <c r="AD280" s="2632"/>
      <c r="AE280" s="549"/>
      <c r="AF280" s="633"/>
      <c r="AG280" s="633"/>
      <c r="AH280" s="633"/>
      <c r="AI280" s="633"/>
      <c r="AJ280" s="549"/>
      <c r="AK280" s="549"/>
      <c r="AL280" s="549"/>
      <c r="AM280" s="549"/>
      <c r="AO280" s="549"/>
    </row>
    <row r="281" spans="1:52" ht="13.7" customHeight="1">
      <c r="A281" s="549"/>
      <c r="B281" s="594"/>
      <c r="C281" s="634"/>
      <c r="D281" s="549"/>
      <c r="E281" s="546"/>
      <c r="F281" s="2630"/>
      <c r="G281" s="2631"/>
      <c r="H281" s="2631"/>
      <c r="I281" s="2631"/>
      <c r="J281" s="2631"/>
      <c r="K281" s="2631"/>
      <c r="L281" s="2631"/>
      <c r="M281" s="2631"/>
      <c r="N281" s="2631"/>
      <c r="O281" s="2631"/>
      <c r="P281" s="2631"/>
      <c r="Q281" s="2631"/>
      <c r="R281" s="2631"/>
      <c r="S281" s="2631"/>
      <c r="T281" s="2631"/>
      <c r="U281" s="2631"/>
      <c r="V281" s="2631"/>
      <c r="W281" s="2631"/>
      <c r="X281" s="2631"/>
      <c r="Y281" s="2631"/>
      <c r="Z281" s="2631"/>
      <c r="AA281" s="2631"/>
      <c r="AB281" s="2631"/>
      <c r="AC281" s="2631"/>
      <c r="AD281" s="2632"/>
      <c r="AE281" s="549"/>
      <c r="AF281" s="633"/>
      <c r="AG281" s="633"/>
      <c r="AH281" s="633"/>
      <c r="AI281" s="633"/>
      <c r="AJ281" s="549"/>
      <c r="AK281" s="549"/>
      <c r="AL281" s="549"/>
      <c r="AM281" s="549"/>
      <c r="AO281" s="549"/>
    </row>
    <row r="282" spans="1:52" ht="13.7" customHeight="1">
      <c r="A282" s="549"/>
      <c r="B282" s="594"/>
      <c r="C282" s="634"/>
      <c r="D282" s="549"/>
      <c r="E282" s="546"/>
      <c r="F282" s="2630"/>
      <c r="G282" s="2631"/>
      <c r="H282" s="2631"/>
      <c r="I282" s="2631"/>
      <c r="J282" s="2631"/>
      <c r="K282" s="2631"/>
      <c r="L282" s="2631"/>
      <c r="M282" s="2631"/>
      <c r="N282" s="2631"/>
      <c r="O282" s="2631"/>
      <c r="P282" s="2631"/>
      <c r="Q282" s="2631"/>
      <c r="R282" s="2631"/>
      <c r="S282" s="2631"/>
      <c r="T282" s="2631"/>
      <c r="U282" s="2631"/>
      <c r="V282" s="2631"/>
      <c r="W282" s="2631"/>
      <c r="X282" s="2631"/>
      <c r="Y282" s="2631"/>
      <c r="Z282" s="2631"/>
      <c r="AA282" s="2631"/>
      <c r="AB282" s="2631"/>
      <c r="AC282" s="2631"/>
      <c r="AD282" s="2632"/>
      <c r="AE282" s="549"/>
      <c r="AF282" s="633"/>
      <c r="AG282" s="633"/>
      <c r="AH282" s="633"/>
      <c r="AI282" s="633"/>
      <c r="AJ282" s="549"/>
      <c r="AK282" s="549"/>
      <c r="AL282" s="549"/>
      <c r="AM282" s="549"/>
      <c r="AO282" s="549"/>
    </row>
    <row r="283" spans="1:52" ht="13.7" customHeight="1">
      <c r="A283" s="549"/>
      <c r="B283" s="594"/>
      <c r="C283" s="634"/>
      <c r="D283" s="549"/>
      <c r="E283" s="546"/>
      <c r="F283" s="2630"/>
      <c r="G283" s="2631"/>
      <c r="H283" s="2631"/>
      <c r="I283" s="2631"/>
      <c r="J283" s="2631"/>
      <c r="K283" s="2631"/>
      <c r="L283" s="2631"/>
      <c r="M283" s="2631"/>
      <c r="N283" s="2631"/>
      <c r="O283" s="2631"/>
      <c r="P283" s="2631"/>
      <c r="Q283" s="2631"/>
      <c r="R283" s="2631"/>
      <c r="S283" s="2631"/>
      <c r="T283" s="2631"/>
      <c r="U283" s="2631"/>
      <c r="V283" s="2631"/>
      <c r="W283" s="2631"/>
      <c r="X283" s="2631"/>
      <c r="Y283" s="2631"/>
      <c r="Z283" s="2631"/>
      <c r="AA283" s="2631"/>
      <c r="AB283" s="2631"/>
      <c r="AC283" s="2631"/>
      <c r="AD283" s="2632"/>
      <c r="AE283" s="549"/>
      <c r="AF283" s="633"/>
      <c r="AG283" s="633"/>
      <c r="AH283" s="633"/>
      <c r="AI283" s="633"/>
      <c r="AJ283" s="549"/>
      <c r="AK283" s="549"/>
      <c r="AL283" s="549"/>
      <c r="AM283" s="549"/>
      <c r="AO283" s="549"/>
    </row>
    <row r="284" spans="1:52">
      <c r="A284" s="549"/>
      <c r="B284" s="594"/>
      <c r="C284" s="634"/>
      <c r="D284" s="549"/>
      <c r="E284" s="546"/>
      <c r="F284" s="2630"/>
      <c r="G284" s="2631"/>
      <c r="H284" s="2631"/>
      <c r="I284" s="2631"/>
      <c r="J284" s="2631"/>
      <c r="K284" s="2631"/>
      <c r="L284" s="2631"/>
      <c r="M284" s="2631"/>
      <c r="N284" s="2631"/>
      <c r="O284" s="2631"/>
      <c r="P284" s="2631"/>
      <c r="Q284" s="2631"/>
      <c r="R284" s="2631"/>
      <c r="S284" s="2631"/>
      <c r="T284" s="2631"/>
      <c r="U284" s="2631"/>
      <c r="V284" s="2631"/>
      <c r="W284" s="2631"/>
      <c r="X284" s="2631"/>
      <c r="Y284" s="2631"/>
      <c r="Z284" s="2631"/>
      <c r="AA284" s="2631"/>
      <c r="AB284" s="2631"/>
      <c r="AC284" s="2631"/>
      <c r="AD284" s="2632"/>
      <c r="AE284" s="549"/>
      <c r="AF284" s="633"/>
      <c r="AG284" s="633"/>
      <c r="AH284" s="633"/>
      <c r="AI284" s="633"/>
      <c r="AJ284" s="549"/>
      <c r="AK284" s="549"/>
      <c r="AL284" s="549"/>
      <c r="AM284" s="549"/>
      <c r="AO284" s="549"/>
      <c r="AP284" s="635"/>
    </row>
    <row r="285" spans="1:52">
      <c r="A285" s="549"/>
      <c r="B285" s="594"/>
      <c r="C285" s="634"/>
      <c r="D285" s="549"/>
      <c r="E285" s="546"/>
      <c r="F285" s="2630"/>
      <c r="G285" s="2631"/>
      <c r="H285" s="2631"/>
      <c r="I285" s="2631"/>
      <c r="J285" s="2631"/>
      <c r="K285" s="2631"/>
      <c r="L285" s="2631"/>
      <c r="M285" s="2631"/>
      <c r="N285" s="2631"/>
      <c r="O285" s="2631"/>
      <c r="P285" s="2631"/>
      <c r="Q285" s="2631"/>
      <c r="R285" s="2631"/>
      <c r="S285" s="2631"/>
      <c r="T285" s="2631"/>
      <c r="U285" s="2631"/>
      <c r="V285" s="2631"/>
      <c r="W285" s="2631"/>
      <c r="X285" s="2631"/>
      <c r="Y285" s="2631"/>
      <c r="Z285" s="2631"/>
      <c r="AA285" s="2631"/>
      <c r="AB285" s="2631"/>
      <c r="AC285" s="2631"/>
      <c r="AD285" s="2632"/>
      <c r="AE285" s="549"/>
      <c r="AF285" s="633"/>
      <c r="AG285" s="633"/>
      <c r="AH285" s="633"/>
      <c r="AI285" s="633"/>
      <c r="AJ285" s="549"/>
      <c r="AK285" s="549"/>
      <c r="AL285" s="549"/>
      <c r="AM285" s="549"/>
      <c r="AO285" s="549"/>
      <c r="AP285" s="635"/>
    </row>
    <row r="286" spans="1:52" ht="13.7" customHeight="1">
      <c r="A286" s="549"/>
      <c r="B286" s="594"/>
      <c r="C286" s="2474"/>
      <c r="D286" s="2474"/>
      <c r="E286" s="546"/>
      <c r="F286" s="2633"/>
      <c r="G286" s="2634"/>
      <c r="H286" s="2634"/>
      <c r="I286" s="2634"/>
      <c r="J286" s="2634"/>
      <c r="K286" s="2634"/>
      <c r="L286" s="2634"/>
      <c r="M286" s="2634"/>
      <c r="N286" s="2634"/>
      <c r="O286" s="2634"/>
      <c r="P286" s="2634"/>
      <c r="Q286" s="2634"/>
      <c r="R286" s="2634"/>
      <c r="S286" s="2634"/>
      <c r="T286" s="2634"/>
      <c r="U286" s="2634"/>
      <c r="V286" s="2634"/>
      <c r="W286" s="2634"/>
      <c r="X286" s="2634"/>
      <c r="Y286" s="2634"/>
      <c r="Z286" s="2634"/>
      <c r="AA286" s="2634"/>
      <c r="AB286" s="2634"/>
      <c r="AC286" s="2634"/>
      <c r="AD286" s="2635"/>
      <c r="AE286" s="549"/>
      <c r="AF286" s="633"/>
      <c r="AG286" s="2473"/>
      <c r="AH286" s="2473"/>
      <c r="AI286" s="2473"/>
      <c r="AJ286" s="2473"/>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8" t="s">
        <v>2561</v>
      </c>
      <c r="C289" s="2388"/>
      <c r="D289" s="2388"/>
      <c r="E289" s="2388"/>
      <c r="F289" s="2388"/>
      <c r="G289" s="2388"/>
      <c r="H289" s="2388"/>
      <c r="I289" s="2388"/>
      <c r="J289" s="2388"/>
      <c r="K289" s="2388"/>
      <c r="L289" s="2388"/>
      <c r="M289" s="2388"/>
      <c r="N289" s="2388"/>
      <c r="O289" s="2388"/>
      <c r="P289" s="2388"/>
      <c r="Q289" s="2388"/>
      <c r="R289" s="2388"/>
      <c r="S289" s="2388"/>
      <c r="T289" s="2388"/>
      <c r="U289" s="2388"/>
      <c r="V289" s="2388"/>
      <c r="W289" s="2388"/>
      <c r="X289" s="2388"/>
      <c r="Y289" s="2388"/>
      <c r="Z289" s="2388"/>
      <c r="AA289" s="2388"/>
      <c r="AB289" s="2388"/>
      <c r="AC289" s="2388"/>
      <c r="AD289" s="2388"/>
      <c r="AE289" s="2388"/>
      <c r="AF289" s="2388"/>
      <c r="AG289" s="2388"/>
      <c r="AH289" s="2388"/>
      <c r="AI289" s="2388"/>
      <c r="AJ289" s="2388"/>
      <c r="AK289" s="2388"/>
      <c r="AL289" s="2388"/>
      <c r="AM289" s="549"/>
      <c r="AN289" s="73"/>
    </row>
    <row r="290" spans="1:49">
      <c r="A290" s="549"/>
      <c r="B290" s="2388"/>
      <c r="C290" s="2388"/>
      <c r="D290" s="2388"/>
      <c r="E290" s="2388"/>
      <c r="F290" s="2388"/>
      <c r="G290" s="2388"/>
      <c r="H290" s="2388"/>
      <c r="I290" s="2388"/>
      <c r="J290" s="2388"/>
      <c r="K290" s="2388"/>
      <c r="L290" s="2388"/>
      <c r="M290" s="2388"/>
      <c r="N290" s="2388"/>
      <c r="O290" s="2388"/>
      <c r="P290" s="2388"/>
      <c r="Q290" s="2388"/>
      <c r="R290" s="2388"/>
      <c r="S290" s="2388"/>
      <c r="T290" s="2388"/>
      <c r="U290" s="2388"/>
      <c r="V290" s="2388"/>
      <c r="W290" s="2388"/>
      <c r="X290" s="2388"/>
      <c r="Y290" s="2388"/>
      <c r="Z290" s="2388"/>
      <c r="AA290" s="2388"/>
      <c r="AB290" s="2388"/>
      <c r="AC290" s="2388"/>
      <c r="AD290" s="2388"/>
      <c r="AE290" s="2388"/>
      <c r="AF290" s="2388"/>
      <c r="AG290" s="2388"/>
      <c r="AH290" s="2388"/>
      <c r="AI290" s="2388"/>
      <c r="AJ290" s="2388"/>
      <c r="AK290" s="2388"/>
      <c r="AL290" s="2388"/>
      <c r="AM290" s="549"/>
      <c r="AN290" s="73"/>
    </row>
    <row r="291" spans="1:49">
      <c r="A291" s="549"/>
      <c r="B291" s="2388"/>
      <c r="C291" s="2388"/>
      <c r="D291" s="2388"/>
      <c r="E291" s="2388"/>
      <c r="F291" s="2388"/>
      <c r="G291" s="2388"/>
      <c r="H291" s="2388"/>
      <c r="I291" s="2388"/>
      <c r="J291" s="2388"/>
      <c r="K291" s="2388"/>
      <c r="L291" s="2388"/>
      <c r="M291" s="2388"/>
      <c r="N291" s="2388"/>
      <c r="O291" s="2388"/>
      <c r="P291" s="2388"/>
      <c r="Q291" s="2388"/>
      <c r="R291" s="2388"/>
      <c r="S291" s="2388"/>
      <c r="T291" s="2388"/>
      <c r="U291" s="2388"/>
      <c r="V291" s="2388"/>
      <c r="W291" s="2388"/>
      <c r="X291" s="2388"/>
      <c r="Y291" s="2388"/>
      <c r="Z291" s="2388"/>
      <c r="AA291" s="2388"/>
      <c r="AB291" s="2388"/>
      <c r="AC291" s="2388"/>
      <c r="AD291" s="2388"/>
      <c r="AE291" s="2388"/>
      <c r="AF291" s="2388"/>
      <c r="AG291" s="2388"/>
      <c r="AH291" s="2388"/>
      <c r="AI291" s="2388"/>
      <c r="AJ291" s="2388"/>
      <c r="AK291" s="2388"/>
      <c r="AL291" s="2388"/>
      <c r="AM291" s="549"/>
      <c r="AN291" s="73"/>
    </row>
    <row r="292" spans="1:49">
      <c r="A292" s="549"/>
      <c r="B292" s="2388"/>
      <c r="C292" s="2388"/>
      <c r="D292" s="2388"/>
      <c r="E292" s="2388"/>
      <c r="F292" s="2388"/>
      <c r="G292" s="2388"/>
      <c r="H292" s="2388"/>
      <c r="I292" s="2388"/>
      <c r="J292" s="2388"/>
      <c r="K292" s="2388"/>
      <c r="L292" s="2388"/>
      <c r="M292" s="2388"/>
      <c r="N292" s="2388"/>
      <c r="O292" s="2388"/>
      <c r="P292" s="2388"/>
      <c r="Q292" s="2388"/>
      <c r="R292" s="2388"/>
      <c r="S292" s="2388"/>
      <c r="T292" s="2388"/>
      <c r="U292" s="2388"/>
      <c r="V292" s="2388"/>
      <c r="W292" s="2388"/>
      <c r="X292" s="2388"/>
      <c r="Y292" s="2388"/>
      <c r="Z292" s="2388"/>
      <c r="AA292" s="2388"/>
      <c r="AB292" s="2388"/>
      <c r="AC292" s="2388"/>
      <c r="AD292" s="2388"/>
      <c r="AE292" s="2388"/>
      <c r="AF292" s="2388"/>
      <c r="AG292" s="2388"/>
      <c r="AH292" s="2388"/>
      <c r="AI292" s="2388"/>
      <c r="AJ292" s="2388"/>
      <c r="AK292" s="2388"/>
      <c r="AL292" s="2388"/>
      <c r="AM292" s="549"/>
      <c r="AN292" s="73"/>
    </row>
    <row r="293" spans="1:49">
      <c r="A293" s="549"/>
      <c r="B293" s="2388"/>
      <c r="C293" s="2388"/>
      <c r="D293" s="2388"/>
      <c r="E293" s="2388"/>
      <c r="F293" s="2388"/>
      <c r="G293" s="2388"/>
      <c r="H293" s="2388"/>
      <c r="I293" s="2388"/>
      <c r="J293" s="2388"/>
      <c r="K293" s="2388"/>
      <c r="L293" s="2388"/>
      <c r="M293" s="2388"/>
      <c r="N293" s="2388"/>
      <c r="O293" s="2388"/>
      <c r="P293" s="2388"/>
      <c r="Q293" s="2388"/>
      <c r="R293" s="2388"/>
      <c r="S293" s="2388"/>
      <c r="T293" s="2388"/>
      <c r="U293" s="2388"/>
      <c r="V293" s="2388"/>
      <c r="W293" s="2388"/>
      <c r="X293" s="2388"/>
      <c r="Y293" s="2388"/>
      <c r="Z293" s="2388"/>
      <c r="AA293" s="2388"/>
      <c r="AB293" s="2388"/>
      <c r="AC293" s="2388"/>
      <c r="AD293" s="2388"/>
      <c r="AE293" s="2388"/>
      <c r="AF293" s="2388"/>
      <c r="AG293" s="2388"/>
      <c r="AH293" s="2388"/>
      <c r="AI293" s="2388"/>
      <c r="AJ293" s="2388"/>
      <c r="AK293" s="2388"/>
      <c r="AL293" s="2388"/>
      <c r="AM293" s="549"/>
      <c r="AN293" s="73"/>
    </row>
    <row r="294" spans="1:49">
      <c r="A294" s="549"/>
      <c r="B294" s="2388"/>
      <c r="C294" s="2388"/>
      <c r="D294" s="2388"/>
      <c r="E294" s="2388"/>
      <c r="F294" s="2388"/>
      <c r="G294" s="2388"/>
      <c r="H294" s="2388"/>
      <c r="I294" s="2388"/>
      <c r="J294" s="2388"/>
      <c r="K294" s="2388"/>
      <c r="L294" s="2388"/>
      <c r="M294" s="2388"/>
      <c r="N294" s="2388"/>
      <c r="O294" s="2388"/>
      <c r="P294" s="2388"/>
      <c r="Q294" s="2388"/>
      <c r="R294" s="2388"/>
      <c r="S294" s="2388"/>
      <c r="T294" s="2388"/>
      <c r="U294" s="2388"/>
      <c r="V294" s="2388"/>
      <c r="W294" s="2388"/>
      <c r="X294" s="2388"/>
      <c r="Y294" s="2388"/>
      <c r="Z294" s="2388"/>
      <c r="AA294" s="2388"/>
      <c r="AB294" s="2388"/>
      <c r="AC294" s="2388"/>
      <c r="AD294" s="2388"/>
      <c r="AE294" s="2388"/>
      <c r="AF294" s="2388"/>
      <c r="AG294" s="2388"/>
      <c r="AH294" s="2388"/>
      <c r="AI294" s="2388"/>
      <c r="AJ294" s="2388"/>
      <c r="AK294" s="2388"/>
      <c r="AL294" s="2388"/>
      <c r="AM294" s="549"/>
      <c r="AN294" s="73"/>
    </row>
    <row r="295" spans="1:49">
      <c r="A295" s="549"/>
      <c r="B295" s="2388"/>
      <c r="C295" s="2388"/>
      <c r="D295" s="2388"/>
      <c r="E295" s="2388"/>
      <c r="F295" s="2388"/>
      <c r="G295" s="2388"/>
      <c r="H295" s="2388"/>
      <c r="I295" s="2388"/>
      <c r="J295" s="2388"/>
      <c r="K295" s="2388"/>
      <c r="L295" s="2388"/>
      <c r="M295" s="2388"/>
      <c r="N295" s="2388"/>
      <c r="O295" s="2388"/>
      <c r="P295" s="2388"/>
      <c r="Q295" s="2388"/>
      <c r="R295" s="2388"/>
      <c r="S295" s="2388"/>
      <c r="T295" s="2388"/>
      <c r="U295" s="2388"/>
      <c r="V295" s="2388"/>
      <c r="W295" s="2388"/>
      <c r="X295" s="2388"/>
      <c r="Y295" s="2388"/>
      <c r="Z295" s="2388"/>
      <c r="AA295" s="2388"/>
      <c r="AB295" s="2388"/>
      <c r="AC295" s="2388"/>
      <c r="AD295" s="2388"/>
      <c r="AE295" s="2388"/>
      <c r="AF295" s="2388"/>
      <c r="AG295" s="2388"/>
      <c r="AH295" s="2388"/>
      <c r="AI295" s="2388"/>
      <c r="AJ295" s="2388"/>
      <c r="AK295" s="2388"/>
      <c r="AL295" s="2388"/>
      <c r="AM295" s="549"/>
      <c r="AN295" s="73"/>
    </row>
    <row r="296" spans="1:49">
      <c r="A296" s="549"/>
      <c r="B296" s="2388"/>
      <c r="C296" s="2388"/>
      <c r="D296" s="2388"/>
      <c r="E296" s="2388"/>
      <c r="F296" s="2388"/>
      <c r="G296" s="2388"/>
      <c r="H296" s="2388"/>
      <c r="I296" s="2388"/>
      <c r="J296" s="2388"/>
      <c r="K296" s="2388"/>
      <c r="L296" s="2388"/>
      <c r="M296" s="2388"/>
      <c r="N296" s="2388"/>
      <c r="O296" s="2388"/>
      <c r="P296" s="2388"/>
      <c r="Q296" s="2388"/>
      <c r="R296" s="2388"/>
      <c r="S296" s="2388"/>
      <c r="T296" s="2388"/>
      <c r="U296" s="2388"/>
      <c r="V296" s="2388"/>
      <c r="W296" s="2388"/>
      <c r="X296" s="2388"/>
      <c r="Y296" s="2388"/>
      <c r="Z296" s="2388"/>
      <c r="AA296" s="2388"/>
      <c r="AB296" s="2388"/>
      <c r="AC296" s="2388"/>
      <c r="AD296" s="2388"/>
      <c r="AE296" s="2388"/>
      <c r="AF296" s="2388"/>
      <c r="AG296" s="2388"/>
      <c r="AH296" s="2388"/>
      <c r="AI296" s="2388"/>
      <c r="AJ296" s="2388"/>
      <c r="AK296" s="2388"/>
      <c r="AL296" s="2388"/>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80">
        <f>IF($C$279="yes",10,0)</f>
        <v>10</v>
      </c>
      <c r="AL298" s="2480"/>
      <c r="AM298" s="2481"/>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2555</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33" t="s">
        <v>1374</v>
      </c>
      <c r="B305" s="1533"/>
      <c r="C305" s="2462" t="s">
        <v>591</v>
      </c>
      <c r="D305" s="2472"/>
      <c r="E305" s="546"/>
      <c r="F305" s="2494" t="s">
        <v>1375</v>
      </c>
      <c r="G305" s="2495"/>
      <c r="H305" s="2495"/>
      <c r="I305" s="2495"/>
      <c r="J305" s="2495"/>
      <c r="K305" s="2495"/>
      <c r="L305" s="2495"/>
      <c r="M305" s="2495"/>
      <c r="N305" s="2495"/>
      <c r="O305" s="2495"/>
      <c r="P305" s="2495"/>
      <c r="Q305" s="2495"/>
      <c r="R305" s="2495"/>
      <c r="S305" s="2495"/>
      <c r="T305" s="2495"/>
      <c r="U305" s="2495"/>
      <c r="V305" s="2495"/>
      <c r="W305" s="2495"/>
      <c r="X305" s="2495"/>
      <c r="Y305" s="2495"/>
      <c r="Z305" s="2495"/>
      <c r="AA305" s="2495"/>
      <c r="AB305" s="2495"/>
      <c r="AC305" s="2495"/>
      <c r="AD305" s="2496"/>
      <c r="AE305" s="640"/>
      <c r="AF305" s="549"/>
      <c r="AG305" s="2497" t="s">
        <v>1981</v>
      </c>
      <c r="AH305" s="2497"/>
      <c r="AI305" s="2497"/>
      <c r="AJ305" s="2497"/>
      <c r="AK305" s="2497"/>
      <c r="AL305" s="549"/>
      <c r="AM305" s="549"/>
      <c r="AN305" s="73"/>
      <c r="AO305" s="14"/>
      <c r="AP305" s="30"/>
      <c r="AS305" s="568"/>
      <c r="AT305" s="568"/>
      <c r="AU305" s="568"/>
      <c r="AV305" s="32"/>
      <c r="AW305" s="32"/>
    </row>
    <row r="306" spans="1:49">
      <c r="A306" s="638"/>
      <c r="B306" s="594"/>
      <c r="F306" s="2466"/>
      <c r="G306" s="2467"/>
      <c r="H306" s="2467"/>
      <c r="I306" s="2467"/>
      <c r="J306" s="2467"/>
      <c r="K306" s="2467"/>
      <c r="L306" s="2467"/>
      <c r="M306" s="2467"/>
      <c r="N306" s="2467"/>
      <c r="O306" s="2467"/>
      <c r="P306" s="2467"/>
      <c r="Q306" s="2467"/>
      <c r="R306" s="2467"/>
      <c r="S306" s="2467"/>
      <c r="T306" s="2467"/>
      <c r="U306" s="2467"/>
      <c r="V306" s="2467"/>
      <c r="W306" s="2467"/>
      <c r="X306" s="2467"/>
      <c r="Y306" s="2467"/>
      <c r="Z306" s="2467"/>
      <c r="AA306" s="2467"/>
      <c r="AB306" s="2467"/>
      <c r="AC306" s="2467"/>
      <c r="AD306" s="2468"/>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6"/>
      <c r="G307" s="2467"/>
      <c r="H307" s="2467"/>
      <c r="I307" s="2467"/>
      <c r="J307" s="2467"/>
      <c r="K307" s="2467"/>
      <c r="L307" s="2467"/>
      <c r="M307" s="2467"/>
      <c r="N307" s="2467"/>
      <c r="O307" s="2467"/>
      <c r="P307" s="2467"/>
      <c r="Q307" s="2467"/>
      <c r="R307" s="2467"/>
      <c r="S307" s="2467"/>
      <c r="T307" s="2467"/>
      <c r="U307" s="2467"/>
      <c r="V307" s="2467"/>
      <c r="W307" s="2467"/>
      <c r="X307" s="2467"/>
      <c r="Y307" s="2467"/>
      <c r="Z307" s="2467"/>
      <c r="AA307" s="2467"/>
      <c r="AB307" s="2467"/>
      <c r="AC307" s="2467"/>
      <c r="AD307" s="2468"/>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66" t="s">
        <v>1986</v>
      </c>
      <c r="G308" s="2467"/>
      <c r="H308" s="2467"/>
      <c r="I308" s="2467"/>
      <c r="J308" s="2467"/>
      <c r="K308" s="2467"/>
      <c r="L308" s="2467"/>
      <c r="M308" s="2467"/>
      <c r="N308" s="2467"/>
      <c r="O308" s="2467"/>
      <c r="P308" s="2467"/>
      <c r="Q308" s="2467"/>
      <c r="R308" s="2467"/>
      <c r="S308" s="2467"/>
      <c r="T308" s="2467"/>
      <c r="U308" s="2467"/>
      <c r="V308" s="2467"/>
      <c r="W308" s="2467"/>
      <c r="X308" s="2467"/>
      <c r="Y308" s="2467"/>
      <c r="Z308" s="2467"/>
      <c r="AA308" s="2467"/>
      <c r="AB308" s="2467"/>
      <c r="AC308" s="2467"/>
      <c r="AD308" s="2468"/>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66"/>
      <c r="G309" s="2467"/>
      <c r="H309" s="2467"/>
      <c r="I309" s="2467"/>
      <c r="J309" s="2467"/>
      <c r="K309" s="2467"/>
      <c r="L309" s="2467"/>
      <c r="M309" s="2467"/>
      <c r="N309" s="2467"/>
      <c r="O309" s="2467"/>
      <c r="P309" s="2467"/>
      <c r="Q309" s="2467"/>
      <c r="R309" s="2467"/>
      <c r="S309" s="2467"/>
      <c r="T309" s="2467"/>
      <c r="U309" s="2467"/>
      <c r="V309" s="2467"/>
      <c r="W309" s="2467"/>
      <c r="X309" s="2467"/>
      <c r="Y309" s="2467"/>
      <c r="Z309" s="2467"/>
      <c r="AA309" s="2467"/>
      <c r="AB309" s="2467"/>
      <c r="AC309" s="2467"/>
      <c r="AD309" s="2468"/>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6" t="s">
        <v>1376</v>
      </c>
      <c r="G310" s="2467"/>
      <c r="H310" s="2467"/>
      <c r="I310" s="2467"/>
      <c r="J310" s="2467"/>
      <c r="K310" s="2467"/>
      <c r="L310" s="2467"/>
      <c r="M310" s="2467"/>
      <c r="N310" s="2467"/>
      <c r="O310" s="2467"/>
      <c r="P310" s="2467"/>
      <c r="Q310" s="2467"/>
      <c r="R310" s="2467"/>
      <c r="S310" s="2467"/>
      <c r="T310" s="2467"/>
      <c r="U310" s="2467"/>
      <c r="V310" s="2467"/>
      <c r="W310" s="2467"/>
      <c r="X310" s="2467"/>
      <c r="Y310" s="2467"/>
      <c r="Z310" s="2467"/>
      <c r="AA310" s="2467"/>
      <c r="AB310" s="2467"/>
      <c r="AC310" s="2467"/>
      <c r="AD310" s="2468"/>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6"/>
      <c r="G311" s="2467"/>
      <c r="H311" s="2467"/>
      <c r="I311" s="2467"/>
      <c r="J311" s="2467"/>
      <c r="K311" s="2467"/>
      <c r="L311" s="2467"/>
      <c r="M311" s="2467"/>
      <c r="N311" s="2467"/>
      <c r="O311" s="2467"/>
      <c r="P311" s="2467"/>
      <c r="Q311" s="2467"/>
      <c r="R311" s="2467"/>
      <c r="S311" s="2467"/>
      <c r="T311" s="2467"/>
      <c r="U311" s="2467"/>
      <c r="V311" s="2467"/>
      <c r="W311" s="2467"/>
      <c r="X311" s="2467"/>
      <c r="Y311" s="2467"/>
      <c r="Z311" s="2467"/>
      <c r="AA311" s="2467"/>
      <c r="AB311" s="2467"/>
      <c r="AC311" s="2467"/>
      <c r="AD311" s="2468"/>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6" t="s">
        <v>1377</v>
      </c>
      <c r="G312" s="2467"/>
      <c r="H312" s="2467"/>
      <c r="I312" s="2467"/>
      <c r="J312" s="2467"/>
      <c r="K312" s="2467"/>
      <c r="L312" s="2467"/>
      <c r="M312" s="2467"/>
      <c r="N312" s="2467"/>
      <c r="O312" s="2467"/>
      <c r="P312" s="2467"/>
      <c r="Q312" s="2467"/>
      <c r="R312" s="2467"/>
      <c r="S312" s="2467"/>
      <c r="T312" s="2467"/>
      <c r="U312" s="2467"/>
      <c r="V312" s="2467"/>
      <c r="W312" s="2467"/>
      <c r="X312" s="2467"/>
      <c r="Y312" s="2467"/>
      <c r="Z312" s="2467"/>
      <c r="AA312" s="2467"/>
      <c r="AB312" s="2467"/>
      <c r="AC312" s="2467"/>
      <c r="AD312" s="2468"/>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9"/>
      <c r="G313" s="2470"/>
      <c r="H313" s="2470"/>
      <c r="I313" s="2470"/>
      <c r="J313" s="2470"/>
      <c r="K313" s="2470"/>
      <c r="L313" s="2470"/>
      <c r="M313" s="2470"/>
      <c r="N313" s="2470"/>
      <c r="O313" s="2470"/>
      <c r="P313" s="2470"/>
      <c r="Q313" s="2470"/>
      <c r="R313" s="2470"/>
      <c r="S313" s="2470"/>
      <c r="T313" s="2470"/>
      <c r="U313" s="2470"/>
      <c r="V313" s="2470"/>
      <c r="W313" s="2470"/>
      <c r="X313" s="2470"/>
      <c r="Y313" s="2470"/>
      <c r="Z313" s="2470"/>
      <c r="AA313" s="2470"/>
      <c r="AB313" s="2470"/>
      <c r="AC313" s="2470"/>
      <c r="AD313" s="2471"/>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33" t="s">
        <v>1378</v>
      </c>
      <c r="B315" s="1533"/>
      <c r="C315" s="2472" t="s">
        <v>545</v>
      </c>
      <c r="D315" s="2472"/>
      <c r="E315" s="546"/>
      <c r="F315" s="967" t="s">
        <v>2556</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66" t="s">
        <v>1982</v>
      </c>
      <c r="G316" s="2467"/>
      <c r="H316" s="2467"/>
      <c r="I316" s="2467"/>
      <c r="J316" s="2467"/>
      <c r="K316" s="2467"/>
      <c r="L316" s="2467"/>
      <c r="M316" s="2467"/>
      <c r="N316" s="2467"/>
      <c r="O316" s="2467"/>
      <c r="P316" s="2467"/>
      <c r="Q316" s="2467"/>
      <c r="R316" s="2467"/>
      <c r="S316" s="2467"/>
      <c r="T316" s="2467"/>
      <c r="U316" s="2467"/>
      <c r="V316" s="2467"/>
      <c r="W316" s="2467"/>
      <c r="X316" s="2467"/>
      <c r="Y316" s="2467"/>
      <c r="Z316" s="2467"/>
      <c r="AA316" s="2467"/>
      <c r="AB316" s="2467"/>
      <c r="AC316" s="2467"/>
      <c r="AD316" s="2468"/>
      <c r="AE316" s="550"/>
      <c r="AF316" s="550"/>
      <c r="AG316" s="550"/>
      <c r="AH316" s="550"/>
      <c r="AI316" s="550"/>
      <c r="AJ316" s="549"/>
      <c r="AK316" s="549"/>
      <c r="AL316" s="549"/>
      <c r="AM316" s="549"/>
      <c r="AR316" s="644"/>
    </row>
    <row r="317" spans="1:49" ht="15" customHeight="1">
      <c r="A317" s="549"/>
      <c r="B317" s="550"/>
      <c r="C317" s="549"/>
      <c r="D317" s="550"/>
      <c r="E317" s="549"/>
      <c r="F317" s="2466"/>
      <c r="G317" s="2467"/>
      <c r="H317" s="2467"/>
      <c r="I317" s="2467"/>
      <c r="J317" s="2467"/>
      <c r="K317" s="2467"/>
      <c r="L317" s="2467"/>
      <c r="M317" s="2467"/>
      <c r="N317" s="2467"/>
      <c r="O317" s="2467"/>
      <c r="P317" s="2467"/>
      <c r="Q317" s="2467"/>
      <c r="R317" s="2467"/>
      <c r="S317" s="2467"/>
      <c r="T317" s="2467"/>
      <c r="U317" s="2467"/>
      <c r="V317" s="2467"/>
      <c r="W317" s="2467"/>
      <c r="X317" s="2467"/>
      <c r="Y317" s="2467"/>
      <c r="Z317" s="2467"/>
      <c r="AA317" s="2467"/>
      <c r="AB317" s="2467"/>
      <c r="AC317" s="2467"/>
      <c r="AD317" s="2468"/>
      <c r="AE317" s="550"/>
      <c r="AF317" s="550"/>
      <c r="AG317" s="550"/>
      <c r="AH317" s="550"/>
      <c r="AI317" s="550"/>
      <c r="AJ317" s="549"/>
      <c r="AK317" s="549"/>
      <c r="AL317" s="549"/>
      <c r="AM317" s="549"/>
      <c r="AR317" s="644"/>
    </row>
    <row r="318" spans="1:49">
      <c r="A318" s="549"/>
      <c r="B318" s="550"/>
      <c r="C318" s="549"/>
      <c r="D318" s="550"/>
      <c r="E318" s="549"/>
      <c r="F318" s="2466"/>
      <c r="G318" s="2467"/>
      <c r="H318" s="2467"/>
      <c r="I318" s="2467"/>
      <c r="J318" s="2467"/>
      <c r="K318" s="2467"/>
      <c r="L318" s="2467"/>
      <c r="M318" s="2467"/>
      <c r="N318" s="2467"/>
      <c r="O318" s="2467"/>
      <c r="P318" s="2467"/>
      <c r="Q318" s="2467"/>
      <c r="R318" s="2467"/>
      <c r="S318" s="2467"/>
      <c r="T318" s="2467"/>
      <c r="U318" s="2467"/>
      <c r="V318" s="2467"/>
      <c r="W318" s="2467"/>
      <c r="X318" s="2467"/>
      <c r="Y318" s="2467"/>
      <c r="Z318" s="2467"/>
      <c r="AA318" s="2467"/>
      <c r="AB318" s="2467"/>
      <c r="AC318" s="2467"/>
      <c r="AD318" s="2468"/>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9"/>
      <c r="G319" s="2470"/>
      <c r="H319" s="2470"/>
      <c r="I319" s="2470"/>
      <c r="J319" s="2470"/>
      <c r="K319" s="2470"/>
      <c r="L319" s="2470"/>
      <c r="M319" s="2470"/>
      <c r="N319" s="2470"/>
      <c r="O319" s="2470"/>
      <c r="P319" s="2470"/>
      <c r="Q319" s="2470"/>
      <c r="R319" s="2470"/>
      <c r="S319" s="2470"/>
      <c r="T319" s="2470"/>
      <c r="U319" s="2470"/>
      <c r="V319" s="2470"/>
      <c r="W319" s="2470"/>
      <c r="X319" s="2470"/>
      <c r="Y319" s="2470"/>
      <c r="Z319" s="2470"/>
      <c r="AA319" s="2470"/>
      <c r="AB319" s="2470"/>
      <c r="AC319" s="2470"/>
      <c r="AD319" s="2471"/>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33" t="s">
        <v>1381</v>
      </c>
      <c r="B323" s="1533"/>
      <c r="C323" s="2472" t="s">
        <v>591</v>
      </c>
      <c r="D323" s="2472"/>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66" t="s">
        <v>1987</v>
      </c>
      <c r="G324" s="2467"/>
      <c r="H324" s="2467"/>
      <c r="I324" s="2467"/>
      <c r="J324" s="2467"/>
      <c r="K324" s="2467"/>
      <c r="L324" s="2467"/>
      <c r="M324" s="2467"/>
      <c r="N324" s="2467"/>
      <c r="O324" s="2467"/>
      <c r="P324" s="2467"/>
      <c r="Q324" s="2467"/>
      <c r="R324" s="2467"/>
      <c r="S324" s="2467"/>
      <c r="T324" s="2467"/>
      <c r="U324" s="2467"/>
      <c r="V324" s="2467"/>
      <c r="W324" s="2467"/>
      <c r="X324" s="2467"/>
      <c r="Y324" s="2467"/>
      <c r="Z324" s="2467"/>
      <c r="AA324" s="2467"/>
      <c r="AB324" s="2467"/>
      <c r="AC324" s="2467"/>
      <c r="AD324" s="2468"/>
      <c r="AE324" s="550"/>
      <c r="AF324" s="550"/>
      <c r="AG324" s="539"/>
      <c r="AH324" s="550"/>
      <c r="AI324" s="550"/>
      <c r="AJ324" s="549"/>
      <c r="AK324" s="549"/>
      <c r="AL324" s="549"/>
      <c r="AM324" s="549"/>
      <c r="AN324" s="73"/>
      <c r="AO324" s="14"/>
      <c r="AP324" s="555" t="s">
        <v>1184</v>
      </c>
    </row>
    <row r="325" spans="1:44" hidden="1">
      <c r="F325" s="2466"/>
      <c r="G325" s="2467"/>
      <c r="H325" s="2467"/>
      <c r="I325" s="2467"/>
      <c r="J325" s="2467"/>
      <c r="K325" s="2467"/>
      <c r="L325" s="2467"/>
      <c r="M325" s="2467"/>
      <c r="N325" s="2467"/>
      <c r="O325" s="2467"/>
      <c r="P325" s="2467"/>
      <c r="Q325" s="2467"/>
      <c r="R325" s="2467"/>
      <c r="S325" s="2467"/>
      <c r="T325" s="2467"/>
      <c r="U325" s="2467"/>
      <c r="V325" s="2467"/>
      <c r="W325" s="2467"/>
      <c r="X325" s="2467"/>
      <c r="Y325" s="2467"/>
      <c r="Z325" s="2467"/>
      <c r="AA325" s="2467"/>
      <c r="AB325" s="2467"/>
      <c r="AC325" s="2467"/>
      <c r="AD325" s="2468"/>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1" t="s">
        <v>1184</v>
      </c>
      <c r="G329" s="2502"/>
      <c r="H329" s="2502"/>
      <c r="I329" s="2502"/>
      <c r="J329" s="2502"/>
      <c r="K329" s="2502"/>
      <c r="L329" s="2502"/>
      <c r="M329" s="2502"/>
      <c r="N329" s="2502"/>
      <c r="O329" s="2502"/>
      <c r="P329" s="2502"/>
      <c r="Q329" s="2502"/>
      <c r="R329" s="2502"/>
      <c r="S329" s="2502"/>
      <c r="T329" s="2502"/>
      <c r="U329" s="2502"/>
      <c r="V329" s="2502"/>
      <c r="W329" s="2502"/>
      <c r="X329" s="2502"/>
      <c r="Y329" s="2502"/>
      <c r="Z329" s="2502"/>
      <c r="AA329" s="2502"/>
      <c r="AB329" s="2502"/>
      <c r="AC329" s="2502"/>
      <c r="AD329" s="2503"/>
      <c r="AE329" s="640"/>
      <c r="AF329" s="640"/>
      <c r="AG329" s="640"/>
      <c r="AH329" s="640"/>
      <c r="AI329" s="640"/>
      <c r="AJ329" s="640"/>
      <c r="AK329" s="640"/>
      <c r="AL329" s="549"/>
      <c r="AM329" s="549"/>
      <c r="AN329" s="73"/>
      <c r="AO329" s="14"/>
      <c r="AP329" s="30"/>
    </row>
    <row r="330" spans="1:44" hidden="1">
      <c r="A330" s="549"/>
      <c r="B330" s="550"/>
      <c r="C330" s="726"/>
      <c r="D330" s="726"/>
      <c r="E330" s="546"/>
      <c r="F330" s="2501"/>
      <c r="G330" s="2502"/>
      <c r="H330" s="2502"/>
      <c r="I330" s="2502"/>
      <c r="J330" s="2502"/>
      <c r="K330" s="2502"/>
      <c r="L330" s="2502"/>
      <c r="M330" s="2502"/>
      <c r="N330" s="2502"/>
      <c r="O330" s="2502"/>
      <c r="P330" s="2502"/>
      <c r="Q330" s="2502"/>
      <c r="R330" s="2502"/>
      <c r="S330" s="2502"/>
      <c r="T330" s="2502"/>
      <c r="U330" s="2502"/>
      <c r="V330" s="2502"/>
      <c r="W330" s="2502"/>
      <c r="X330" s="2502"/>
      <c r="Y330" s="2502"/>
      <c r="Z330" s="2502"/>
      <c r="AA330" s="2502"/>
      <c r="AB330" s="2502"/>
      <c r="AC330" s="2502"/>
      <c r="AD330" s="2503"/>
      <c r="AE330" s="550"/>
      <c r="AF330" s="550"/>
      <c r="AG330" s="539"/>
      <c r="AH330" s="550"/>
      <c r="AI330" s="550"/>
      <c r="AJ330" s="549"/>
      <c r="AK330" s="549"/>
      <c r="AL330" s="549"/>
      <c r="AM330" s="549"/>
      <c r="AN330" s="73"/>
      <c r="AO330" s="14"/>
      <c r="AP330" s="30"/>
    </row>
    <row r="331" spans="1:44" hidden="1">
      <c r="A331" s="549"/>
      <c r="B331" s="550"/>
      <c r="C331" s="726"/>
      <c r="D331" s="726"/>
      <c r="E331" s="546"/>
      <c r="F331" s="2501"/>
      <c r="G331" s="2502"/>
      <c r="H331" s="2502"/>
      <c r="I331" s="2502"/>
      <c r="J331" s="2502"/>
      <c r="K331" s="2502"/>
      <c r="L331" s="2502"/>
      <c r="M331" s="2502"/>
      <c r="N331" s="2502"/>
      <c r="O331" s="2502"/>
      <c r="P331" s="2502"/>
      <c r="Q331" s="2502"/>
      <c r="R331" s="2502"/>
      <c r="S331" s="2502"/>
      <c r="T331" s="2502"/>
      <c r="U331" s="2502"/>
      <c r="V331" s="2502"/>
      <c r="W331" s="2502"/>
      <c r="X331" s="2502"/>
      <c r="Y331" s="2502"/>
      <c r="Z331" s="2502"/>
      <c r="AA331" s="2502"/>
      <c r="AB331" s="2502"/>
      <c r="AC331" s="2502"/>
      <c r="AD331" s="2503"/>
      <c r="AE331" s="550"/>
      <c r="AF331" s="550"/>
      <c r="AG331" s="539"/>
      <c r="AH331" s="550"/>
      <c r="AI331" s="550"/>
      <c r="AJ331" s="549"/>
      <c r="AK331" s="549"/>
      <c r="AL331" s="549"/>
      <c r="AM331" s="549"/>
      <c r="AN331" s="73"/>
      <c r="AO331" s="14"/>
      <c r="AP331" s="30"/>
    </row>
    <row r="332" spans="1:44" hidden="1">
      <c r="A332" s="549"/>
      <c r="B332" s="550"/>
      <c r="C332" s="726"/>
      <c r="D332" s="726"/>
      <c r="E332" s="546"/>
      <c r="F332" s="2501"/>
      <c r="G332" s="2502"/>
      <c r="H332" s="2502"/>
      <c r="I332" s="2502"/>
      <c r="J332" s="2502"/>
      <c r="K332" s="2502"/>
      <c r="L332" s="2502"/>
      <c r="M332" s="2502"/>
      <c r="N332" s="2502"/>
      <c r="O332" s="2502"/>
      <c r="P332" s="2502"/>
      <c r="Q332" s="2502"/>
      <c r="R332" s="2502"/>
      <c r="S332" s="2502"/>
      <c r="T332" s="2502"/>
      <c r="U332" s="2502"/>
      <c r="V332" s="2502"/>
      <c r="W332" s="2502"/>
      <c r="X332" s="2502"/>
      <c r="Y332" s="2502"/>
      <c r="Z332" s="2502"/>
      <c r="AA332" s="2502"/>
      <c r="AB332" s="2502"/>
      <c r="AC332" s="2502"/>
      <c r="AD332" s="2503"/>
      <c r="AE332" s="550"/>
      <c r="AF332" s="550"/>
      <c r="AG332" s="539"/>
      <c r="AH332" s="550"/>
      <c r="AI332" s="550"/>
      <c r="AJ332" s="549"/>
      <c r="AK332" s="549"/>
      <c r="AL332" s="549"/>
      <c r="AM332" s="549"/>
      <c r="AN332" s="73"/>
      <c r="AO332" s="14"/>
      <c r="AP332" s="30"/>
    </row>
    <row r="333" spans="1:44" hidden="1">
      <c r="A333" s="549"/>
      <c r="B333" s="550"/>
      <c r="C333" s="726"/>
      <c r="D333" s="726"/>
      <c r="E333" s="546"/>
      <c r="F333" s="2504"/>
      <c r="G333" s="2505"/>
      <c r="H333" s="2505"/>
      <c r="I333" s="2505"/>
      <c r="J333" s="2505"/>
      <c r="K333" s="2505"/>
      <c r="L333" s="2505"/>
      <c r="M333" s="2505"/>
      <c r="N333" s="2505"/>
      <c r="O333" s="2505"/>
      <c r="P333" s="2505"/>
      <c r="Q333" s="2505"/>
      <c r="R333" s="2505"/>
      <c r="S333" s="2505"/>
      <c r="T333" s="2505"/>
      <c r="U333" s="2505"/>
      <c r="V333" s="2505"/>
      <c r="W333" s="2505"/>
      <c r="X333" s="2505"/>
      <c r="Y333" s="2505"/>
      <c r="Z333" s="2505"/>
      <c r="AA333" s="2505"/>
      <c r="AB333" s="2505"/>
      <c r="AC333" s="2505"/>
      <c r="AD333" s="2506"/>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07" t="s">
        <v>1184</v>
      </c>
      <c r="J337" s="2507"/>
      <c r="K337" s="2507"/>
      <c r="L337" s="2507"/>
      <c r="M337" s="2507"/>
      <c r="N337" s="2507"/>
      <c r="O337" s="2507"/>
      <c r="P337" s="2507"/>
      <c r="Q337" s="2507"/>
      <c r="R337" s="2507"/>
      <c r="S337" s="2507"/>
      <c r="T337" s="2507"/>
      <c r="U337" s="2507"/>
      <c r="V337" s="2507"/>
      <c r="W337" s="2507"/>
      <c r="X337" s="2507"/>
      <c r="Y337" s="2507"/>
      <c r="Z337" s="2507"/>
      <c r="AA337" s="2507"/>
      <c r="AB337" s="2507"/>
      <c r="AC337" s="2507"/>
      <c r="AD337" s="2508"/>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07"/>
      <c r="J338" s="2507"/>
      <c r="K338" s="2507"/>
      <c r="L338" s="2507"/>
      <c r="M338" s="2507"/>
      <c r="N338" s="2507"/>
      <c r="O338" s="2507"/>
      <c r="P338" s="2507"/>
      <c r="Q338" s="2507"/>
      <c r="R338" s="2507"/>
      <c r="S338" s="2507"/>
      <c r="T338" s="2507"/>
      <c r="U338" s="2507"/>
      <c r="V338" s="2507"/>
      <c r="W338" s="2507"/>
      <c r="X338" s="2507"/>
      <c r="Y338" s="2507"/>
      <c r="Z338" s="2507"/>
      <c r="AA338" s="2507"/>
      <c r="AB338" s="2507"/>
      <c r="AC338" s="2507"/>
      <c r="AD338" s="2508"/>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07"/>
      <c r="J339" s="2507"/>
      <c r="K339" s="2507"/>
      <c r="L339" s="2507"/>
      <c r="M339" s="2507"/>
      <c r="N339" s="2507"/>
      <c r="O339" s="2507"/>
      <c r="P339" s="2507"/>
      <c r="Q339" s="2507"/>
      <c r="R339" s="2507"/>
      <c r="S339" s="2507"/>
      <c r="T339" s="2507"/>
      <c r="U339" s="2507"/>
      <c r="V339" s="2507"/>
      <c r="W339" s="2507"/>
      <c r="X339" s="2507"/>
      <c r="Y339" s="2507"/>
      <c r="Z339" s="2507"/>
      <c r="AA339" s="2507"/>
      <c r="AB339" s="2507"/>
      <c r="AC339" s="2507"/>
      <c r="AD339" s="2508"/>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09"/>
      <c r="J340" s="2509"/>
      <c r="K340" s="2509"/>
      <c r="L340" s="2509"/>
      <c r="M340" s="2509"/>
      <c r="N340" s="2509"/>
      <c r="O340" s="2509"/>
      <c r="P340" s="2509"/>
      <c r="Q340" s="2509"/>
      <c r="R340" s="2509"/>
      <c r="S340" s="2509"/>
      <c r="T340" s="2509"/>
      <c r="U340" s="2509"/>
      <c r="V340" s="2509"/>
      <c r="W340" s="2509"/>
      <c r="X340" s="2509"/>
      <c r="Y340" s="2509"/>
      <c r="Z340" s="2509"/>
      <c r="AA340" s="2509"/>
      <c r="AB340" s="2509"/>
      <c r="AC340" s="2509"/>
      <c r="AD340" s="2510"/>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07" t="s">
        <v>1184</v>
      </c>
      <c r="J342" s="2507"/>
      <c r="K342" s="2507"/>
      <c r="L342" s="2507"/>
      <c r="M342" s="2507"/>
      <c r="N342" s="2507"/>
      <c r="O342" s="2507"/>
      <c r="P342" s="2507"/>
      <c r="Q342" s="2507"/>
      <c r="R342" s="2507"/>
      <c r="S342" s="2507"/>
      <c r="T342" s="2507"/>
      <c r="U342" s="2507"/>
      <c r="V342" s="2507"/>
      <c r="W342" s="2507"/>
      <c r="X342" s="2507"/>
      <c r="Y342" s="2507"/>
      <c r="Z342" s="2507"/>
      <c r="AA342" s="2507"/>
      <c r="AB342" s="2507"/>
      <c r="AC342" s="2507"/>
      <c r="AD342" s="2508"/>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7"/>
      <c r="J343" s="2507"/>
      <c r="K343" s="2507"/>
      <c r="L343" s="2507"/>
      <c r="M343" s="2507"/>
      <c r="N343" s="2507"/>
      <c r="O343" s="2507"/>
      <c r="P343" s="2507"/>
      <c r="Q343" s="2507"/>
      <c r="R343" s="2507"/>
      <c r="S343" s="2507"/>
      <c r="T343" s="2507"/>
      <c r="U343" s="2507"/>
      <c r="V343" s="2507"/>
      <c r="W343" s="2507"/>
      <c r="X343" s="2507"/>
      <c r="Y343" s="2507"/>
      <c r="Z343" s="2507"/>
      <c r="AA343" s="2507"/>
      <c r="AB343" s="2507"/>
      <c r="AC343" s="2507"/>
      <c r="AD343" s="2508"/>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09"/>
      <c r="J344" s="2509"/>
      <c r="K344" s="2509"/>
      <c r="L344" s="2509"/>
      <c r="M344" s="2509"/>
      <c r="N344" s="2509"/>
      <c r="O344" s="2509"/>
      <c r="P344" s="2509"/>
      <c r="Q344" s="2509"/>
      <c r="R344" s="2509"/>
      <c r="S344" s="2509"/>
      <c r="T344" s="2509"/>
      <c r="U344" s="2509"/>
      <c r="V344" s="2509"/>
      <c r="W344" s="2509"/>
      <c r="X344" s="2509"/>
      <c r="Y344" s="2509"/>
      <c r="Z344" s="2509"/>
      <c r="AA344" s="2509"/>
      <c r="AB344" s="2509"/>
      <c r="AC344" s="2509"/>
      <c r="AD344" s="2510"/>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533" t="s">
        <v>1384</v>
      </c>
      <c r="B346" s="1533"/>
      <c r="C346" s="2472" t="s">
        <v>591</v>
      </c>
      <c r="D346" s="2472"/>
      <c r="E346" s="546"/>
      <c r="F346" s="2405" t="s">
        <v>1988</v>
      </c>
      <c r="G346" s="2406"/>
      <c r="H346" s="2406"/>
      <c r="I346" s="2406"/>
      <c r="J346" s="2406"/>
      <c r="K346" s="2406"/>
      <c r="L346" s="2406"/>
      <c r="M346" s="2406"/>
      <c r="N346" s="2406"/>
      <c r="O346" s="2406"/>
      <c r="P346" s="2406"/>
      <c r="Q346" s="2406"/>
      <c r="R346" s="2406"/>
      <c r="S346" s="2406"/>
      <c r="T346" s="2406"/>
      <c r="U346" s="2406"/>
      <c r="V346" s="2406"/>
      <c r="W346" s="2406"/>
      <c r="X346" s="2406"/>
      <c r="Y346" s="2406"/>
      <c r="Z346" s="2406"/>
      <c r="AA346" s="2406"/>
      <c r="AB346" s="2406"/>
      <c r="AC346" s="2406"/>
      <c r="AD346" s="2407"/>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4"/>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6"/>
      <c r="AE347" s="550"/>
      <c r="AF347" s="550"/>
      <c r="AG347" s="550"/>
      <c r="AH347" s="550"/>
      <c r="AI347" s="550"/>
      <c r="AJ347" s="549"/>
      <c r="AK347" s="549"/>
      <c r="AL347" s="549"/>
      <c r="AM347" s="549"/>
      <c r="AN347" s="73"/>
      <c r="AO347" s="14"/>
    </row>
    <row r="348" spans="1:42" ht="15" hidden="1" customHeight="1">
      <c r="A348" s="549"/>
      <c r="B348" s="550"/>
      <c r="C348" s="550"/>
      <c r="D348" s="550"/>
      <c r="E348" s="550"/>
      <c r="F348" s="2434"/>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6"/>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2588</v>
      </c>
      <c r="AK351" s="2475">
        <f>IF(NOT(OR(Application!M364="Yes",Application!M365="Yes")),0,AP308)</f>
        <v>9</v>
      </c>
      <c r="AL351" s="2476"/>
      <c r="AM351" s="2477"/>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17" t="s">
        <v>1308</v>
      </c>
      <c r="AF354" s="2417"/>
      <c r="AG354" s="2417"/>
      <c r="AH354" s="2417"/>
      <c r="AI354" s="2417"/>
      <c r="AJ354" s="2417"/>
      <c r="AK354" s="2417"/>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1" t="s">
        <v>1445</v>
      </c>
      <c r="D356" s="2511"/>
      <c r="E356" s="2511"/>
      <c r="F356" s="2511"/>
      <c r="G356" s="2511"/>
      <c r="H356" s="2511"/>
      <c r="I356" s="2511"/>
      <c r="J356" s="2511"/>
      <c r="K356" s="2511"/>
      <c r="L356" s="2511"/>
      <c r="M356" s="2511"/>
      <c r="N356" s="2511"/>
      <c r="O356" s="2511"/>
      <c r="P356" s="2511"/>
      <c r="Q356" s="2511"/>
      <c r="R356" s="2511"/>
      <c r="S356" s="2511"/>
      <c r="T356" s="2511"/>
      <c r="U356" s="2511"/>
      <c r="V356" s="2511"/>
      <c r="W356" s="2511"/>
      <c r="X356" s="2511"/>
      <c r="Y356" s="2511"/>
      <c r="Z356" s="2511"/>
      <c r="AA356" s="2511"/>
      <c r="AB356" s="2511"/>
      <c r="AC356" s="2511"/>
      <c r="AD356" s="2511"/>
      <c r="AE356" s="2511"/>
      <c r="AF356" s="2511"/>
      <c r="AG356" s="2511"/>
      <c r="AH356" s="2511"/>
      <c r="AI356" s="2511"/>
      <c r="AJ356" s="2511"/>
      <c r="AK356" s="601"/>
      <c r="AL356" s="601"/>
      <c r="AM356" s="601"/>
      <c r="AN356" s="595"/>
    </row>
    <row r="357" spans="1:44" s="549" customFormat="1" ht="12.75" customHeight="1">
      <c r="A357" s="601"/>
      <c r="B357" s="609"/>
      <c r="C357" s="2511"/>
      <c r="D357" s="2511"/>
      <c r="E357" s="2511"/>
      <c r="F357" s="2511"/>
      <c r="G357" s="2511"/>
      <c r="H357" s="2511"/>
      <c r="I357" s="2511"/>
      <c r="J357" s="2511"/>
      <c r="K357" s="2511"/>
      <c r="L357" s="2511"/>
      <c r="M357" s="2511"/>
      <c r="N357" s="2511"/>
      <c r="O357" s="2511"/>
      <c r="P357" s="2511"/>
      <c r="Q357" s="2511"/>
      <c r="R357" s="2511"/>
      <c r="S357" s="2511"/>
      <c r="T357" s="2511"/>
      <c r="U357" s="2511"/>
      <c r="V357" s="2511"/>
      <c r="W357" s="2511"/>
      <c r="X357" s="2511"/>
      <c r="Y357" s="2511"/>
      <c r="Z357" s="2511"/>
      <c r="AA357" s="2511"/>
      <c r="AB357" s="2511"/>
      <c r="AC357" s="2511"/>
      <c r="AD357" s="2511"/>
      <c r="AE357" s="2511"/>
      <c r="AF357" s="2511"/>
      <c r="AG357" s="2511"/>
      <c r="AH357" s="2511"/>
      <c r="AI357" s="2511"/>
      <c r="AJ357" s="2511"/>
      <c r="AK357" s="601"/>
      <c r="AL357" s="601"/>
      <c r="AM357" s="601"/>
      <c r="AN357" s="595"/>
    </row>
    <row r="358" spans="1:44" s="549" customFormat="1" ht="12.75" customHeight="1">
      <c r="A358" s="601"/>
      <c r="B358" s="609"/>
      <c r="C358" s="2511"/>
      <c r="D358" s="2511"/>
      <c r="E358" s="2511"/>
      <c r="F358" s="2511"/>
      <c r="G358" s="2511"/>
      <c r="H358" s="2511"/>
      <c r="I358" s="2511"/>
      <c r="J358" s="2511"/>
      <c r="K358" s="2511"/>
      <c r="L358" s="2511"/>
      <c r="M358" s="2511"/>
      <c r="N358" s="2511"/>
      <c r="O358" s="2511"/>
      <c r="P358" s="2511"/>
      <c r="Q358" s="2511"/>
      <c r="R358" s="2511"/>
      <c r="S358" s="2511"/>
      <c r="T358" s="2511"/>
      <c r="U358" s="2511"/>
      <c r="V358" s="2511"/>
      <c r="W358" s="2511"/>
      <c r="X358" s="2511"/>
      <c r="Y358" s="2511"/>
      <c r="Z358" s="2511"/>
      <c r="AA358" s="2511"/>
      <c r="AB358" s="2511"/>
      <c r="AC358" s="2511"/>
      <c r="AD358" s="2511"/>
      <c r="AE358" s="2511"/>
      <c r="AF358" s="2511"/>
      <c r="AG358" s="2511"/>
      <c r="AH358" s="2511"/>
      <c r="AI358" s="2511"/>
      <c r="AJ358" s="2511"/>
      <c r="AK358" s="601"/>
      <c r="AL358" s="601"/>
      <c r="AM358" s="601"/>
      <c r="AN358" s="595"/>
      <c r="AQ358" s="568"/>
    </row>
    <row r="359" spans="1:44" s="549" customFormat="1" ht="12.75" customHeight="1">
      <c r="A359" s="601"/>
      <c r="B359" s="609"/>
      <c r="C359" s="2511"/>
      <c r="D359" s="2511"/>
      <c r="E359" s="2511"/>
      <c r="F359" s="2511"/>
      <c r="G359" s="2511"/>
      <c r="H359" s="2511"/>
      <c r="I359" s="2511"/>
      <c r="J359" s="2511"/>
      <c r="K359" s="2511"/>
      <c r="L359" s="2511"/>
      <c r="M359" s="2511"/>
      <c r="N359" s="2511"/>
      <c r="O359" s="2511"/>
      <c r="P359" s="2511"/>
      <c r="Q359" s="2511"/>
      <c r="R359" s="2511"/>
      <c r="S359" s="2511"/>
      <c r="T359" s="2511"/>
      <c r="U359" s="2511"/>
      <c r="V359" s="2511"/>
      <c r="W359" s="2511"/>
      <c r="X359" s="2511"/>
      <c r="Y359" s="2511"/>
      <c r="Z359" s="2511"/>
      <c r="AA359" s="2511"/>
      <c r="AB359" s="2511"/>
      <c r="AC359" s="2511"/>
      <c r="AD359" s="2511"/>
      <c r="AE359" s="2511"/>
      <c r="AF359" s="2511"/>
      <c r="AG359" s="2511"/>
      <c r="AH359" s="2511"/>
      <c r="AI359" s="2511"/>
      <c r="AJ359" s="2511"/>
      <c r="AK359" s="601"/>
      <c r="AL359" s="601"/>
      <c r="AM359" s="601"/>
      <c r="AN359" s="595"/>
      <c r="AQ359" s="568"/>
    </row>
    <row r="360" spans="1:44" s="549" customFormat="1" ht="12.4" customHeight="1">
      <c r="A360" s="601"/>
      <c r="B360" s="609"/>
      <c r="C360" s="2511"/>
      <c r="D360" s="2511"/>
      <c r="E360" s="2511"/>
      <c r="F360" s="2511"/>
      <c r="G360" s="2511"/>
      <c r="H360" s="2511"/>
      <c r="I360" s="2511"/>
      <c r="J360" s="2511"/>
      <c r="K360" s="2511"/>
      <c r="L360" s="2511"/>
      <c r="M360" s="2511"/>
      <c r="N360" s="2511"/>
      <c r="O360" s="2511"/>
      <c r="P360" s="2511"/>
      <c r="Q360" s="2511"/>
      <c r="R360" s="2511"/>
      <c r="S360" s="2511"/>
      <c r="T360" s="2511"/>
      <c r="U360" s="2511"/>
      <c r="V360" s="2511"/>
      <c r="W360" s="2511"/>
      <c r="X360" s="2511"/>
      <c r="Y360" s="2511"/>
      <c r="Z360" s="2511"/>
      <c r="AA360" s="2511"/>
      <c r="AB360" s="2511"/>
      <c r="AC360" s="2511"/>
      <c r="AD360" s="2511"/>
      <c r="AE360" s="2511"/>
      <c r="AF360" s="2511"/>
      <c r="AG360" s="2511"/>
      <c r="AH360" s="2511"/>
      <c r="AI360" s="2511"/>
      <c r="AJ360" s="2511"/>
      <c r="AK360" s="601"/>
      <c r="AL360" s="601"/>
      <c r="AM360" s="601"/>
      <c r="AN360" s="595"/>
      <c r="AQ360" s="568"/>
      <c r="AR360" s="568"/>
    </row>
    <row r="361" spans="1:44" s="549" customFormat="1" ht="45.75" customHeight="1">
      <c r="A361" s="601"/>
      <c r="B361" s="609"/>
      <c r="C361" s="2511" t="s">
        <v>2047</v>
      </c>
      <c r="D361" s="2511"/>
      <c r="E361" s="2511"/>
      <c r="F361" s="2511"/>
      <c r="G361" s="2511"/>
      <c r="H361" s="2511"/>
      <c r="I361" s="2511"/>
      <c r="J361" s="2511"/>
      <c r="K361" s="2511"/>
      <c r="L361" s="2511"/>
      <c r="M361" s="2511"/>
      <c r="N361" s="2511"/>
      <c r="O361" s="2511"/>
      <c r="P361" s="2511"/>
      <c r="Q361" s="2511"/>
      <c r="R361" s="2511"/>
      <c r="S361" s="2511"/>
      <c r="T361" s="2511"/>
      <c r="U361" s="2511"/>
      <c r="V361" s="2511"/>
      <c r="W361" s="2511"/>
      <c r="X361" s="2511"/>
      <c r="Y361" s="2511"/>
      <c r="Z361" s="2511"/>
      <c r="AA361" s="2511"/>
      <c r="AB361" s="2511"/>
      <c r="AC361" s="2511"/>
      <c r="AD361" s="2511"/>
      <c r="AE361" s="2511"/>
      <c r="AF361" s="2511"/>
      <c r="AG361" s="2511"/>
      <c r="AH361" s="2511"/>
      <c r="AI361" s="2511"/>
      <c r="AJ361" s="2511"/>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1" t="s">
        <v>2161</v>
      </c>
      <c r="D363" s="2511"/>
      <c r="E363" s="2511"/>
      <c r="F363" s="2511"/>
      <c r="G363" s="2511"/>
      <c r="H363" s="2511"/>
      <c r="I363" s="2511"/>
      <c r="J363" s="2511"/>
      <c r="K363" s="2511"/>
      <c r="L363" s="2511"/>
      <c r="M363" s="2511"/>
      <c r="N363" s="2511"/>
      <c r="O363" s="2511"/>
      <c r="P363" s="2511"/>
      <c r="Q363" s="2511"/>
      <c r="R363" s="2511"/>
      <c r="S363" s="2511"/>
      <c r="T363" s="2511"/>
      <c r="U363" s="2511"/>
      <c r="V363" s="2511"/>
      <c r="W363" s="2511"/>
      <c r="X363" s="2511"/>
      <c r="Y363" s="2511"/>
      <c r="Z363" s="2511"/>
      <c r="AA363" s="2511"/>
      <c r="AB363" s="2511"/>
      <c r="AC363" s="2511"/>
      <c r="AD363" s="2511"/>
      <c r="AE363" s="2511"/>
      <c r="AF363" s="2511"/>
      <c r="AG363" s="2511"/>
      <c r="AH363" s="2511"/>
      <c r="AI363" s="2511"/>
      <c r="AJ363" s="2511"/>
      <c r="AK363" s="601"/>
      <c r="AL363" s="601"/>
      <c r="AM363" s="601"/>
      <c r="AN363" s="595"/>
      <c r="AQ363" s="568"/>
      <c r="AR363" s="568"/>
    </row>
    <row r="364" spans="1:44" s="549" customFormat="1" ht="30" customHeight="1">
      <c r="A364" s="601"/>
      <c r="B364" s="609"/>
      <c r="C364" s="2511"/>
      <c r="D364" s="2511"/>
      <c r="E364" s="2511"/>
      <c r="F364" s="2511"/>
      <c r="G364" s="2511"/>
      <c r="H364" s="2511"/>
      <c r="I364" s="2511"/>
      <c r="J364" s="2511"/>
      <c r="K364" s="2511"/>
      <c r="L364" s="2511"/>
      <c r="M364" s="2511"/>
      <c r="N364" s="2511"/>
      <c r="O364" s="2511"/>
      <c r="P364" s="2511"/>
      <c r="Q364" s="2511"/>
      <c r="R364" s="2511"/>
      <c r="S364" s="2511"/>
      <c r="T364" s="2511"/>
      <c r="U364" s="2511"/>
      <c r="V364" s="2511"/>
      <c r="W364" s="2511"/>
      <c r="X364" s="2511"/>
      <c r="Y364" s="2511"/>
      <c r="Z364" s="2511"/>
      <c r="AA364" s="2511"/>
      <c r="AB364" s="2511"/>
      <c r="AC364" s="2511"/>
      <c r="AD364" s="2511"/>
      <c r="AE364" s="2511"/>
      <c r="AF364" s="2511"/>
      <c r="AG364" s="2511"/>
      <c r="AH364" s="2511"/>
      <c r="AI364" s="2511"/>
      <c r="AJ364" s="2511"/>
      <c r="AK364" s="601"/>
      <c r="AL364" s="601"/>
      <c r="AM364" s="601"/>
      <c r="AN364" s="595"/>
      <c r="AR364" s="568"/>
    </row>
    <row r="365" spans="1:44" s="549" customFormat="1" ht="12.75" customHeight="1">
      <c r="A365" s="601"/>
      <c r="B365" s="609"/>
      <c r="C365" s="2511"/>
      <c r="D365" s="2511"/>
      <c r="E365" s="2511"/>
      <c r="F365" s="2511"/>
      <c r="G365" s="2511"/>
      <c r="H365" s="2511"/>
      <c r="I365" s="2511"/>
      <c r="J365" s="2511"/>
      <c r="K365" s="2511"/>
      <c r="L365" s="2511"/>
      <c r="M365" s="2511"/>
      <c r="N365" s="2511"/>
      <c r="O365" s="2511"/>
      <c r="P365" s="2511"/>
      <c r="Q365" s="2511"/>
      <c r="R365" s="2511"/>
      <c r="S365" s="2511"/>
      <c r="T365" s="2511"/>
      <c r="U365" s="2511"/>
      <c r="V365" s="2511"/>
      <c r="W365" s="2511"/>
      <c r="X365" s="2511"/>
      <c r="Y365" s="2511"/>
      <c r="Z365" s="2511"/>
      <c r="AA365" s="2511"/>
      <c r="AB365" s="2511"/>
      <c r="AC365" s="2511"/>
      <c r="AD365" s="2511"/>
      <c r="AE365" s="2511"/>
      <c r="AF365" s="2511"/>
      <c r="AG365" s="2511"/>
      <c r="AH365" s="2511"/>
      <c r="AI365" s="2511"/>
      <c r="AJ365" s="2511"/>
      <c r="AK365" s="601"/>
      <c r="AL365" s="601"/>
      <c r="AM365" s="601"/>
      <c r="AN365" s="595"/>
      <c r="AR365" s="568"/>
    </row>
    <row r="366" spans="1:44" s="549" customFormat="1" ht="12.75" customHeight="1">
      <c r="A366" s="601"/>
      <c r="B366" s="609"/>
      <c r="C366" s="2511" t="s">
        <v>1446</v>
      </c>
      <c r="D366" s="2511"/>
      <c r="E366" s="2511"/>
      <c r="F366" s="2511"/>
      <c r="G366" s="2511"/>
      <c r="H366" s="2511"/>
      <c r="I366" s="2511"/>
      <c r="J366" s="2511"/>
      <c r="K366" s="2511"/>
      <c r="L366" s="2511"/>
      <c r="M366" s="2511"/>
      <c r="N366" s="2511"/>
      <c r="O366" s="2511"/>
      <c r="P366" s="2511"/>
      <c r="Q366" s="2511"/>
      <c r="R366" s="2511"/>
      <c r="S366" s="2511"/>
      <c r="T366" s="2511"/>
      <c r="U366" s="2511"/>
      <c r="V366" s="2511"/>
      <c r="W366" s="2511"/>
      <c r="X366" s="2511"/>
      <c r="Y366" s="2511"/>
      <c r="Z366" s="2511"/>
      <c r="AA366" s="2511"/>
      <c r="AB366" s="2511"/>
      <c r="AC366" s="2511"/>
      <c r="AD366" s="2511"/>
      <c r="AE366" s="2511"/>
      <c r="AF366" s="2511"/>
      <c r="AG366" s="2511"/>
      <c r="AH366" s="2511"/>
      <c r="AI366" s="2511"/>
      <c r="AJ366" s="2511"/>
      <c r="AK366" s="601"/>
      <c r="AL366" s="601"/>
      <c r="AM366" s="601"/>
      <c r="AN366" s="595"/>
      <c r="AQ366" s="568"/>
      <c r="AR366" s="568"/>
    </row>
    <row r="367" spans="1:44" s="549" customFormat="1" ht="12.75" customHeight="1">
      <c r="A367" s="601"/>
      <c r="B367" s="609"/>
      <c r="C367" s="2511"/>
      <c r="D367" s="2511"/>
      <c r="E367" s="2511"/>
      <c r="F367" s="2511"/>
      <c r="G367" s="2511"/>
      <c r="H367" s="2511"/>
      <c r="I367" s="2511"/>
      <c r="J367" s="2511"/>
      <c r="K367" s="2511"/>
      <c r="L367" s="2511"/>
      <c r="M367" s="2511"/>
      <c r="N367" s="2511"/>
      <c r="O367" s="2511"/>
      <c r="P367" s="2511"/>
      <c r="Q367" s="2511"/>
      <c r="R367" s="2511"/>
      <c r="S367" s="2511"/>
      <c r="T367" s="2511"/>
      <c r="U367" s="2511"/>
      <c r="V367" s="2511"/>
      <c r="W367" s="2511"/>
      <c r="X367" s="2511"/>
      <c r="Y367" s="2511"/>
      <c r="Z367" s="2511"/>
      <c r="AA367" s="2511"/>
      <c r="AB367" s="2511"/>
      <c r="AC367" s="2511"/>
      <c r="AD367" s="2511"/>
      <c r="AE367" s="2511"/>
      <c r="AF367" s="2511"/>
      <c r="AG367" s="2511"/>
      <c r="AH367" s="2511"/>
      <c r="AI367" s="2511"/>
      <c r="AJ367" s="2511"/>
      <c r="AK367" s="601"/>
      <c r="AL367" s="601"/>
      <c r="AM367" s="601"/>
      <c r="AN367" s="595"/>
      <c r="AQ367" s="568"/>
      <c r="AR367" s="568"/>
    </row>
    <row r="368" spans="1:44" s="549" customFormat="1" ht="13.15" customHeight="1">
      <c r="A368" s="601"/>
      <c r="B368" s="609"/>
      <c r="C368" s="2511"/>
      <c r="D368" s="2511"/>
      <c r="E368" s="2511"/>
      <c r="F368" s="2511"/>
      <c r="G368" s="2511"/>
      <c r="H368" s="2511"/>
      <c r="I368" s="2511"/>
      <c r="J368" s="2511"/>
      <c r="K368" s="2511"/>
      <c r="L368" s="2511"/>
      <c r="M368" s="2511"/>
      <c r="N368" s="2511"/>
      <c r="O368" s="2511"/>
      <c r="P368" s="2511"/>
      <c r="Q368" s="2511"/>
      <c r="R368" s="2511"/>
      <c r="S368" s="2511"/>
      <c r="T368" s="2511"/>
      <c r="U368" s="2511"/>
      <c r="V368" s="2511"/>
      <c r="W368" s="2511"/>
      <c r="X368" s="2511"/>
      <c r="Y368" s="2511"/>
      <c r="Z368" s="2511"/>
      <c r="AA368" s="2511"/>
      <c r="AB368" s="2511"/>
      <c r="AC368" s="2511"/>
      <c r="AD368" s="2511"/>
      <c r="AE368" s="2511"/>
      <c r="AF368" s="2511"/>
      <c r="AG368" s="2511"/>
      <c r="AH368" s="2511"/>
      <c r="AI368" s="2511"/>
      <c r="AJ368" s="2511"/>
      <c r="AK368" s="601"/>
      <c r="AL368" s="601"/>
      <c r="AM368" s="601"/>
      <c r="AN368" s="595"/>
      <c r="AQ368" s="568"/>
      <c r="AR368" s="568"/>
    </row>
    <row r="369" spans="1:46" s="549" customFormat="1" ht="12.75" customHeight="1">
      <c r="A369" s="601"/>
      <c r="B369" s="609"/>
      <c r="C369" s="2511"/>
      <c r="D369" s="2511"/>
      <c r="E369" s="2511"/>
      <c r="F369" s="2511"/>
      <c r="G369" s="2511"/>
      <c r="H369" s="2511"/>
      <c r="I369" s="2511"/>
      <c r="J369" s="2511"/>
      <c r="K369" s="2511"/>
      <c r="L369" s="2511"/>
      <c r="M369" s="2511"/>
      <c r="N369" s="2511"/>
      <c r="O369" s="2511"/>
      <c r="P369" s="2511"/>
      <c r="Q369" s="2511"/>
      <c r="R369" s="2511"/>
      <c r="S369" s="2511"/>
      <c r="T369" s="2511"/>
      <c r="U369" s="2511"/>
      <c r="V369" s="2511"/>
      <c r="W369" s="2511"/>
      <c r="X369" s="2511"/>
      <c r="Y369" s="2511"/>
      <c r="Z369" s="2511"/>
      <c r="AA369" s="2511"/>
      <c r="AB369" s="2511"/>
      <c r="AC369" s="2511"/>
      <c r="AD369" s="2511"/>
      <c r="AE369" s="2511"/>
      <c r="AF369" s="2511"/>
      <c r="AG369" s="2511"/>
      <c r="AH369" s="2511"/>
      <c r="AI369" s="2511"/>
      <c r="AJ369" s="2511"/>
      <c r="AK369" s="601"/>
      <c r="AL369" s="601"/>
      <c r="AM369" s="601"/>
      <c r="AN369" s="595"/>
      <c r="AO369" s="690"/>
      <c r="AP369" s="690"/>
      <c r="AQ369" s="568"/>
    </row>
    <row r="370" spans="1:46" s="549" customFormat="1" ht="11.85" customHeight="1">
      <c r="A370" s="601"/>
      <c r="B370" s="609"/>
      <c r="C370" s="2511"/>
      <c r="D370" s="2511"/>
      <c r="E370" s="2511"/>
      <c r="F370" s="2511"/>
      <c r="G370" s="2511"/>
      <c r="H370" s="2511"/>
      <c r="I370" s="2511"/>
      <c r="J370" s="2511"/>
      <c r="K370" s="2511"/>
      <c r="L370" s="2511"/>
      <c r="M370" s="2511"/>
      <c r="N370" s="2511"/>
      <c r="O370" s="2511"/>
      <c r="P370" s="2511"/>
      <c r="Q370" s="2511"/>
      <c r="R370" s="2511"/>
      <c r="S370" s="2511"/>
      <c r="T370" s="2511"/>
      <c r="U370" s="2511"/>
      <c r="V370" s="2511"/>
      <c r="W370" s="2511"/>
      <c r="X370" s="2511"/>
      <c r="Y370" s="2511"/>
      <c r="Z370" s="2511"/>
      <c r="AA370" s="2511"/>
      <c r="AB370" s="2511"/>
      <c r="AC370" s="2511"/>
      <c r="AD370" s="2511"/>
      <c r="AE370" s="2511"/>
      <c r="AF370" s="2511"/>
      <c r="AG370" s="2511"/>
      <c r="AH370" s="2511"/>
      <c r="AI370" s="2511"/>
      <c r="AJ370" s="2511"/>
      <c r="AK370" s="601"/>
      <c r="AL370" s="601"/>
      <c r="AM370" s="601"/>
      <c r="AN370" s="595"/>
      <c r="AO370" s="691" t="s">
        <v>112</v>
      </c>
      <c r="AP370" s="692">
        <f>IF(C394="Yes",5,0)</f>
        <v>0</v>
      </c>
      <c r="AS370" s="539" t="s">
        <v>1447</v>
      </c>
    </row>
    <row r="371" spans="1:46" s="549" customFormat="1" ht="12.75" customHeight="1">
      <c r="A371" s="601"/>
      <c r="B371" s="609"/>
      <c r="C371" s="2511"/>
      <c r="D371" s="2511"/>
      <c r="E371" s="2511"/>
      <c r="F371" s="2511"/>
      <c r="G371" s="2511"/>
      <c r="H371" s="2511"/>
      <c r="I371" s="2511"/>
      <c r="J371" s="2511"/>
      <c r="K371" s="2511"/>
      <c r="L371" s="2511"/>
      <c r="M371" s="2511"/>
      <c r="N371" s="2511"/>
      <c r="O371" s="2511"/>
      <c r="P371" s="2511"/>
      <c r="Q371" s="2511"/>
      <c r="R371" s="2511"/>
      <c r="S371" s="2511"/>
      <c r="T371" s="2511"/>
      <c r="U371" s="2511"/>
      <c r="V371" s="2511"/>
      <c r="W371" s="2511"/>
      <c r="X371" s="2511"/>
      <c r="Y371" s="2511"/>
      <c r="Z371" s="2511"/>
      <c r="AA371" s="2511"/>
      <c r="AB371" s="2511"/>
      <c r="AC371" s="2511"/>
      <c r="AD371" s="2511"/>
      <c r="AE371" s="2511"/>
      <c r="AF371" s="2511"/>
      <c r="AG371" s="2511"/>
      <c r="AH371" s="2511"/>
      <c r="AI371" s="2511"/>
      <c r="AJ371" s="2511"/>
      <c r="AK371" s="601"/>
      <c r="AL371" s="601"/>
      <c r="AM371" s="601"/>
      <c r="AN371" s="595"/>
      <c r="AO371" s="691" t="s">
        <v>113</v>
      </c>
      <c r="AP371" s="692">
        <f>IF(C402="Yes",5,0)</f>
        <v>0</v>
      </c>
      <c r="AS371" s="2541">
        <f>IF(Application!D211="Non-Targeted",(SUM(AQ379+AQ388)),AS375)</f>
        <v>10</v>
      </c>
      <c r="AT371" s="2541"/>
    </row>
    <row r="372" spans="1:46" s="549" customFormat="1" ht="12.75" customHeight="1">
      <c r="A372" s="601"/>
      <c r="B372" s="609"/>
      <c r="C372" s="2511"/>
      <c r="D372" s="2511"/>
      <c r="E372" s="2511"/>
      <c r="F372" s="2511"/>
      <c r="G372" s="2511"/>
      <c r="H372" s="2511"/>
      <c r="I372" s="2511"/>
      <c r="J372" s="2511"/>
      <c r="K372" s="2511"/>
      <c r="L372" s="2511"/>
      <c r="M372" s="2511"/>
      <c r="N372" s="2511"/>
      <c r="O372" s="2511"/>
      <c r="P372" s="2511"/>
      <c r="Q372" s="2511"/>
      <c r="R372" s="2511"/>
      <c r="S372" s="2511"/>
      <c r="T372" s="2511"/>
      <c r="U372" s="2511"/>
      <c r="V372" s="2511"/>
      <c r="W372" s="2511"/>
      <c r="X372" s="2511"/>
      <c r="Y372" s="2511"/>
      <c r="Z372" s="2511"/>
      <c r="AA372" s="2511"/>
      <c r="AB372" s="2511"/>
      <c r="AC372" s="2511"/>
      <c r="AD372" s="2511"/>
      <c r="AE372" s="2511"/>
      <c r="AF372" s="2511"/>
      <c r="AG372" s="2511"/>
      <c r="AH372" s="2511"/>
      <c r="AI372" s="2511"/>
      <c r="AJ372" s="2511"/>
      <c r="AK372" s="601"/>
      <c r="AL372" s="601"/>
      <c r="AM372" s="601"/>
      <c r="AN372" s="595"/>
      <c r="AO372" s="691" t="s">
        <v>119</v>
      </c>
      <c r="AP372" s="692">
        <f>IF(C410="Yes",7,0)</f>
        <v>7</v>
      </c>
      <c r="AS372" s="539" t="s">
        <v>1448</v>
      </c>
    </row>
    <row r="373" spans="1:46" s="549" customFormat="1" ht="12.75" customHeight="1">
      <c r="B373" s="609"/>
      <c r="C373" s="2511"/>
      <c r="D373" s="2511"/>
      <c r="E373" s="2511"/>
      <c r="F373" s="2511"/>
      <c r="G373" s="2511"/>
      <c r="H373" s="2511"/>
      <c r="I373" s="2511"/>
      <c r="J373" s="2511"/>
      <c r="K373" s="2511"/>
      <c r="L373" s="2511"/>
      <c r="M373" s="2511"/>
      <c r="N373" s="2511"/>
      <c r="O373" s="2511"/>
      <c r="P373" s="2511"/>
      <c r="Q373" s="2511"/>
      <c r="R373" s="2511"/>
      <c r="S373" s="2511"/>
      <c r="T373" s="2511"/>
      <c r="U373" s="2511"/>
      <c r="V373" s="2511"/>
      <c r="W373" s="2511"/>
      <c r="X373" s="2511"/>
      <c r="Y373" s="2511"/>
      <c r="Z373" s="2511"/>
      <c r="AA373" s="2511"/>
      <c r="AB373" s="2511"/>
      <c r="AC373" s="2511"/>
      <c r="AD373" s="2511"/>
      <c r="AE373" s="2511"/>
      <c r="AF373" s="2511"/>
      <c r="AG373" s="2511"/>
      <c r="AH373" s="2511"/>
      <c r="AI373" s="2511"/>
      <c r="AJ373" s="2511"/>
      <c r="AK373" s="601"/>
      <c r="AL373" s="601"/>
      <c r="AM373" s="601"/>
      <c r="AN373" s="595"/>
      <c r="AO373" s="595"/>
      <c r="AP373" s="692">
        <f>IF(C412="Yes",5,0)</f>
        <v>0</v>
      </c>
      <c r="AS373" s="2541">
        <f>IF(AND(AQ379&gt;0,AQ388&gt;0),(AQ379+AQ388)/2,0)</f>
        <v>0</v>
      </c>
      <c r="AT373" s="2541"/>
    </row>
    <row r="374" spans="1:46" s="549" customFormat="1" ht="12.75" customHeight="1">
      <c r="A374" s="601"/>
      <c r="B374" s="609"/>
      <c r="C374" s="2511"/>
      <c r="D374" s="2511"/>
      <c r="E374" s="2511"/>
      <c r="F374" s="2511"/>
      <c r="G374" s="2511"/>
      <c r="H374" s="2511"/>
      <c r="I374" s="2511"/>
      <c r="J374" s="2511"/>
      <c r="K374" s="2511"/>
      <c r="L374" s="2511"/>
      <c r="M374" s="2511"/>
      <c r="N374" s="2511"/>
      <c r="O374" s="2511"/>
      <c r="P374" s="2511"/>
      <c r="Q374" s="2511"/>
      <c r="R374" s="2511"/>
      <c r="S374" s="2511"/>
      <c r="T374" s="2511"/>
      <c r="U374" s="2511"/>
      <c r="V374" s="2511"/>
      <c r="W374" s="2511"/>
      <c r="X374" s="2511"/>
      <c r="Y374" s="2511"/>
      <c r="Z374" s="2511"/>
      <c r="AA374" s="2511"/>
      <c r="AB374" s="2511"/>
      <c r="AC374" s="2511"/>
      <c r="AD374" s="2511"/>
      <c r="AE374" s="2511"/>
      <c r="AF374" s="2511"/>
      <c r="AG374" s="2511"/>
      <c r="AH374" s="2511"/>
      <c r="AI374" s="2511"/>
      <c r="AJ374" s="2511"/>
      <c r="AK374" s="601"/>
      <c r="AL374" s="601"/>
      <c r="AM374" s="601"/>
      <c r="AN374" s="595"/>
      <c r="AO374" s="691" t="s">
        <v>581</v>
      </c>
      <c r="AP374" s="692">
        <f>IF(C420="Yes",5,0)</f>
        <v>0</v>
      </c>
      <c r="AS374" s="539" t="s">
        <v>1852</v>
      </c>
    </row>
    <row r="375" spans="1:46" s="549" customFormat="1" ht="12.75" customHeight="1">
      <c r="A375" s="601"/>
      <c r="B375" s="609"/>
      <c r="C375" s="2542" t="s">
        <v>2185</v>
      </c>
      <c r="D375" s="2542"/>
      <c r="E375" s="2542"/>
      <c r="F375" s="2542"/>
      <c r="G375" s="2542"/>
      <c r="H375" s="2542"/>
      <c r="I375" s="2542"/>
      <c r="J375" s="2542"/>
      <c r="K375" s="2542"/>
      <c r="L375" s="2542"/>
      <c r="M375" s="2542"/>
      <c r="N375" s="2542"/>
      <c r="O375" s="2542"/>
      <c r="P375" s="2542"/>
      <c r="Q375" s="2542"/>
      <c r="R375" s="2542"/>
      <c r="S375" s="2542"/>
      <c r="T375" s="2542"/>
      <c r="U375" s="2542"/>
      <c r="V375" s="2542"/>
      <c r="W375" s="2542"/>
      <c r="X375" s="2542"/>
      <c r="Y375" s="2542"/>
      <c r="Z375" s="2542"/>
      <c r="AA375" s="2542"/>
      <c r="AB375" s="2542"/>
      <c r="AC375" s="2542"/>
      <c r="AD375" s="2542"/>
      <c r="AE375" s="2542"/>
      <c r="AF375" s="2542"/>
      <c r="AG375" s="2542"/>
      <c r="AH375" s="2542"/>
      <c r="AI375" s="2542"/>
      <c r="AJ375" s="2542"/>
      <c r="AK375" s="601"/>
      <c r="AL375" s="601"/>
      <c r="AM375" s="601"/>
      <c r="AN375" s="595"/>
      <c r="AO375" s="595"/>
      <c r="AP375" s="692">
        <f>IF(C422="Yes",3,0)</f>
        <v>3</v>
      </c>
      <c r="AS375" s="2541">
        <f>IF(AQ379=0,AQ388,AQ379)</f>
        <v>10</v>
      </c>
      <c r="AT375" s="2541"/>
    </row>
    <row r="376" spans="1:46" s="549" customFormat="1" ht="12.75" customHeight="1">
      <c r="A376" s="601"/>
      <c r="B376" s="609"/>
      <c r="C376" s="2542"/>
      <c r="D376" s="2542"/>
      <c r="E376" s="2542"/>
      <c r="F376" s="2542"/>
      <c r="G376" s="2542"/>
      <c r="H376" s="2542"/>
      <c r="I376" s="2542"/>
      <c r="J376" s="2542"/>
      <c r="K376" s="2542"/>
      <c r="L376" s="2542"/>
      <c r="M376" s="2542"/>
      <c r="N376" s="2542"/>
      <c r="O376" s="2542"/>
      <c r="P376" s="2542"/>
      <c r="Q376" s="2542"/>
      <c r="R376" s="2542"/>
      <c r="S376" s="2542"/>
      <c r="T376" s="2542"/>
      <c r="U376" s="2542"/>
      <c r="V376" s="2542"/>
      <c r="W376" s="2542"/>
      <c r="X376" s="2542"/>
      <c r="Y376" s="2542"/>
      <c r="Z376" s="2542"/>
      <c r="AA376" s="2542"/>
      <c r="AB376" s="2542"/>
      <c r="AC376" s="2542"/>
      <c r="AD376" s="2542"/>
      <c r="AE376" s="2542"/>
      <c r="AF376" s="2542"/>
      <c r="AG376" s="2542"/>
      <c r="AH376" s="2542"/>
      <c r="AI376" s="2542"/>
      <c r="AJ376" s="2542"/>
      <c r="AK376" s="601"/>
      <c r="AL376" s="601"/>
      <c r="AM376" s="601"/>
      <c r="AN376" s="595"/>
      <c r="AO376" s="691" t="s">
        <v>763</v>
      </c>
      <c r="AP376" s="692">
        <f>IF(C425="Yes",5,0)</f>
        <v>0</v>
      </c>
    </row>
    <row r="377" spans="1:46" s="549" customFormat="1" ht="12.75" customHeight="1">
      <c r="A377" s="601"/>
      <c r="B377" s="609"/>
      <c r="C377" s="2542"/>
      <c r="D377" s="2542"/>
      <c r="E377" s="2542"/>
      <c r="F377" s="2542"/>
      <c r="G377" s="2542"/>
      <c r="H377" s="2542"/>
      <c r="I377" s="2542"/>
      <c r="J377" s="2542"/>
      <c r="K377" s="2542"/>
      <c r="L377" s="2542"/>
      <c r="M377" s="2542"/>
      <c r="N377" s="2542"/>
      <c r="O377" s="2542"/>
      <c r="P377" s="2542"/>
      <c r="Q377" s="2542"/>
      <c r="R377" s="2542"/>
      <c r="S377" s="2542"/>
      <c r="T377" s="2542"/>
      <c r="U377" s="2542"/>
      <c r="V377" s="2542"/>
      <c r="W377" s="2542"/>
      <c r="X377" s="2542"/>
      <c r="Y377" s="2542"/>
      <c r="Z377" s="2542"/>
      <c r="AA377" s="2542"/>
      <c r="AB377" s="2542"/>
      <c r="AC377" s="2542"/>
      <c r="AD377" s="2542"/>
      <c r="AE377" s="2542"/>
      <c r="AF377" s="2542"/>
      <c r="AG377" s="2542"/>
      <c r="AH377" s="2542"/>
      <c r="AI377" s="2542"/>
      <c r="AJ377" s="2542"/>
      <c r="AK377" s="601"/>
      <c r="AL377" s="601"/>
      <c r="AM377" s="601"/>
      <c r="AN377" s="595"/>
      <c r="AO377" s="691" t="s">
        <v>584</v>
      </c>
      <c r="AP377" s="692">
        <f>IF(C434="Yes",5,0)</f>
        <v>0</v>
      </c>
    </row>
    <row r="378" spans="1:46" s="549" customFormat="1" ht="11.85" customHeight="1">
      <c r="A378" s="601"/>
      <c r="B378" s="609"/>
      <c r="C378" s="2542"/>
      <c r="D378" s="2542"/>
      <c r="E378" s="2542"/>
      <c r="F378" s="2542"/>
      <c r="G378" s="2542"/>
      <c r="H378" s="2542"/>
      <c r="I378" s="2542"/>
      <c r="J378" s="2542"/>
      <c r="K378" s="2542"/>
      <c r="L378" s="2542"/>
      <c r="M378" s="2542"/>
      <c r="N378" s="2542"/>
      <c r="O378" s="2542"/>
      <c r="P378" s="2542"/>
      <c r="Q378" s="2542"/>
      <c r="R378" s="2542"/>
      <c r="S378" s="2542"/>
      <c r="T378" s="2542"/>
      <c r="U378" s="2542"/>
      <c r="V378" s="2542"/>
      <c r="W378" s="2542"/>
      <c r="X378" s="2542"/>
      <c r="Y378" s="2542"/>
      <c r="Z378" s="2542"/>
      <c r="AA378" s="2542"/>
      <c r="AB378" s="2542"/>
      <c r="AC378" s="2542"/>
      <c r="AD378" s="2542"/>
      <c r="AE378" s="2542"/>
      <c r="AF378" s="2542"/>
      <c r="AG378" s="2542"/>
      <c r="AH378" s="2542"/>
      <c r="AI378" s="2542"/>
      <c r="AJ378" s="2542"/>
      <c r="AK378" s="601"/>
      <c r="AL378" s="601"/>
      <c r="AM378" s="601"/>
      <c r="AN378" s="595"/>
      <c r="AO378" s="693"/>
      <c r="AP378" s="694">
        <f>IF(C436="Yes",3,0)</f>
        <v>0</v>
      </c>
    </row>
    <row r="379" spans="1:46" s="549" customFormat="1" ht="12.4" customHeight="1">
      <c r="A379" s="601"/>
      <c r="B379" s="609"/>
      <c r="C379" s="2542"/>
      <c r="D379" s="2542"/>
      <c r="E379" s="2542"/>
      <c r="F379" s="2542"/>
      <c r="G379" s="2542"/>
      <c r="H379" s="2542"/>
      <c r="I379" s="2542"/>
      <c r="J379" s="2542"/>
      <c r="K379" s="2542"/>
      <c r="L379" s="2542"/>
      <c r="M379" s="2542"/>
      <c r="N379" s="2542"/>
      <c r="O379" s="2542"/>
      <c r="P379" s="2542"/>
      <c r="Q379" s="2542"/>
      <c r="R379" s="2542"/>
      <c r="S379" s="2542"/>
      <c r="T379" s="2542"/>
      <c r="U379" s="2542"/>
      <c r="V379" s="2542"/>
      <c r="W379" s="2542"/>
      <c r="X379" s="2542"/>
      <c r="Y379" s="2542"/>
      <c r="Z379" s="2542"/>
      <c r="AA379" s="2542"/>
      <c r="AB379" s="2542"/>
      <c r="AC379" s="2542"/>
      <c r="AD379" s="2542"/>
      <c r="AE379" s="2542"/>
      <c r="AF379" s="2542"/>
      <c r="AG379" s="2542"/>
      <c r="AH379" s="2542"/>
      <c r="AI379" s="2542"/>
      <c r="AJ379" s="2542"/>
      <c r="AK379" s="601"/>
      <c r="AL379" s="601"/>
      <c r="AM379" s="601"/>
      <c r="AN379" s="595"/>
      <c r="AO379" s="695" t="s">
        <v>227</v>
      </c>
      <c r="AP379" s="696">
        <f>SUM(AP370:AP378)</f>
        <v>10</v>
      </c>
      <c r="AQ379" s="2543">
        <f>IF(AP379&gt;0,AP379,0)</f>
        <v>10</v>
      </c>
      <c r="AR379" s="2543"/>
    </row>
    <row r="380" spans="1:46" s="549" customFormat="1" ht="12.75" customHeight="1">
      <c r="A380" s="601"/>
      <c r="B380" s="609"/>
      <c r="C380" s="2542"/>
      <c r="D380" s="2542"/>
      <c r="E380" s="2542"/>
      <c r="F380" s="2542"/>
      <c r="G380" s="2542"/>
      <c r="H380" s="2542"/>
      <c r="I380" s="2542"/>
      <c r="J380" s="2542"/>
      <c r="K380" s="2542"/>
      <c r="L380" s="2542"/>
      <c r="M380" s="2542"/>
      <c r="N380" s="2542"/>
      <c r="O380" s="2542"/>
      <c r="P380" s="2542"/>
      <c r="Q380" s="2542"/>
      <c r="R380" s="2542"/>
      <c r="S380" s="2542"/>
      <c r="T380" s="2542"/>
      <c r="U380" s="2542"/>
      <c r="V380" s="2542"/>
      <c r="W380" s="2542"/>
      <c r="X380" s="2542"/>
      <c r="Y380" s="2542"/>
      <c r="Z380" s="2542"/>
      <c r="AA380" s="2542"/>
      <c r="AB380" s="2542"/>
      <c r="AC380" s="2542"/>
      <c r="AD380" s="2542"/>
      <c r="AE380" s="2542"/>
      <c r="AF380" s="2542"/>
      <c r="AG380" s="2542"/>
      <c r="AH380" s="2542"/>
      <c r="AI380" s="2542"/>
      <c r="AJ380" s="2542"/>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11" t="s">
        <v>1449</v>
      </c>
      <c r="D382" s="2511"/>
      <c r="E382" s="2511"/>
      <c r="F382" s="2511"/>
      <c r="G382" s="2511"/>
      <c r="H382" s="2511"/>
      <c r="I382" s="2511"/>
      <c r="J382" s="2511"/>
      <c r="K382" s="2511"/>
      <c r="L382" s="2511"/>
      <c r="M382" s="2511"/>
      <c r="N382" s="2511"/>
      <c r="O382" s="2511"/>
      <c r="P382" s="2511"/>
      <c r="Q382" s="2511"/>
      <c r="R382" s="2511"/>
      <c r="S382" s="2511"/>
      <c r="T382" s="2511"/>
      <c r="U382" s="2511"/>
      <c r="V382" s="2511"/>
      <c r="W382" s="2511"/>
      <c r="X382" s="2511"/>
      <c r="Y382" s="2511"/>
      <c r="Z382" s="2511"/>
      <c r="AA382" s="2511"/>
      <c r="AB382" s="2511"/>
      <c r="AC382" s="2511"/>
      <c r="AD382" s="2511"/>
      <c r="AE382" s="2511"/>
      <c r="AF382" s="2511"/>
      <c r="AG382" s="2511"/>
      <c r="AH382" s="2511"/>
      <c r="AI382" s="2511"/>
      <c r="AJ382" s="2511"/>
      <c r="AK382" s="601"/>
      <c r="AL382" s="601"/>
      <c r="AM382" s="601"/>
      <c r="AN382" s="595"/>
      <c r="AO382" s="691" t="s">
        <v>456</v>
      </c>
      <c r="AP382" s="692">
        <f>IF(C455="Yes",5,0)</f>
        <v>0</v>
      </c>
    </row>
    <row r="383" spans="1:46" s="549" customFormat="1" ht="12.75" customHeight="1">
      <c r="A383" s="601"/>
      <c r="B383" s="609"/>
      <c r="C383" s="2511"/>
      <c r="D383" s="2511"/>
      <c r="E383" s="2511"/>
      <c r="F383" s="2511"/>
      <c r="G383" s="2511"/>
      <c r="H383" s="2511"/>
      <c r="I383" s="2511"/>
      <c r="J383" s="2511"/>
      <c r="K383" s="2511"/>
      <c r="L383" s="2511"/>
      <c r="M383" s="2511"/>
      <c r="N383" s="2511"/>
      <c r="O383" s="2511"/>
      <c r="P383" s="2511"/>
      <c r="Q383" s="2511"/>
      <c r="R383" s="2511"/>
      <c r="S383" s="2511"/>
      <c r="T383" s="2511"/>
      <c r="U383" s="2511"/>
      <c r="V383" s="2511"/>
      <c r="W383" s="2511"/>
      <c r="X383" s="2511"/>
      <c r="Y383" s="2511"/>
      <c r="Z383" s="2511"/>
      <c r="AA383" s="2511"/>
      <c r="AB383" s="2511"/>
      <c r="AC383" s="2511"/>
      <c r="AD383" s="2511"/>
      <c r="AE383" s="2511"/>
      <c r="AF383" s="2511"/>
      <c r="AG383" s="2511"/>
      <c r="AH383" s="2511"/>
      <c r="AI383" s="2511"/>
      <c r="AJ383" s="2511"/>
      <c r="AK383" s="601"/>
      <c r="AL383" s="601"/>
      <c r="AM383" s="601"/>
      <c r="AN383" s="595"/>
      <c r="AO383" s="691" t="s">
        <v>461</v>
      </c>
      <c r="AP383" s="692">
        <f>IF(C462="Yes",5,0)</f>
        <v>0</v>
      </c>
    </row>
    <row r="384" spans="1:46" s="549" customFormat="1" ht="68.099999999999994" customHeight="1">
      <c r="A384" s="601"/>
      <c r="B384" s="609"/>
      <c r="C384" s="2511"/>
      <c r="D384" s="2511"/>
      <c r="E384" s="2511"/>
      <c r="F384" s="2511"/>
      <c r="G384" s="2511"/>
      <c r="H384" s="2511"/>
      <c r="I384" s="2511"/>
      <c r="J384" s="2511"/>
      <c r="K384" s="2511"/>
      <c r="L384" s="2511"/>
      <c r="M384" s="2511"/>
      <c r="N384" s="2511"/>
      <c r="O384" s="2511"/>
      <c r="P384" s="2511"/>
      <c r="Q384" s="2511"/>
      <c r="R384" s="2511"/>
      <c r="S384" s="2511"/>
      <c r="T384" s="2511"/>
      <c r="U384" s="2511"/>
      <c r="V384" s="2511"/>
      <c r="W384" s="2511"/>
      <c r="X384" s="2511"/>
      <c r="Y384" s="2511"/>
      <c r="Z384" s="2511"/>
      <c r="AA384" s="2511"/>
      <c r="AB384" s="2511"/>
      <c r="AC384" s="2511"/>
      <c r="AD384" s="2511"/>
      <c r="AE384" s="2511"/>
      <c r="AF384" s="2511"/>
      <c r="AG384" s="2511"/>
      <c r="AH384" s="2511"/>
      <c r="AI384" s="2511"/>
      <c r="AJ384" s="2511"/>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07">
        <f>Application!DU810-U387</f>
        <v>79</v>
      </c>
      <c r="V386" s="2607"/>
      <c r="W386" s="2607"/>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08">
        <f>IF(Application!D211="SRO",Application!DU763,Application!AG764)</f>
        <v>0</v>
      </c>
      <c r="V387" s="2608"/>
      <c r="W387" s="2608"/>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3">
        <f>IF(AP388&gt;0,AP388,0)</f>
        <v>0</v>
      </c>
      <c r="AR388" s="2543"/>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15" t="s">
        <v>1451</v>
      </c>
      <c r="G390" s="2515"/>
      <c r="H390" s="2515"/>
      <c r="I390" s="2515"/>
      <c r="J390" s="2515"/>
      <c r="K390" s="2515"/>
      <c r="L390" s="2515"/>
      <c r="M390" s="2515"/>
      <c r="N390" s="2515"/>
      <c r="O390" s="2515"/>
      <c r="P390" s="2515"/>
      <c r="Q390" s="2515"/>
      <c r="R390" s="2515"/>
      <c r="S390" s="2515"/>
      <c r="T390" s="2515"/>
      <c r="U390" s="2515"/>
      <c r="V390" s="2515"/>
      <c r="W390" s="2515"/>
      <c r="X390" s="2515"/>
      <c r="Y390" s="2515"/>
      <c r="Z390" s="2515"/>
      <c r="AA390" s="2515"/>
      <c r="AB390" s="2515"/>
      <c r="AC390" s="2515"/>
      <c r="AD390" s="2515"/>
      <c r="AE390" s="2515"/>
      <c r="AF390" s="2515"/>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8"/>
      <c r="G391" s="2388"/>
      <c r="H391" s="2388"/>
      <c r="I391" s="2388"/>
      <c r="J391" s="2388"/>
      <c r="K391" s="2388"/>
      <c r="L391" s="2388"/>
      <c r="M391" s="2388"/>
      <c r="N391" s="2388"/>
      <c r="O391" s="2388"/>
      <c r="P391" s="2388"/>
      <c r="Q391" s="2388"/>
      <c r="R391" s="2388"/>
      <c r="S391" s="2388"/>
      <c r="T391" s="2388"/>
      <c r="U391" s="2388"/>
      <c r="V391" s="2388"/>
      <c r="W391" s="2388"/>
      <c r="X391" s="2388"/>
      <c r="Y391" s="2388"/>
      <c r="Z391" s="2388"/>
      <c r="AA391" s="2388"/>
      <c r="AB391" s="2388"/>
      <c r="AC391" s="2388"/>
      <c r="AD391" s="2388"/>
      <c r="AE391" s="2388"/>
      <c r="AF391" s="2388"/>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8"/>
      <c r="G392" s="2388"/>
      <c r="H392" s="2388"/>
      <c r="I392" s="2388"/>
      <c r="J392" s="2388"/>
      <c r="K392" s="2388"/>
      <c r="L392" s="2388"/>
      <c r="M392" s="2388"/>
      <c r="N392" s="2388"/>
      <c r="O392" s="2388"/>
      <c r="P392" s="2388"/>
      <c r="Q392" s="2388"/>
      <c r="R392" s="2388"/>
      <c r="S392" s="2388"/>
      <c r="T392" s="2388"/>
      <c r="U392" s="2388"/>
      <c r="V392" s="2388"/>
      <c r="W392" s="2388"/>
      <c r="X392" s="2388"/>
      <c r="Y392" s="2388"/>
      <c r="Z392" s="2388"/>
      <c r="AA392" s="2388"/>
      <c r="AB392" s="2388"/>
      <c r="AC392" s="2388"/>
      <c r="AD392" s="2388"/>
      <c r="AE392" s="2388"/>
      <c r="AF392" s="2388"/>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8"/>
      <c r="G393" s="2388"/>
      <c r="H393" s="2388"/>
      <c r="I393" s="2388"/>
      <c r="J393" s="2388"/>
      <c r="K393" s="2388"/>
      <c r="L393" s="2388"/>
      <c r="M393" s="2388"/>
      <c r="N393" s="2388"/>
      <c r="O393" s="2388"/>
      <c r="P393" s="2388"/>
      <c r="Q393" s="2388"/>
      <c r="R393" s="2388"/>
      <c r="S393" s="2388"/>
      <c r="T393" s="2388"/>
      <c r="U393" s="2388"/>
      <c r="V393" s="2388"/>
      <c r="W393" s="2388"/>
      <c r="X393" s="2388"/>
      <c r="Y393" s="2388"/>
      <c r="Z393" s="2388"/>
      <c r="AA393" s="2388"/>
      <c r="AB393" s="2388"/>
      <c r="AC393" s="2388"/>
      <c r="AD393" s="2388"/>
      <c r="AE393" s="2388"/>
      <c r="AF393" s="2388"/>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2" t="s">
        <v>591</v>
      </c>
      <c r="D394" s="2472"/>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3" t="s">
        <v>1453</v>
      </c>
      <c r="AG394" s="2513"/>
      <c r="AH394" s="2513"/>
      <c r="AI394" s="2513"/>
      <c r="AJ394" s="2513"/>
      <c r="AK394" s="2513"/>
      <c r="AL394" s="2514"/>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15" t="s">
        <v>1454</v>
      </c>
      <c r="G397" s="2515"/>
      <c r="H397" s="2515"/>
      <c r="I397" s="2515"/>
      <c r="J397" s="2515"/>
      <c r="K397" s="2515"/>
      <c r="L397" s="2515"/>
      <c r="M397" s="2515"/>
      <c r="N397" s="2515"/>
      <c r="O397" s="2515"/>
      <c r="P397" s="2515"/>
      <c r="Q397" s="2515"/>
      <c r="R397" s="2515"/>
      <c r="S397" s="2515"/>
      <c r="T397" s="2515"/>
      <c r="U397" s="2515"/>
      <c r="V397" s="2515"/>
      <c r="W397" s="2515"/>
      <c r="X397" s="2515"/>
      <c r="Y397" s="2515"/>
      <c r="Z397" s="2515"/>
      <c r="AA397" s="2515"/>
      <c r="AB397" s="2515"/>
      <c r="AC397" s="2515"/>
      <c r="AD397" s="2515"/>
      <c r="AE397" s="2515"/>
      <c r="AF397" s="2515"/>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8"/>
      <c r="G398" s="2388"/>
      <c r="H398" s="2388"/>
      <c r="I398" s="2388"/>
      <c r="J398" s="2388"/>
      <c r="K398" s="2388"/>
      <c r="L398" s="2388"/>
      <c r="M398" s="2388"/>
      <c r="N398" s="2388"/>
      <c r="O398" s="2388"/>
      <c r="P398" s="2388"/>
      <c r="Q398" s="2388"/>
      <c r="R398" s="2388"/>
      <c r="S398" s="2388"/>
      <c r="T398" s="2388"/>
      <c r="U398" s="2388"/>
      <c r="V398" s="2388"/>
      <c r="W398" s="2388"/>
      <c r="X398" s="2388"/>
      <c r="Y398" s="2388"/>
      <c r="Z398" s="2388"/>
      <c r="AA398" s="2388"/>
      <c r="AB398" s="2388"/>
      <c r="AC398" s="2388"/>
      <c r="AD398" s="2388"/>
      <c r="AE398" s="2388"/>
      <c r="AF398" s="2388"/>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8"/>
      <c r="G399" s="2388"/>
      <c r="H399" s="2388"/>
      <c r="I399" s="2388"/>
      <c r="J399" s="2388"/>
      <c r="K399" s="2388"/>
      <c r="L399" s="2388"/>
      <c r="M399" s="2388"/>
      <c r="N399" s="2388"/>
      <c r="O399" s="2388"/>
      <c r="P399" s="2388"/>
      <c r="Q399" s="2388"/>
      <c r="R399" s="2388"/>
      <c r="S399" s="2388"/>
      <c r="T399" s="2388"/>
      <c r="U399" s="2388"/>
      <c r="V399" s="2388"/>
      <c r="W399" s="2388"/>
      <c r="X399" s="2388"/>
      <c r="Y399" s="2388"/>
      <c r="Z399" s="2388"/>
      <c r="AA399" s="2388"/>
      <c r="AB399" s="2388"/>
      <c r="AC399" s="2388"/>
      <c r="AD399" s="2388"/>
      <c r="AE399" s="2388"/>
      <c r="AF399" s="2388"/>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8"/>
      <c r="G400" s="2388"/>
      <c r="H400" s="2388"/>
      <c r="I400" s="2388"/>
      <c r="J400" s="2388"/>
      <c r="K400" s="2388"/>
      <c r="L400" s="2388"/>
      <c r="M400" s="2388"/>
      <c r="N400" s="2388"/>
      <c r="O400" s="2388"/>
      <c r="P400" s="2388"/>
      <c r="Q400" s="2388"/>
      <c r="R400" s="2388"/>
      <c r="S400" s="2388"/>
      <c r="T400" s="2388"/>
      <c r="U400" s="2388"/>
      <c r="V400" s="2388"/>
      <c r="W400" s="2388"/>
      <c r="X400" s="2388"/>
      <c r="Y400" s="2388"/>
      <c r="Z400" s="2388"/>
      <c r="AA400" s="2388"/>
      <c r="AB400" s="2388"/>
      <c r="AC400" s="2388"/>
      <c r="AD400" s="2388"/>
      <c r="AE400" s="2388"/>
      <c r="AF400" s="2388"/>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8"/>
      <c r="G401" s="2388"/>
      <c r="H401" s="2388"/>
      <c r="I401" s="2388"/>
      <c r="J401" s="2388"/>
      <c r="K401" s="2388"/>
      <c r="L401" s="2388"/>
      <c r="M401" s="2388"/>
      <c r="N401" s="2388"/>
      <c r="O401" s="2388"/>
      <c r="P401" s="2388"/>
      <c r="Q401" s="2388"/>
      <c r="R401" s="2388"/>
      <c r="S401" s="2388"/>
      <c r="T401" s="2388"/>
      <c r="U401" s="2388"/>
      <c r="V401" s="2388"/>
      <c r="W401" s="2388"/>
      <c r="X401" s="2388"/>
      <c r="Y401" s="2388"/>
      <c r="Z401" s="2388"/>
      <c r="AA401" s="2388"/>
      <c r="AB401" s="2388"/>
      <c r="AC401" s="2388"/>
      <c r="AD401" s="2388"/>
      <c r="AE401" s="2388"/>
      <c r="AF401" s="2388"/>
      <c r="AL401" s="728"/>
      <c r="AN401" s="595"/>
      <c r="BS401" s="30"/>
      <c r="BT401" s="30"/>
      <c r="BU401" s="14"/>
      <c r="BV401" s="14"/>
      <c r="BW401" s="14"/>
      <c r="BX401" s="14"/>
      <c r="BY401" s="14"/>
      <c r="BZ401" s="14"/>
      <c r="CA401" s="14"/>
      <c r="CB401" s="14"/>
      <c r="CC401" s="14"/>
    </row>
    <row r="402" spans="1:81" s="549" customFormat="1" ht="12.75" customHeight="1">
      <c r="A402" s="536"/>
      <c r="B402" s="14"/>
      <c r="C402" s="2512" t="s">
        <v>591</v>
      </c>
      <c r="D402" s="2472"/>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3" t="s">
        <v>1453</v>
      </c>
      <c r="AG402" s="2513"/>
      <c r="AH402" s="2513"/>
      <c r="AI402" s="2513"/>
      <c r="AJ402" s="2513"/>
      <c r="AK402" s="2513"/>
      <c r="AL402" s="2514"/>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15" t="s">
        <v>1456</v>
      </c>
      <c r="G405" s="2515"/>
      <c r="H405" s="2515"/>
      <c r="I405" s="2515"/>
      <c r="J405" s="2515"/>
      <c r="K405" s="2515"/>
      <c r="L405" s="2515"/>
      <c r="M405" s="2515"/>
      <c r="N405" s="2515"/>
      <c r="O405" s="2515"/>
      <c r="P405" s="2515"/>
      <c r="Q405" s="2515"/>
      <c r="R405" s="2515"/>
      <c r="S405" s="2515"/>
      <c r="T405" s="2515"/>
      <c r="U405" s="2515"/>
      <c r="V405" s="2515"/>
      <c r="W405" s="2515"/>
      <c r="X405" s="2515"/>
      <c r="Y405" s="2515"/>
      <c r="Z405" s="2515"/>
      <c r="AA405" s="2515"/>
      <c r="AB405" s="2515"/>
      <c r="AC405" s="2515"/>
      <c r="AD405" s="2515"/>
      <c r="AE405" s="2515"/>
      <c r="AF405" s="2515"/>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8"/>
      <c r="G406" s="2388"/>
      <c r="H406" s="2388"/>
      <c r="I406" s="2388"/>
      <c r="J406" s="2388"/>
      <c r="K406" s="2388"/>
      <c r="L406" s="2388"/>
      <c r="M406" s="2388"/>
      <c r="N406" s="2388"/>
      <c r="O406" s="2388"/>
      <c r="P406" s="2388"/>
      <c r="Q406" s="2388"/>
      <c r="R406" s="2388"/>
      <c r="S406" s="2388"/>
      <c r="T406" s="2388"/>
      <c r="U406" s="2388"/>
      <c r="V406" s="2388"/>
      <c r="W406" s="2388"/>
      <c r="X406" s="2388"/>
      <c r="Y406" s="2388"/>
      <c r="Z406" s="2388"/>
      <c r="AA406" s="2388"/>
      <c r="AB406" s="2388"/>
      <c r="AC406" s="2388"/>
      <c r="AD406" s="2388"/>
      <c r="AE406" s="2388"/>
      <c r="AF406" s="2388"/>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8"/>
      <c r="G407" s="2388"/>
      <c r="H407" s="2388"/>
      <c r="I407" s="2388"/>
      <c r="J407" s="2388"/>
      <c r="K407" s="2388"/>
      <c r="L407" s="2388"/>
      <c r="M407" s="2388"/>
      <c r="N407" s="2388"/>
      <c r="O407" s="2388"/>
      <c r="P407" s="2388"/>
      <c r="Q407" s="2388"/>
      <c r="R407" s="2388"/>
      <c r="S407" s="2388"/>
      <c r="T407" s="2388"/>
      <c r="U407" s="2388"/>
      <c r="V407" s="2388"/>
      <c r="W407" s="2388"/>
      <c r="X407" s="2388"/>
      <c r="Y407" s="2388"/>
      <c r="Z407" s="2388"/>
      <c r="AA407" s="2388"/>
      <c r="AB407" s="2388"/>
      <c r="AC407" s="2388"/>
      <c r="AD407" s="2388"/>
      <c r="AE407" s="2388"/>
      <c r="AF407" s="2388"/>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8"/>
      <c r="G408" s="2388"/>
      <c r="H408" s="2388"/>
      <c r="I408" s="2388"/>
      <c r="J408" s="2388"/>
      <c r="K408" s="2388"/>
      <c r="L408" s="2388"/>
      <c r="M408" s="2388"/>
      <c r="N408" s="2388"/>
      <c r="O408" s="2388"/>
      <c r="P408" s="2388"/>
      <c r="Q408" s="2388"/>
      <c r="R408" s="2388"/>
      <c r="S408" s="2388"/>
      <c r="T408" s="2388"/>
      <c r="U408" s="2388"/>
      <c r="V408" s="2388"/>
      <c r="W408" s="2388"/>
      <c r="X408" s="2388"/>
      <c r="Y408" s="2388"/>
      <c r="Z408" s="2388"/>
      <c r="AA408" s="2388"/>
      <c r="AB408" s="2388"/>
      <c r="AC408" s="2388"/>
      <c r="AD408" s="2388"/>
      <c r="AE408" s="2388"/>
      <c r="AF408" s="2388"/>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8"/>
      <c r="G409" s="2388"/>
      <c r="H409" s="2388"/>
      <c r="I409" s="2388"/>
      <c r="J409" s="2388"/>
      <c r="K409" s="2388"/>
      <c r="L409" s="2388"/>
      <c r="M409" s="2388"/>
      <c r="N409" s="2388"/>
      <c r="O409" s="2388"/>
      <c r="P409" s="2388"/>
      <c r="Q409" s="2388"/>
      <c r="R409" s="2388"/>
      <c r="S409" s="2388"/>
      <c r="T409" s="2388"/>
      <c r="U409" s="2388"/>
      <c r="V409" s="2388"/>
      <c r="W409" s="2388"/>
      <c r="X409" s="2388"/>
      <c r="Y409" s="2388"/>
      <c r="Z409" s="2388"/>
      <c r="AA409" s="2388"/>
      <c r="AB409" s="2388"/>
      <c r="AC409" s="2388"/>
      <c r="AD409" s="2388"/>
      <c r="AE409" s="2388"/>
      <c r="AF409" s="2388"/>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2" t="s">
        <v>545</v>
      </c>
      <c r="D410" s="2472"/>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3" t="s">
        <v>1458</v>
      </c>
      <c r="AG410" s="2513"/>
      <c r="AH410" s="2513"/>
      <c r="AI410" s="2513"/>
      <c r="AJ410" s="2513"/>
      <c r="AK410" s="2513"/>
      <c r="AL410" s="2514"/>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2" t="s">
        <v>591</v>
      </c>
      <c r="D412" s="2472"/>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3" t="s">
        <v>1453</v>
      </c>
      <c r="AG412" s="2513"/>
      <c r="AH412" s="2513"/>
      <c r="AI412" s="2513"/>
      <c r="AJ412" s="2513"/>
      <c r="AK412" s="2513"/>
      <c r="AL412" s="2514"/>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15" t="s">
        <v>1462</v>
      </c>
      <c r="G416" s="2515"/>
      <c r="H416" s="2515"/>
      <c r="I416" s="2515"/>
      <c r="J416" s="2515"/>
      <c r="K416" s="2515"/>
      <c r="L416" s="2515"/>
      <c r="M416" s="2515"/>
      <c r="N416" s="2515"/>
      <c r="O416" s="2515"/>
      <c r="P416" s="2515"/>
      <c r="Q416" s="2515"/>
      <c r="R416" s="2515"/>
      <c r="S416" s="2515"/>
      <c r="T416" s="2515"/>
      <c r="U416" s="2515"/>
      <c r="V416" s="2515"/>
      <c r="W416" s="2515"/>
      <c r="X416" s="2515"/>
      <c r="Y416" s="2515"/>
      <c r="Z416" s="2515"/>
      <c r="AA416" s="2515"/>
      <c r="AB416" s="2515"/>
      <c r="AC416" s="2515"/>
      <c r="AD416" s="2515"/>
      <c r="AE416" s="2515"/>
      <c r="AF416" s="2515"/>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8"/>
      <c r="G417" s="2388"/>
      <c r="H417" s="2388"/>
      <c r="I417" s="2388"/>
      <c r="J417" s="2388"/>
      <c r="K417" s="2388"/>
      <c r="L417" s="2388"/>
      <c r="M417" s="2388"/>
      <c r="N417" s="2388"/>
      <c r="O417" s="2388"/>
      <c r="P417" s="2388"/>
      <c r="Q417" s="2388"/>
      <c r="R417" s="2388"/>
      <c r="S417" s="2388"/>
      <c r="T417" s="2388"/>
      <c r="U417" s="2388"/>
      <c r="V417" s="2388"/>
      <c r="W417" s="2388"/>
      <c r="X417" s="2388"/>
      <c r="Y417" s="2388"/>
      <c r="Z417" s="2388"/>
      <c r="AA417" s="2388"/>
      <c r="AB417" s="2388"/>
      <c r="AC417" s="2388"/>
      <c r="AD417" s="2388"/>
      <c r="AE417" s="2388"/>
      <c r="AF417" s="2388"/>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8"/>
      <c r="G418" s="2388"/>
      <c r="H418" s="2388"/>
      <c r="I418" s="2388"/>
      <c r="J418" s="2388"/>
      <c r="K418" s="2388"/>
      <c r="L418" s="2388"/>
      <c r="M418" s="2388"/>
      <c r="N418" s="2388"/>
      <c r="O418" s="2388"/>
      <c r="P418" s="2388"/>
      <c r="Q418" s="2388"/>
      <c r="R418" s="2388"/>
      <c r="S418" s="2388"/>
      <c r="T418" s="2388"/>
      <c r="U418" s="2388"/>
      <c r="V418" s="2388"/>
      <c r="W418" s="2388"/>
      <c r="X418" s="2388"/>
      <c r="Y418" s="2388"/>
      <c r="Z418" s="2388"/>
      <c r="AA418" s="2388"/>
      <c r="AB418" s="2388"/>
      <c r="AC418" s="2388"/>
      <c r="AD418" s="2388"/>
      <c r="AE418" s="2388"/>
      <c r="AF418" s="2388"/>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8"/>
      <c r="G419" s="2388"/>
      <c r="H419" s="2388"/>
      <c r="I419" s="2388"/>
      <c r="J419" s="2388"/>
      <c r="K419" s="2388"/>
      <c r="L419" s="2388"/>
      <c r="M419" s="2388"/>
      <c r="N419" s="2388"/>
      <c r="O419" s="2388"/>
      <c r="P419" s="2388"/>
      <c r="Q419" s="2388"/>
      <c r="R419" s="2388"/>
      <c r="S419" s="2388"/>
      <c r="T419" s="2388"/>
      <c r="U419" s="2388"/>
      <c r="V419" s="2388"/>
      <c r="W419" s="2388"/>
      <c r="X419" s="2388"/>
      <c r="Y419" s="2388"/>
      <c r="Z419" s="2388"/>
      <c r="AA419" s="2388"/>
      <c r="AB419" s="2388"/>
      <c r="AC419" s="2388"/>
      <c r="AD419" s="2388"/>
      <c r="AE419" s="2388"/>
      <c r="AF419" s="2388"/>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2" t="s">
        <v>591</v>
      </c>
      <c r="D420" s="2472"/>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3" t="s">
        <v>1453</v>
      </c>
      <c r="AG420" s="2513"/>
      <c r="AH420" s="2513"/>
      <c r="AI420" s="2513"/>
      <c r="AJ420" s="2513"/>
      <c r="AK420" s="2513"/>
      <c r="AL420" s="2514"/>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2" t="s">
        <v>545</v>
      </c>
      <c r="D422" s="2472"/>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3" t="s">
        <v>1465</v>
      </c>
      <c r="AG422" s="2513"/>
      <c r="AH422" s="2513"/>
      <c r="AI422" s="2513"/>
      <c r="AJ422" s="2513"/>
      <c r="AK422" s="2513"/>
      <c r="AL422" s="2514"/>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2" t="s">
        <v>591</v>
      </c>
      <c r="D425" s="2472"/>
      <c r="E425" s="711" t="s">
        <v>1466</v>
      </c>
      <c r="F425" s="2515" t="s">
        <v>1467</v>
      </c>
      <c r="G425" s="2515"/>
      <c r="H425" s="2515"/>
      <c r="I425" s="2515"/>
      <c r="J425" s="2515"/>
      <c r="K425" s="2515"/>
      <c r="L425" s="2515"/>
      <c r="M425" s="2515"/>
      <c r="N425" s="2515"/>
      <c r="O425" s="2515"/>
      <c r="P425" s="2515"/>
      <c r="Q425" s="2515"/>
      <c r="R425" s="2515"/>
      <c r="S425" s="2515"/>
      <c r="T425" s="2515"/>
      <c r="U425" s="2515"/>
      <c r="V425" s="2515"/>
      <c r="W425" s="2515"/>
      <c r="X425" s="2515"/>
      <c r="Y425" s="2515"/>
      <c r="Z425" s="2515"/>
      <c r="AA425" s="2515"/>
      <c r="AB425" s="2515"/>
      <c r="AC425" s="2515"/>
      <c r="AD425" s="2515"/>
      <c r="AE425" s="2515"/>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8"/>
      <c r="G426" s="2388"/>
      <c r="H426" s="2388"/>
      <c r="I426" s="2388"/>
      <c r="J426" s="2388"/>
      <c r="K426" s="2388"/>
      <c r="L426" s="2388"/>
      <c r="M426" s="2388"/>
      <c r="N426" s="2388"/>
      <c r="O426" s="2388"/>
      <c r="P426" s="2388"/>
      <c r="Q426" s="2388"/>
      <c r="R426" s="2388"/>
      <c r="S426" s="2388"/>
      <c r="T426" s="2388"/>
      <c r="U426" s="2388"/>
      <c r="V426" s="2388"/>
      <c r="W426" s="2388"/>
      <c r="X426" s="2388"/>
      <c r="Y426" s="2388"/>
      <c r="Z426" s="2388"/>
      <c r="AA426" s="2388"/>
      <c r="AB426" s="2388"/>
      <c r="AC426" s="2388"/>
      <c r="AD426" s="2388"/>
      <c r="AE426" s="2388"/>
      <c r="AF426" s="2450" t="s">
        <v>1453</v>
      </c>
      <c r="AG426" s="2450"/>
      <c r="AH426" s="2450"/>
      <c r="AI426" s="2450"/>
      <c r="AJ426" s="2450"/>
      <c r="AK426" s="2450"/>
      <c r="AL426" s="2516"/>
      <c r="AM426" s="568"/>
      <c r="AN426" s="595"/>
      <c r="BS426" s="568"/>
      <c r="BT426" s="568"/>
      <c r="BY426" s="568"/>
      <c r="BZ426" s="568"/>
      <c r="CA426" s="568"/>
      <c r="CB426" s="568"/>
      <c r="CC426" s="568"/>
    </row>
    <row r="427" spans="1:81" s="549" customFormat="1" ht="12.75" customHeight="1">
      <c r="A427" s="536"/>
      <c r="B427" s="14"/>
      <c r="C427" s="727"/>
      <c r="D427" s="14"/>
      <c r="E427" s="687"/>
      <c r="F427" s="2388"/>
      <c r="G427" s="2388"/>
      <c r="H427" s="2388"/>
      <c r="I427" s="2388"/>
      <c r="J427" s="2388"/>
      <c r="K427" s="2388"/>
      <c r="L427" s="2388"/>
      <c r="M427" s="2388"/>
      <c r="N427" s="2388"/>
      <c r="O427" s="2388"/>
      <c r="P427" s="2388"/>
      <c r="Q427" s="2388"/>
      <c r="R427" s="2388"/>
      <c r="S427" s="2388"/>
      <c r="T427" s="2388"/>
      <c r="U427" s="2388"/>
      <c r="V427" s="2388"/>
      <c r="W427" s="2388"/>
      <c r="X427" s="2388"/>
      <c r="Y427" s="2388"/>
      <c r="Z427" s="2388"/>
      <c r="AA427" s="2388"/>
      <c r="AB427" s="2388"/>
      <c r="AC427" s="2388"/>
      <c r="AD427" s="2388"/>
      <c r="AE427" s="2388"/>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4"/>
      <c r="G428" s="2544"/>
      <c r="H428" s="2544"/>
      <c r="I428" s="2544"/>
      <c r="J428" s="2544"/>
      <c r="K428" s="2544"/>
      <c r="L428" s="2544"/>
      <c r="M428" s="2544"/>
      <c r="N428" s="2544"/>
      <c r="O428" s="2544"/>
      <c r="P428" s="2544"/>
      <c r="Q428" s="2544"/>
      <c r="R428" s="2544"/>
      <c r="S428" s="2544"/>
      <c r="T428" s="2544"/>
      <c r="U428" s="2544"/>
      <c r="V428" s="2544"/>
      <c r="W428" s="2544"/>
      <c r="X428" s="2544"/>
      <c r="Y428" s="2544"/>
      <c r="Z428" s="2544"/>
      <c r="AA428" s="2544"/>
      <c r="AB428" s="2544"/>
      <c r="AC428" s="2544"/>
      <c r="AD428" s="2544"/>
      <c r="AE428" s="2544"/>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15" t="s">
        <v>1469</v>
      </c>
      <c r="G430" s="2515"/>
      <c r="H430" s="2515"/>
      <c r="I430" s="2515"/>
      <c r="J430" s="2515"/>
      <c r="K430" s="2515"/>
      <c r="L430" s="2515"/>
      <c r="M430" s="2515"/>
      <c r="N430" s="2515"/>
      <c r="O430" s="2515"/>
      <c r="P430" s="2515"/>
      <c r="Q430" s="2515"/>
      <c r="R430" s="2515"/>
      <c r="S430" s="2515"/>
      <c r="T430" s="2515"/>
      <c r="U430" s="2515"/>
      <c r="V430" s="2515"/>
      <c r="W430" s="2515"/>
      <c r="X430" s="2515"/>
      <c r="Y430" s="2515"/>
      <c r="Z430" s="2515"/>
      <c r="AA430" s="2515"/>
      <c r="AB430" s="2515"/>
      <c r="AC430" s="2515"/>
      <c r="AD430" s="2515"/>
      <c r="AE430" s="2515"/>
      <c r="AF430" s="743"/>
      <c r="AG430" s="743"/>
      <c r="AH430" s="743"/>
      <c r="AI430" s="743"/>
      <c r="AJ430" s="743"/>
      <c r="AK430" s="743"/>
      <c r="AL430" s="744"/>
      <c r="AM430" s="568"/>
    </row>
    <row r="431" spans="1:81">
      <c r="A431" s="536"/>
      <c r="C431" s="727"/>
      <c r="E431" s="687"/>
      <c r="F431" s="2388"/>
      <c r="G431" s="2388"/>
      <c r="H431" s="2388"/>
      <c r="I431" s="2388"/>
      <c r="J431" s="2388"/>
      <c r="K431" s="2388"/>
      <c r="L431" s="2388"/>
      <c r="M431" s="2388"/>
      <c r="N431" s="2388"/>
      <c r="O431" s="2388"/>
      <c r="P431" s="2388"/>
      <c r="Q431" s="2388"/>
      <c r="R431" s="2388"/>
      <c r="S431" s="2388"/>
      <c r="T431" s="2388"/>
      <c r="U431" s="2388"/>
      <c r="V431" s="2388"/>
      <c r="W431" s="2388"/>
      <c r="X431" s="2388"/>
      <c r="Y431" s="2388"/>
      <c r="Z431" s="2388"/>
      <c r="AA431" s="2388"/>
      <c r="AB431" s="2388"/>
      <c r="AC431" s="2388"/>
      <c r="AD431" s="2388"/>
      <c r="AE431" s="2388"/>
      <c r="AF431" s="539"/>
      <c r="AG431" s="536"/>
      <c r="AH431" s="549"/>
      <c r="AI431" s="549"/>
      <c r="AJ431" s="549"/>
      <c r="AK431" s="549"/>
      <c r="AL431" s="728"/>
      <c r="AM431" s="568"/>
    </row>
    <row r="432" spans="1:81" s="549" customFormat="1" ht="12.75" customHeight="1">
      <c r="A432" s="536"/>
      <c r="B432" s="14"/>
      <c r="C432" s="727"/>
      <c r="D432" s="14"/>
      <c r="E432" s="687"/>
      <c r="F432" s="2388"/>
      <c r="G432" s="2388"/>
      <c r="H432" s="2388"/>
      <c r="I432" s="2388"/>
      <c r="J432" s="2388"/>
      <c r="K432" s="2388"/>
      <c r="L432" s="2388"/>
      <c r="M432" s="2388"/>
      <c r="N432" s="2388"/>
      <c r="O432" s="2388"/>
      <c r="P432" s="2388"/>
      <c r="Q432" s="2388"/>
      <c r="R432" s="2388"/>
      <c r="S432" s="2388"/>
      <c r="T432" s="2388"/>
      <c r="U432" s="2388"/>
      <c r="V432" s="2388"/>
      <c r="W432" s="2388"/>
      <c r="X432" s="2388"/>
      <c r="Y432" s="2388"/>
      <c r="Z432" s="2388"/>
      <c r="AA432" s="2388"/>
      <c r="AB432" s="2388"/>
      <c r="AC432" s="2388"/>
      <c r="AD432" s="2388"/>
      <c r="AE432" s="2388"/>
      <c r="AL432" s="728"/>
      <c r="AM432" s="568"/>
      <c r="AN432" s="595"/>
    </row>
    <row r="433" spans="1:60" s="549" customFormat="1" ht="12.75" customHeight="1">
      <c r="A433" s="536"/>
      <c r="B433" s="14"/>
      <c r="C433" s="735"/>
      <c r="F433" s="2388"/>
      <c r="G433" s="2388"/>
      <c r="H433" s="2388"/>
      <c r="I433" s="2388"/>
      <c r="J433" s="2388"/>
      <c r="K433" s="2388"/>
      <c r="L433" s="2388"/>
      <c r="M433" s="2388"/>
      <c r="N433" s="2388"/>
      <c r="O433" s="2388"/>
      <c r="P433" s="2388"/>
      <c r="Q433" s="2388"/>
      <c r="R433" s="2388"/>
      <c r="S433" s="2388"/>
      <c r="T433" s="2388"/>
      <c r="U433" s="2388"/>
      <c r="V433" s="2388"/>
      <c r="W433" s="2388"/>
      <c r="X433" s="2388"/>
      <c r="Y433" s="2388"/>
      <c r="Z433" s="2388"/>
      <c r="AA433" s="2388"/>
      <c r="AB433" s="2388"/>
      <c r="AC433" s="2388"/>
      <c r="AD433" s="2388"/>
      <c r="AE433" s="2388"/>
      <c r="AL433" s="728"/>
      <c r="AM433" s="568"/>
      <c r="AN433" s="595"/>
    </row>
    <row r="434" spans="1:60" s="549" customFormat="1" ht="12.75" customHeight="1">
      <c r="A434" s="536"/>
      <c r="B434" s="14"/>
      <c r="C434" s="2512" t="s">
        <v>591</v>
      </c>
      <c r="D434" s="2472"/>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0" t="s">
        <v>1453</v>
      </c>
      <c r="AG434" s="2450"/>
      <c r="AH434" s="2450"/>
      <c r="AI434" s="2450"/>
      <c r="AJ434" s="2450"/>
      <c r="AK434" s="2450"/>
      <c r="AL434" s="2516"/>
      <c r="AM434" s="568"/>
      <c r="AN434" s="595"/>
    </row>
    <row r="435" spans="1:60" s="549" customFormat="1" ht="12.75" customHeight="1">
      <c r="A435" s="536"/>
      <c r="B435" s="14"/>
      <c r="C435" s="735"/>
      <c r="AL435" s="728"/>
      <c r="AM435" s="568"/>
      <c r="AN435" s="595"/>
    </row>
    <row r="436" spans="1:60" s="549" customFormat="1" ht="12.75" customHeight="1">
      <c r="A436" s="536"/>
      <c r="B436" s="14"/>
      <c r="C436" s="2512" t="s">
        <v>591</v>
      </c>
      <c r="D436" s="2472"/>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0" t="s">
        <v>1465</v>
      </c>
      <c r="AG436" s="2450"/>
      <c r="AH436" s="2450"/>
      <c r="AI436" s="2450"/>
      <c r="AJ436" s="2450"/>
      <c r="AK436" s="2450"/>
      <c r="AL436" s="2516"/>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15" t="s">
        <v>1473</v>
      </c>
      <c r="G440" s="2515"/>
      <c r="H440" s="2515"/>
      <c r="I440" s="2515"/>
      <c r="J440" s="2515"/>
      <c r="K440" s="2515"/>
      <c r="L440" s="2515"/>
      <c r="M440" s="2515"/>
      <c r="N440" s="2515"/>
      <c r="O440" s="2515"/>
      <c r="P440" s="2515"/>
      <c r="Q440" s="2515"/>
      <c r="R440" s="2515"/>
      <c r="S440" s="2515"/>
      <c r="T440" s="2515"/>
      <c r="U440" s="2515"/>
      <c r="V440" s="2515"/>
      <c r="W440" s="2515"/>
      <c r="X440" s="2515"/>
      <c r="Y440" s="2515"/>
      <c r="Z440" s="2515"/>
      <c r="AA440" s="2515"/>
      <c r="AB440" s="2515"/>
      <c r="AC440" s="2515"/>
      <c r="AD440" s="2515"/>
      <c r="AE440" s="2515"/>
      <c r="AF440" s="710"/>
      <c r="AG440" s="710"/>
      <c r="AH440" s="710"/>
      <c r="AI440" s="710"/>
      <c r="AJ440" s="710"/>
      <c r="AK440" s="710"/>
      <c r="AL440" s="741"/>
      <c r="AM440" s="568"/>
      <c r="AN440" s="595"/>
    </row>
    <row r="441" spans="1:60" s="549" customFormat="1" ht="12.75" customHeight="1">
      <c r="A441" s="536"/>
      <c r="B441" s="14"/>
      <c r="C441" s="727"/>
      <c r="D441" s="14"/>
      <c r="E441" s="687"/>
      <c r="F441" s="2388"/>
      <c r="G441" s="2388"/>
      <c r="H441" s="2388"/>
      <c r="I441" s="2388"/>
      <c r="J441" s="2388"/>
      <c r="K441" s="2388"/>
      <c r="L441" s="2388"/>
      <c r="M441" s="2388"/>
      <c r="N441" s="2388"/>
      <c r="O441" s="2388"/>
      <c r="P441" s="2388"/>
      <c r="Q441" s="2388"/>
      <c r="R441" s="2388"/>
      <c r="S441" s="2388"/>
      <c r="T441" s="2388"/>
      <c r="U441" s="2388"/>
      <c r="V441" s="2388"/>
      <c r="W441" s="2388"/>
      <c r="X441" s="2388"/>
      <c r="Y441" s="2388"/>
      <c r="Z441" s="2388"/>
      <c r="AA441" s="2388"/>
      <c r="AB441" s="2388"/>
      <c r="AC441" s="2388"/>
      <c r="AD441" s="2388"/>
      <c r="AE441" s="2388"/>
      <c r="AF441" s="539"/>
      <c r="AG441" s="536"/>
      <c r="AL441" s="728"/>
      <c r="AM441" s="568"/>
      <c r="AN441" s="595"/>
    </row>
    <row r="442" spans="1:60" s="549" customFormat="1" ht="12.4" customHeight="1">
      <c r="A442" s="536"/>
      <c r="B442" s="14"/>
      <c r="C442" s="727"/>
      <c r="D442" s="14"/>
      <c r="E442" s="687"/>
      <c r="F442" s="2388"/>
      <c r="G442" s="2388"/>
      <c r="H442" s="2388"/>
      <c r="I442" s="2388"/>
      <c r="J442" s="2388"/>
      <c r="K442" s="2388"/>
      <c r="L442" s="2388"/>
      <c r="M442" s="2388"/>
      <c r="N442" s="2388"/>
      <c r="O442" s="2388"/>
      <c r="P442" s="2388"/>
      <c r="Q442" s="2388"/>
      <c r="R442" s="2388"/>
      <c r="S442" s="2388"/>
      <c r="T442" s="2388"/>
      <c r="U442" s="2388"/>
      <c r="V442" s="2388"/>
      <c r="W442" s="2388"/>
      <c r="X442" s="2388"/>
      <c r="Y442" s="2388"/>
      <c r="Z442" s="2388"/>
      <c r="AA442" s="2388"/>
      <c r="AB442" s="2388"/>
      <c r="AC442" s="2388"/>
      <c r="AD442" s="2388"/>
      <c r="AE442" s="2388"/>
      <c r="AL442" s="728"/>
      <c r="AM442" s="568"/>
      <c r="AN442" s="595"/>
    </row>
    <row r="443" spans="1:60" s="549" customFormat="1" ht="12.75" customHeight="1">
      <c r="A443" s="536"/>
      <c r="B443" s="14"/>
      <c r="C443" s="2512" t="s">
        <v>591</v>
      </c>
      <c r="D443" s="2472"/>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0" t="s">
        <v>1453</v>
      </c>
      <c r="AG443" s="2450"/>
      <c r="AH443" s="2450"/>
      <c r="AI443" s="2450"/>
      <c r="AJ443" s="2450"/>
      <c r="AK443" s="2450"/>
      <c r="AL443" s="2516"/>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515" t="s">
        <v>1476</v>
      </c>
      <c r="G446" s="2515"/>
      <c r="H446" s="2515"/>
      <c r="I446" s="2515"/>
      <c r="J446" s="2515"/>
      <c r="K446" s="2515"/>
      <c r="L446" s="2515"/>
      <c r="M446" s="2515"/>
      <c r="N446" s="2515"/>
      <c r="O446" s="2515"/>
      <c r="P446" s="2515"/>
      <c r="Q446" s="2515"/>
      <c r="R446" s="2515"/>
      <c r="S446" s="2515"/>
      <c r="T446" s="2515"/>
      <c r="U446" s="2515"/>
      <c r="V446" s="2515"/>
      <c r="W446" s="2515"/>
      <c r="X446" s="2515"/>
      <c r="Y446" s="2515"/>
      <c r="Z446" s="2515"/>
      <c r="AA446" s="2515"/>
      <c r="AB446" s="2515"/>
      <c r="AC446" s="2515"/>
      <c r="AD446" s="2515"/>
      <c r="AE446" s="2515"/>
      <c r="AF446" s="743"/>
      <c r="AG446" s="743"/>
      <c r="AH446" s="743"/>
      <c r="AI446" s="743"/>
      <c r="AJ446" s="743"/>
      <c r="AK446" s="743"/>
      <c r="AL446" s="744"/>
      <c r="AM446" s="568"/>
      <c r="AO446" s="549"/>
      <c r="AP446" s="549"/>
      <c r="BD446" s="14"/>
      <c r="BE446" s="14"/>
      <c r="BF446" s="14"/>
      <c r="BG446" s="14"/>
      <c r="BH446" s="14"/>
    </row>
    <row r="447" spans="1:60">
      <c r="A447" s="536"/>
      <c r="C447" s="727"/>
      <c r="E447" s="687"/>
      <c r="F447" s="2388"/>
      <c r="G447" s="2388"/>
      <c r="H447" s="2388"/>
      <c r="I447" s="2388"/>
      <c r="J447" s="2388"/>
      <c r="K447" s="2388"/>
      <c r="L447" s="2388"/>
      <c r="M447" s="2388"/>
      <c r="N447" s="2388"/>
      <c r="O447" s="2388"/>
      <c r="P447" s="2388"/>
      <c r="Q447" s="2388"/>
      <c r="R447" s="2388"/>
      <c r="S447" s="2388"/>
      <c r="T447" s="2388"/>
      <c r="U447" s="2388"/>
      <c r="V447" s="2388"/>
      <c r="W447" s="2388"/>
      <c r="X447" s="2388"/>
      <c r="Y447" s="2388"/>
      <c r="Z447" s="2388"/>
      <c r="AA447" s="2388"/>
      <c r="AB447" s="2388"/>
      <c r="AC447" s="2388"/>
      <c r="AD447" s="2388"/>
      <c r="AE447" s="2388"/>
      <c r="AF447" s="592"/>
      <c r="AG447" s="592"/>
      <c r="AH447" s="592"/>
      <c r="AI447" s="592"/>
      <c r="AJ447" s="592"/>
      <c r="AK447" s="592"/>
      <c r="AL447" s="746"/>
      <c r="AM447" s="568"/>
      <c r="AO447" s="549"/>
      <c r="AP447" s="549"/>
    </row>
    <row r="448" spans="1:60" s="549" customFormat="1" ht="12.75" customHeight="1">
      <c r="A448" s="536"/>
      <c r="B448" s="14"/>
      <c r="C448" s="727"/>
      <c r="D448" s="14"/>
      <c r="E448" s="687"/>
      <c r="F448" s="2388"/>
      <c r="G448" s="2388"/>
      <c r="H448" s="2388"/>
      <c r="I448" s="2388"/>
      <c r="J448" s="2388"/>
      <c r="K448" s="2388"/>
      <c r="L448" s="2388"/>
      <c r="M448" s="2388"/>
      <c r="N448" s="2388"/>
      <c r="O448" s="2388"/>
      <c r="P448" s="2388"/>
      <c r="Q448" s="2388"/>
      <c r="R448" s="2388"/>
      <c r="S448" s="2388"/>
      <c r="T448" s="2388"/>
      <c r="U448" s="2388"/>
      <c r="V448" s="2388"/>
      <c r="W448" s="2388"/>
      <c r="X448" s="2388"/>
      <c r="Y448" s="2388"/>
      <c r="Z448" s="2388"/>
      <c r="AA448" s="2388"/>
      <c r="AB448" s="2388"/>
      <c r="AC448" s="2388"/>
      <c r="AD448" s="2388"/>
      <c r="AE448" s="2388"/>
      <c r="AF448" s="592"/>
      <c r="AG448" s="592"/>
      <c r="AH448" s="592"/>
      <c r="AI448" s="592"/>
      <c r="AJ448" s="592"/>
      <c r="AK448" s="592"/>
      <c r="AL448" s="746"/>
      <c r="AM448" s="568"/>
      <c r="AN448" s="595"/>
    </row>
    <row r="449" spans="1:42" s="549" customFormat="1" ht="12.75" customHeight="1">
      <c r="A449" s="536"/>
      <c r="B449" s="14"/>
      <c r="C449" s="747"/>
      <c r="D449" s="726"/>
      <c r="E449" s="715"/>
      <c r="F449" s="2388"/>
      <c r="G449" s="2388"/>
      <c r="H449" s="2388"/>
      <c r="I449" s="2388"/>
      <c r="J449" s="2388"/>
      <c r="K449" s="2388"/>
      <c r="L449" s="2388"/>
      <c r="M449" s="2388"/>
      <c r="N449" s="2388"/>
      <c r="O449" s="2388"/>
      <c r="P449" s="2388"/>
      <c r="Q449" s="2388"/>
      <c r="R449" s="2388"/>
      <c r="S449" s="2388"/>
      <c r="T449" s="2388"/>
      <c r="U449" s="2388"/>
      <c r="V449" s="2388"/>
      <c r="W449" s="2388"/>
      <c r="X449" s="2388"/>
      <c r="Y449" s="2388"/>
      <c r="Z449" s="2388"/>
      <c r="AA449" s="2388"/>
      <c r="AB449" s="2388"/>
      <c r="AC449" s="2388"/>
      <c r="AD449" s="2388"/>
      <c r="AE449" s="2388"/>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8"/>
      <c r="G450" s="2388"/>
      <c r="H450" s="2388"/>
      <c r="I450" s="2388"/>
      <c r="J450" s="2388"/>
      <c r="K450" s="2388"/>
      <c r="L450" s="2388"/>
      <c r="M450" s="2388"/>
      <c r="N450" s="2388"/>
      <c r="O450" s="2388"/>
      <c r="P450" s="2388"/>
      <c r="Q450" s="2388"/>
      <c r="R450" s="2388"/>
      <c r="S450" s="2388"/>
      <c r="T450" s="2388"/>
      <c r="U450" s="2388"/>
      <c r="V450" s="2388"/>
      <c r="W450" s="2388"/>
      <c r="X450" s="2388"/>
      <c r="Y450" s="2388"/>
      <c r="Z450" s="2388"/>
      <c r="AA450" s="2388"/>
      <c r="AB450" s="2388"/>
      <c r="AC450" s="2388"/>
      <c r="AD450" s="2388"/>
      <c r="AE450" s="2388"/>
      <c r="AF450" s="592"/>
      <c r="AG450" s="592"/>
      <c r="AH450" s="592"/>
      <c r="AI450" s="592"/>
      <c r="AJ450" s="592"/>
      <c r="AK450" s="592"/>
      <c r="AL450" s="746"/>
      <c r="AM450" s="568"/>
      <c r="AN450" s="595"/>
    </row>
    <row r="451" spans="1:42" s="549" customFormat="1" ht="12.75" customHeight="1">
      <c r="A451" s="536"/>
      <c r="B451" s="14"/>
      <c r="C451" s="747"/>
      <c r="D451" s="726"/>
      <c r="E451" s="715"/>
      <c r="F451" s="2388"/>
      <c r="G451" s="2388"/>
      <c r="H451" s="2388"/>
      <c r="I451" s="2388"/>
      <c r="J451" s="2388"/>
      <c r="K451" s="2388"/>
      <c r="L451" s="2388"/>
      <c r="M451" s="2388"/>
      <c r="N451" s="2388"/>
      <c r="O451" s="2388"/>
      <c r="P451" s="2388"/>
      <c r="Q451" s="2388"/>
      <c r="R451" s="2388"/>
      <c r="S451" s="2388"/>
      <c r="T451" s="2388"/>
      <c r="U451" s="2388"/>
      <c r="V451" s="2388"/>
      <c r="W451" s="2388"/>
      <c r="X451" s="2388"/>
      <c r="Y451" s="2388"/>
      <c r="Z451" s="2388"/>
      <c r="AA451" s="2388"/>
      <c r="AB451" s="2388"/>
      <c r="AC451" s="2388"/>
      <c r="AD451" s="2388"/>
      <c r="AE451" s="2388"/>
      <c r="AF451" s="592"/>
      <c r="AG451" s="592"/>
      <c r="AH451" s="592"/>
      <c r="AI451" s="592"/>
      <c r="AJ451" s="592"/>
      <c r="AK451" s="592"/>
      <c r="AL451" s="746"/>
      <c r="AM451" s="568"/>
      <c r="AN451" s="595"/>
    </row>
    <row r="452" spans="1:42" s="549" customFormat="1" ht="12.75" customHeight="1">
      <c r="A452" s="536"/>
      <c r="B452" s="14"/>
      <c r="C452" s="747"/>
      <c r="D452" s="726"/>
      <c r="E452" s="715"/>
      <c r="F452" s="2388"/>
      <c r="G452" s="2388"/>
      <c r="H452" s="2388"/>
      <c r="I452" s="2388"/>
      <c r="J452" s="2388"/>
      <c r="K452" s="2388"/>
      <c r="L452" s="2388"/>
      <c r="M452" s="2388"/>
      <c r="N452" s="2388"/>
      <c r="O452" s="2388"/>
      <c r="P452" s="2388"/>
      <c r="Q452" s="2388"/>
      <c r="R452" s="2388"/>
      <c r="S452" s="2388"/>
      <c r="T452" s="2388"/>
      <c r="U452" s="2388"/>
      <c r="V452" s="2388"/>
      <c r="W452" s="2388"/>
      <c r="X452" s="2388"/>
      <c r="Y452" s="2388"/>
      <c r="Z452" s="2388"/>
      <c r="AA452" s="2388"/>
      <c r="AB452" s="2388"/>
      <c r="AC452" s="2388"/>
      <c r="AD452" s="2388"/>
      <c r="AE452" s="2388"/>
      <c r="AF452" s="592"/>
      <c r="AG452" s="592"/>
      <c r="AH452" s="592"/>
      <c r="AI452" s="592"/>
      <c r="AJ452" s="592"/>
      <c r="AK452" s="592"/>
      <c r="AL452" s="746"/>
      <c r="AM452" s="568"/>
      <c r="AN452" s="595"/>
    </row>
    <row r="453" spans="1:42" s="549" customFormat="1" ht="12.75" customHeight="1">
      <c r="A453" s="536"/>
      <c r="B453" s="14"/>
      <c r="C453" s="747"/>
      <c r="D453" s="726"/>
      <c r="E453" s="715"/>
      <c r="F453" s="2388"/>
      <c r="G453" s="2388"/>
      <c r="H453" s="2388"/>
      <c r="I453" s="2388"/>
      <c r="J453" s="2388"/>
      <c r="K453" s="2388"/>
      <c r="L453" s="2388"/>
      <c r="M453" s="2388"/>
      <c r="N453" s="2388"/>
      <c r="O453" s="2388"/>
      <c r="P453" s="2388"/>
      <c r="Q453" s="2388"/>
      <c r="R453" s="2388"/>
      <c r="S453" s="2388"/>
      <c r="T453" s="2388"/>
      <c r="U453" s="2388"/>
      <c r="V453" s="2388"/>
      <c r="W453" s="2388"/>
      <c r="X453" s="2388"/>
      <c r="Y453" s="2388"/>
      <c r="Z453" s="2388"/>
      <c r="AA453" s="2388"/>
      <c r="AB453" s="2388"/>
      <c r="AC453" s="2388"/>
      <c r="AD453" s="2388"/>
      <c r="AE453" s="2388"/>
      <c r="AF453" s="592"/>
      <c r="AG453" s="592"/>
      <c r="AH453" s="592"/>
      <c r="AI453" s="592"/>
      <c r="AJ453" s="592"/>
      <c r="AK453" s="592"/>
      <c r="AL453" s="746"/>
      <c r="AM453" s="568"/>
      <c r="AN453" s="595"/>
    </row>
    <row r="454" spans="1:42" s="549" customFormat="1" ht="17.25" customHeight="1">
      <c r="A454" s="536"/>
      <c r="B454" s="14"/>
      <c r="C454" s="747"/>
      <c r="D454" s="726"/>
      <c r="E454" s="715"/>
      <c r="F454" s="2388"/>
      <c r="G454" s="2388"/>
      <c r="H454" s="2388"/>
      <c r="I454" s="2388"/>
      <c r="J454" s="2388"/>
      <c r="K454" s="2388"/>
      <c r="L454" s="2388"/>
      <c r="M454" s="2388"/>
      <c r="N454" s="2388"/>
      <c r="O454" s="2388"/>
      <c r="P454" s="2388"/>
      <c r="Q454" s="2388"/>
      <c r="R454" s="2388"/>
      <c r="S454" s="2388"/>
      <c r="T454" s="2388"/>
      <c r="U454" s="2388"/>
      <c r="V454" s="2388"/>
      <c r="W454" s="2388"/>
      <c r="X454" s="2388"/>
      <c r="Y454" s="2388"/>
      <c r="Z454" s="2388"/>
      <c r="AA454" s="2388"/>
      <c r="AB454" s="2388"/>
      <c r="AC454" s="2388"/>
      <c r="AD454" s="2388"/>
      <c r="AE454" s="2388"/>
      <c r="AL454" s="728"/>
      <c r="AM454" s="568"/>
      <c r="AN454" s="595"/>
    </row>
    <row r="455" spans="1:42" s="549" customFormat="1" ht="12.75" customHeight="1">
      <c r="A455" s="536"/>
      <c r="B455" s="14"/>
      <c r="C455" s="2512" t="s">
        <v>591</v>
      </c>
      <c r="D455" s="2472"/>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0" t="s">
        <v>1453</v>
      </c>
      <c r="AG455" s="2450"/>
      <c r="AH455" s="2450"/>
      <c r="AI455" s="2450"/>
      <c r="AJ455" s="2450"/>
      <c r="AK455" s="2450"/>
      <c r="AL455" s="2516"/>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15" t="s">
        <v>1479</v>
      </c>
      <c r="G458" s="2515"/>
      <c r="H458" s="2515"/>
      <c r="I458" s="2515"/>
      <c r="J458" s="2515"/>
      <c r="K458" s="2515"/>
      <c r="L458" s="2515"/>
      <c r="M458" s="2515"/>
      <c r="N458" s="2515"/>
      <c r="O458" s="2515"/>
      <c r="P458" s="2515"/>
      <c r="Q458" s="2515"/>
      <c r="R458" s="2515"/>
      <c r="S458" s="2515"/>
      <c r="T458" s="2515"/>
      <c r="U458" s="2515"/>
      <c r="V458" s="2515"/>
      <c r="W458" s="2515"/>
      <c r="X458" s="2515"/>
      <c r="Y458" s="2515"/>
      <c r="Z458" s="2515"/>
      <c r="AA458" s="2515"/>
      <c r="AB458" s="2515"/>
      <c r="AC458" s="2515"/>
      <c r="AD458" s="2515"/>
      <c r="AE458" s="2515"/>
      <c r="AF458" s="710"/>
      <c r="AG458" s="710"/>
      <c r="AH458" s="710"/>
      <c r="AI458" s="710"/>
      <c r="AJ458" s="710"/>
      <c r="AK458" s="710"/>
      <c r="AL458" s="741"/>
      <c r="AM458" s="568"/>
      <c r="AN458" s="595"/>
    </row>
    <row r="459" spans="1:42" s="549" customFormat="1" ht="12.75" customHeight="1">
      <c r="A459" s="536"/>
      <c r="B459" s="14"/>
      <c r="C459" s="747"/>
      <c r="D459" s="726"/>
      <c r="E459" s="715"/>
      <c r="F459" s="2388"/>
      <c r="G459" s="2388"/>
      <c r="H459" s="2388"/>
      <c r="I459" s="2388"/>
      <c r="J459" s="2388"/>
      <c r="K459" s="2388"/>
      <c r="L459" s="2388"/>
      <c r="M459" s="2388"/>
      <c r="N459" s="2388"/>
      <c r="O459" s="2388"/>
      <c r="P459" s="2388"/>
      <c r="Q459" s="2388"/>
      <c r="R459" s="2388"/>
      <c r="S459" s="2388"/>
      <c r="T459" s="2388"/>
      <c r="U459" s="2388"/>
      <c r="V459" s="2388"/>
      <c r="W459" s="2388"/>
      <c r="X459" s="2388"/>
      <c r="Y459" s="2388"/>
      <c r="Z459" s="2388"/>
      <c r="AA459" s="2388"/>
      <c r="AB459" s="2388"/>
      <c r="AC459" s="2388"/>
      <c r="AD459" s="2388"/>
      <c r="AE459" s="2388"/>
      <c r="AF459" s="589"/>
      <c r="AG459" s="589"/>
      <c r="AH459" s="589"/>
      <c r="AI459" s="589"/>
      <c r="AJ459" s="589"/>
      <c r="AK459" s="589"/>
      <c r="AL459" s="716"/>
      <c r="AM459" s="568"/>
      <c r="AN459" s="595"/>
    </row>
    <row r="460" spans="1:42" s="549" customFormat="1" ht="12.75" customHeight="1">
      <c r="A460" s="536"/>
      <c r="B460" s="14"/>
      <c r="C460" s="747"/>
      <c r="D460" s="726"/>
      <c r="E460" s="715"/>
      <c r="F460" s="2388"/>
      <c r="G460" s="2388"/>
      <c r="H460" s="2388"/>
      <c r="I460" s="2388"/>
      <c r="J460" s="2388"/>
      <c r="K460" s="2388"/>
      <c r="L460" s="2388"/>
      <c r="M460" s="2388"/>
      <c r="N460" s="2388"/>
      <c r="O460" s="2388"/>
      <c r="P460" s="2388"/>
      <c r="Q460" s="2388"/>
      <c r="R460" s="2388"/>
      <c r="S460" s="2388"/>
      <c r="T460" s="2388"/>
      <c r="U460" s="2388"/>
      <c r="V460" s="2388"/>
      <c r="W460" s="2388"/>
      <c r="X460" s="2388"/>
      <c r="Y460" s="2388"/>
      <c r="Z460" s="2388"/>
      <c r="AA460" s="2388"/>
      <c r="AB460" s="2388"/>
      <c r="AC460" s="2388"/>
      <c r="AD460" s="2388"/>
      <c r="AE460" s="2388"/>
      <c r="AF460" s="589"/>
      <c r="AG460" s="589"/>
      <c r="AH460" s="589"/>
      <c r="AI460" s="589"/>
      <c r="AJ460" s="589"/>
      <c r="AK460" s="589"/>
      <c r="AL460" s="716"/>
      <c r="AM460" s="568"/>
      <c r="AN460" s="595"/>
    </row>
    <row r="461" spans="1:42" s="549" customFormat="1" ht="12.75" customHeight="1">
      <c r="A461" s="536"/>
      <c r="B461" s="14"/>
      <c r="C461" s="747"/>
      <c r="D461" s="726"/>
      <c r="E461" s="715"/>
      <c r="F461" s="2388"/>
      <c r="G461" s="2388"/>
      <c r="H461" s="2388"/>
      <c r="I461" s="2388"/>
      <c r="J461" s="2388"/>
      <c r="K461" s="2388"/>
      <c r="L461" s="2388"/>
      <c r="M461" s="2388"/>
      <c r="N461" s="2388"/>
      <c r="O461" s="2388"/>
      <c r="P461" s="2388"/>
      <c r="Q461" s="2388"/>
      <c r="R461" s="2388"/>
      <c r="S461" s="2388"/>
      <c r="T461" s="2388"/>
      <c r="U461" s="2388"/>
      <c r="V461" s="2388"/>
      <c r="W461" s="2388"/>
      <c r="X461" s="2388"/>
      <c r="Y461" s="2388"/>
      <c r="Z461" s="2388"/>
      <c r="AA461" s="2388"/>
      <c r="AB461" s="2388"/>
      <c r="AC461" s="2388"/>
      <c r="AD461" s="2388"/>
      <c r="AE461" s="2388"/>
      <c r="AL461" s="728"/>
      <c r="AM461" s="568"/>
      <c r="AN461" s="595"/>
    </row>
    <row r="462" spans="1:42" s="549" customFormat="1" ht="12.75" customHeight="1">
      <c r="A462" s="536"/>
      <c r="B462" s="14"/>
      <c r="C462" s="2512" t="s">
        <v>591</v>
      </c>
      <c r="D462" s="2472"/>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0" t="s">
        <v>1453</v>
      </c>
      <c r="AG462" s="2450"/>
      <c r="AH462" s="2450"/>
      <c r="AI462" s="2450"/>
      <c r="AJ462" s="2450"/>
      <c r="AK462" s="2450"/>
      <c r="AL462" s="2516"/>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7" t="s">
        <v>591</v>
      </c>
      <c r="D466" s="2518"/>
      <c r="E466" s="711" t="s">
        <v>1488</v>
      </c>
      <c r="F466" s="2515" t="s">
        <v>1489</v>
      </c>
      <c r="G466" s="2515"/>
      <c r="H466" s="2515"/>
      <c r="I466" s="2515"/>
      <c r="J466" s="2515"/>
      <c r="K466" s="2515"/>
      <c r="L466" s="2515"/>
      <c r="M466" s="2515"/>
      <c r="N466" s="2515"/>
      <c r="O466" s="2515"/>
      <c r="P466" s="2515"/>
      <c r="Q466" s="2515"/>
      <c r="R466" s="2515"/>
      <c r="S466" s="2515"/>
      <c r="T466" s="2515"/>
      <c r="U466" s="2515"/>
      <c r="V466" s="2515"/>
      <c r="W466" s="2515"/>
      <c r="X466" s="2515"/>
      <c r="Y466" s="2515"/>
      <c r="Z466" s="2515"/>
      <c r="AA466" s="2515"/>
      <c r="AB466" s="2515"/>
      <c r="AC466" s="2515"/>
      <c r="AD466" s="2515"/>
      <c r="AE466" s="2515"/>
      <c r="AF466" s="2600" t="s">
        <v>1453</v>
      </c>
      <c r="AG466" s="2600"/>
      <c r="AH466" s="2600"/>
      <c r="AI466" s="2600"/>
      <c r="AJ466" s="2600"/>
      <c r="AK466" s="2600"/>
      <c r="AL466" s="2601"/>
      <c r="AM466" s="568"/>
      <c r="AN466" s="749"/>
    </row>
    <row r="467" spans="1:40" s="549" customFormat="1" ht="12.75" customHeight="1">
      <c r="A467" s="536"/>
      <c r="B467" s="14"/>
      <c r="C467" s="747"/>
      <c r="D467" s="726"/>
      <c r="E467" s="715"/>
      <c r="F467" s="2388"/>
      <c r="G467" s="2388"/>
      <c r="H467" s="2388"/>
      <c r="I467" s="2388"/>
      <c r="J467" s="2388"/>
      <c r="K467" s="2388"/>
      <c r="L467" s="2388"/>
      <c r="M467" s="2388"/>
      <c r="N467" s="2388"/>
      <c r="O467" s="2388"/>
      <c r="P467" s="2388"/>
      <c r="Q467" s="2388"/>
      <c r="R467" s="2388"/>
      <c r="S467" s="2388"/>
      <c r="T467" s="2388"/>
      <c r="U467" s="2388"/>
      <c r="V467" s="2388"/>
      <c r="W467" s="2388"/>
      <c r="X467" s="2388"/>
      <c r="Y467" s="2388"/>
      <c r="Z467" s="2388"/>
      <c r="AA467" s="2388"/>
      <c r="AB467" s="2388"/>
      <c r="AC467" s="2388"/>
      <c r="AD467" s="2388"/>
      <c r="AE467" s="2388"/>
      <c r="AF467" s="589"/>
      <c r="AG467" s="589"/>
      <c r="AH467" s="589"/>
      <c r="AI467" s="589"/>
      <c r="AJ467" s="589"/>
      <c r="AK467" s="589"/>
      <c r="AL467" s="716"/>
      <c r="AM467" s="568"/>
      <c r="AN467" s="750"/>
    </row>
    <row r="468" spans="1:40" s="549" customFormat="1" ht="17.649999999999999" customHeight="1">
      <c r="A468" s="536"/>
      <c r="B468" s="14"/>
      <c r="C468" s="752"/>
      <c r="D468" s="719"/>
      <c r="E468" s="720"/>
      <c r="F468" s="2544"/>
      <c r="G468" s="2544"/>
      <c r="H468" s="2544"/>
      <c r="I468" s="2544"/>
      <c r="J468" s="2544"/>
      <c r="K468" s="2544"/>
      <c r="L468" s="2544"/>
      <c r="M468" s="2544"/>
      <c r="N468" s="2544"/>
      <c r="O468" s="2544"/>
      <c r="P468" s="2544"/>
      <c r="Q468" s="2544"/>
      <c r="R468" s="2544"/>
      <c r="S468" s="2544"/>
      <c r="T468" s="2544"/>
      <c r="U468" s="2544"/>
      <c r="V468" s="2544"/>
      <c r="W468" s="2544"/>
      <c r="X468" s="2544"/>
      <c r="Y468" s="2544"/>
      <c r="Z468" s="2544"/>
      <c r="AA468" s="2544"/>
      <c r="AB468" s="2544"/>
      <c r="AC468" s="2544"/>
      <c r="AD468" s="2544"/>
      <c r="AE468" s="2544"/>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2" t="s">
        <v>591</v>
      </c>
      <c r="D470" s="2472"/>
      <c r="E470" s="711" t="s">
        <v>1494</v>
      </c>
      <c r="F470" s="2515" t="s">
        <v>1495</v>
      </c>
      <c r="G470" s="2515"/>
      <c r="H470" s="2515"/>
      <c r="I470" s="2515"/>
      <c r="J470" s="2515"/>
      <c r="K470" s="2515"/>
      <c r="L470" s="2515"/>
      <c r="M470" s="2515"/>
      <c r="N470" s="2515"/>
      <c r="O470" s="2515"/>
      <c r="P470" s="2515"/>
      <c r="Q470" s="2515"/>
      <c r="R470" s="2515"/>
      <c r="S470" s="2515"/>
      <c r="T470" s="2515"/>
      <c r="U470" s="2515"/>
      <c r="V470" s="2515"/>
      <c r="W470" s="2515"/>
      <c r="X470" s="2515"/>
      <c r="Y470" s="2515"/>
      <c r="Z470" s="2515"/>
      <c r="AA470" s="2515"/>
      <c r="AB470" s="2515"/>
      <c r="AC470" s="2515"/>
      <c r="AD470" s="2515"/>
      <c r="AE470" s="2515"/>
      <c r="AF470" s="2600" t="s">
        <v>1453</v>
      </c>
      <c r="AG470" s="2600"/>
      <c r="AH470" s="2600"/>
      <c r="AI470" s="2600"/>
      <c r="AJ470" s="2600"/>
      <c r="AK470" s="2600"/>
      <c r="AL470" s="2601"/>
      <c r="AM470" s="568"/>
      <c r="AN470" s="535"/>
    </row>
    <row r="471" spans="1:40" s="549" customFormat="1" ht="12.75" customHeight="1">
      <c r="A471" s="536"/>
      <c r="B471" s="14"/>
      <c r="C471" s="727"/>
      <c r="D471" s="14"/>
      <c r="E471" s="687"/>
      <c r="F471" s="2388"/>
      <c r="G471" s="2388"/>
      <c r="H471" s="2388"/>
      <c r="I471" s="2388"/>
      <c r="J471" s="2388"/>
      <c r="K471" s="2388"/>
      <c r="L471" s="2388"/>
      <c r="M471" s="2388"/>
      <c r="N471" s="2388"/>
      <c r="O471" s="2388"/>
      <c r="P471" s="2388"/>
      <c r="Q471" s="2388"/>
      <c r="R471" s="2388"/>
      <c r="S471" s="2388"/>
      <c r="T471" s="2388"/>
      <c r="U471" s="2388"/>
      <c r="V471" s="2388"/>
      <c r="W471" s="2388"/>
      <c r="X471" s="2388"/>
      <c r="Y471" s="2388"/>
      <c r="Z471" s="2388"/>
      <c r="AA471" s="2388"/>
      <c r="AB471" s="2388"/>
      <c r="AC471" s="2388"/>
      <c r="AD471" s="2388"/>
      <c r="AE471" s="2388"/>
      <c r="AF471" s="539"/>
      <c r="AG471" s="536"/>
      <c r="AL471" s="728"/>
      <c r="AM471" s="568"/>
      <c r="AN471" s="535"/>
    </row>
    <row r="472" spans="1:40" s="549" customFormat="1" ht="12.75" customHeight="1">
      <c r="A472" s="536"/>
      <c r="B472" s="14"/>
      <c r="C472" s="727"/>
      <c r="D472" s="14"/>
      <c r="E472" s="687"/>
      <c r="F472" s="2388"/>
      <c r="G472" s="2388"/>
      <c r="H472" s="2388"/>
      <c r="I472" s="2388"/>
      <c r="J472" s="2388"/>
      <c r="K472" s="2388"/>
      <c r="L472" s="2388"/>
      <c r="M472" s="2388"/>
      <c r="N472" s="2388"/>
      <c r="O472" s="2388"/>
      <c r="P472" s="2388"/>
      <c r="Q472" s="2388"/>
      <c r="R472" s="2388"/>
      <c r="S472" s="2388"/>
      <c r="T472" s="2388"/>
      <c r="U472" s="2388"/>
      <c r="V472" s="2388"/>
      <c r="W472" s="2388"/>
      <c r="X472" s="2388"/>
      <c r="Y472" s="2388"/>
      <c r="Z472" s="2388"/>
      <c r="AA472" s="2388"/>
      <c r="AB472" s="2388"/>
      <c r="AC472" s="2388"/>
      <c r="AD472" s="2388"/>
      <c r="AE472" s="2388"/>
      <c r="AF472" s="539"/>
      <c r="AG472" s="536"/>
      <c r="AL472" s="728"/>
      <c r="AM472" s="568"/>
      <c r="AN472" s="535"/>
    </row>
    <row r="473" spans="1:40" s="549" customFormat="1" ht="12.75" customHeight="1">
      <c r="A473" s="536"/>
      <c r="B473" s="14"/>
      <c r="C473" s="752"/>
      <c r="D473" s="719"/>
      <c r="E473" s="720"/>
      <c r="F473" s="2544"/>
      <c r="G473" s="2544"/>
      <c r="H473" s="2544"/>
      <c r="I473" s="2544"/>
      <c r="J473" s="2544"/>
      <c r="K473" s="2544"/>
      <c r="L473" s="2544"/>
      <c r="M473" s="2544"/>
      <c r="N473" s="2544"/>
      <c r="O473" s="2544"/>
      <c r="P473" s="2544"/>
      <c r="Q473" s="2544"/>
      <c r="R473" s="2544"/>
      <c r="S473" s="2544"/>
      <c r="T473" s="2544"/>
      <c r="U473" s="2544"/>
      <c r="V473" s="2544"/>
      <c r="W473" s="2544"/>
      <c r="X473" s="2544"/>
      <c r="Y473" s="2544"/>
      <c r="Z473" s="2544"/>
      <c r="AA473" s="2544"/>
      <c r="AB473" s="2544"/>
      <c r="AC473" s="2544"/>
      <c r="AD473" s="2544"/>
      <c r="AE473" s="2544"/>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15" t="s">
        <v>1498</v>
      </c>
      <c r="G475" s="2515"/>
      <c r="H475" s="2515"/>
      <c r="I475" s="2515"/>
      <c r="J475" s="2515"/>
      <c r="K475" s="2515"/>
      <c r="L475" s="2515"/>
      <c r="M475" s="2515"/>
      <c r="N475" s="2515"/>
      <c r="O475" s="2515"/>
      <c r="P475" s="2515"/>
      <c r="Q475" s="2515"/>
      <c r="R475" s="2515"/>
      <c r="S475" s="2515"/>
      <c r="T475" s="2515"/>
      <c r="U475" s="2515"/>
      <c r="V475" s="2515"/>
      <c r="W475" s="2515"/>
      <c r="X475" s="2515"/>
      <c r="Y475" s="2515"/>
      <c r="Z475" s="2515"/>
      <c r="AA475" s="2515"/>
      <c r="AB475" s="2515"/>
      <c r="AC475" s="2515"/>
      <c r="AD475" s="2515"/>
      <c r="AE475" s="2515"/>
      <c r="AF475" s="2515"/>
      <c r="AG475" s="740"/>
      <c r="AH475" s="710"/>
      <c r="AI475" s="710"/>
      <c r="AJ475" s="710"/>
      <c r="AK475" s="710"/>
      <c r="AL475" s="741"/>
      <c r="AM475" s="568"/>
      <c r="AN475" s="595"/>
    </row>
    <row r="476" spans="1:40" s="549" customFormat="1" ht="12.75" customHeight="1">
      <c r="A476" s="536"/>
      <c r="B476" s="14"/>
      <c r="C476" s="727"/>
      <c r="D476" s="14"/>
      <c r="E476" s="687"/>
      <c r="F476" s="2388"/>
      <c r="G476" s="2388"/>
      <c r="H476" s="2388"/>
      <c r="I476" s="2388"/>
      <c r="J476" s="2388"/>
      <c r="K476" s="2388"/>
      <c r="L476" s="2388"/>
      <c r="M476" s="2388"/>
      <c r="N476" s="2388"/>
      <c r="O476" s="2388"/>
      <c r="P476" s="2388"/>
      <c r="Q476" s="2388"/>
      <c r="R476" s="2388"/>
      <c r="S476" s="2388"/>
      <c r="T476" s="2388"/>
      <c r="U476" s="2388"/>
      <c r="V476" s="2388"/>
      <c r="W476" s="2388"/>
      <c r="X476" s="2388"/>
      <c r="Y476" s="2388"/>
      <c r="Z476" s="2388"/>
      <c r="AA476" s="2388"/>
      <c r="AB476" s="2388"/>
      <c r="AC476" s="2388"/>
      <c r="AD476" s="2388"/>
      <c r="AE476" s="2388"/>
      <c r="AF476" s="2388"/>
      <c r="AL476" s="728"/>
      <c r="AM476" s="568"/>
      <c r="AN476" s="595"/>
    </row>
    <row r="477" spans="1:40" s="549" customFormat="1" ht="12.75" customHeight="1">
      <c r="A477" s="536"/>
      <c r="B477" s="14"/>
      <c r="C477" s="735"/>
      <c r="F477" s="2388"/>
      <c r="G477" s="2388"/>
      <c r="H477" s="2388"/>
      <c r="I477" s="2388"/>
      <c r="J477" s="2388"/>
      <c r="K477" s="2388"/>
      <c r="L477" s="2388"/>
      <c r="M477" s="2388"/>
      <c r="N477" s="2388"/>
      <c r="O477" s="2388"/>
      <c r="P477" s="2388"/>
      <c r="Q477" s="2388"/>
      <c r="R477" s="2388"/>
      <c r="S477" s="2388"/>
      <c r="T477" s="2388"/>
      <c r="U477" s="2388"/>
      <c r="V477" s="2388"/>
      <c r="W477" s="2388"/>
      <c r="X477" s="2388"/>
      <c r="Y477" s="2388"/>
      <c r="Z477" s="2388"/>
      <c r="AA477" s="2388"/>
      <c r="AB477" s="2388"/>
      <c r="AC477" s="2388"/>
      <c r="AD477" s="2388"/>
      <c r="AE477" s="2388"/>
      <c r="AF477" s="2388"/>
      <c r="AL477" s="728"/>
      <c r="AM477" s="568"/>
      <c r="AN477" s="595"/>
    </row>
    <row r="478" spans="1:40" s="549" customFormat="1" ht="12.75" customHeight="1">
      <c r="A478" s="536"/>
      <c r="B478" s="14"/>
      <c r="C478" s="735"/>
      <c r="F478" s="2388"/>
      <c r="G478" s="2388"/>
      <c r="H478" s="2388"/>
      <c r="I478" s="2388"/>
      <c r="J478" s="2388"/>
      <c r="K478" s="2388"/>
      <c r="L478" s="2388"/>
      <c r="M478" s="2388"/>
      <c r="N478" s="2388"/>
      <c r="O478" s="2388"/>
      <c r="P478" s="2388"/>
      <c r="Q478" s="2388"/>
      <c r="R478" s="2388"/>
      <c r="S478" s="2388"/>
      <c r="T478" s="2388"/>
      <c r="U478" s="2388"/>
      <c r="V478" s="2388"/>
      <c r="W478" s="2388"/>
      <c r="X478" s="2388"/>
      <c r="Y478" s="2388"/>
      <c r="Z478" s="2388"/>
      <c r="AA478" s="2388"/>
      <c r="AB478" s="2388"/>
      <c r="AC478" s="2388"/>
      <c r="AD478" s="2388"/>
      <c r="AE478" s="2388"/>
      <c r="AF478" s="2388"/>
      <c r="AL478" s="728"/>
      <c r="AM478" s="568"/>
      <c r="AN478" s="595"/>
    </row>
    <row r="479" spans="1:40" s="549" customFormat="1" ht="12.75" customHeight="1">
      <c r="A479" s="536"/>
      <c r="B479" s="14"/>
      <c r="C479" s="2512" t="s">
        <v>591</v>
      </c>
      <c r="D479" s="2472"/>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3" t="s">
        <v>1453</v>
      </c>
      <c r="AG479" s="2513"/>
      <c r="AH479" s="2513"/>
      <c r="AI479" s="2513"/>
      <c r="AJ479" s="2513"/>
      <c r="AK479" s="2513"/>
      <c r="AL479" s="2514"/>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75">
        <f>IF(Application!D214="N/A",AS371,AS373)</f>
        <v>10</v>
      </c>
      <c r="AL482" s="2476"/>
      <c r="AM482" s="2477"/>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3" t="s">
        <v>1502</v>
      </c>
      <c r="AF485" s="2513"/>
      <c r="AG485" s="2513"/>
      <c r="AH485" s="2513"/>
      <c r="AI485" s="2513"/>
      <c r="AJ485" s="2513"/>
      <c r="AK485" s="2513"/>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19" t="s">
        <v>591</v>
      </c>
      <c r="D491" s="2520"/>
      <c r="E491" s="757" t="s">
        <v>507</v>
      </c>
      <c r="F491" s="2521" t="s">
        <v>1508</v>
      </c>
      <c r="G491" s="2521"/>
      <c r="H491" s="2521"/>
      <c r="I491" s="2521"/>
      <c r="J491" s="2521"/>
      <c r="K491" s="2521"/>
      <c r="L491" s="2521"/>
      <c r="M491" s="2521"/>
      <c r="N491" s="2521"/>
      <c r="O491" s="2521"/>
      <c r="P491" s="2521"/>
      <c r="Q491" s="2521"/>
      <c r="R491" s="2521"/>
      <c r="S491" s="2521"/>
      <c r="T491" s="2521"/>
      <c r="U491" s="2521"/>
      <c r="V491" s="2521"/>
      <c r="W491" s="2521"/>
      <c r="X491" s="2521"/>
      <c r="Y491" s="2521"/>
      <c r="Z491" s="2521"/>
      <c r="AA491" s="2521"/>
      <c r="AB491" s="2521"/>
      <c r="AC491" s="2521"/>
      <c r="AD491" s="2521"/>
      <c r="AE491" s="2521"/>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22"/>
      <c r="G492" s="2522"/>
      <c r="H492" s="2522"/>
      <c r="I492" s="2522"/>
      <c r="J492" s="2522"/>
      <c r="K492" s="2522"/>
      <c r="L492" s="2522"/>
      <c r="M492" s="2522"/>
      <c r="N492" s="2522"/>
      <c r="O492" s="2522"/>
      <c r="P492" s="2522"/>
      <c r="Q492" s="2522"/>
      <c r="R492" s="2522"/>
      <c r="S492" s="2522"/>
      <c r="T492" s="2522"/>
      <c r="U492" s="2522"/>
      <c r="V492" s="2522"/>
      <c r="W492" s="2522"/>
      <c r="X492" s="2522"/>
      <c r="Y492" s="2522"/>
      <c r="Z492" s="2522"/>
      <c r="AA492" s="2522"/>
      <c r="AB492" s="2522"/>
      <c r="AC492" s="2522"/>
      <c r="AD492" s="2522"/>
      <c r="AE492" s="2522"/>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17" t="s">
        <v>591</v>
      </c>
      <c r="G493" s="2617"/>
      <c r="H493" s="2617"/>
      <c r="I493" s="2617"/>
      <c r="J493" s="2617"/>
      <c r="K493" s="2617"/>
      <c r="L493" s="2617"/>
      <c r="M493" s="2617"/>
      <c r="N493" s="2617"/>
      <c r="O493" s="2617"/>
      <c r="P493" s="2617"/>
      <c r="Q493" s="2617"/>
      <c r="R493" s="2617"/>
      <c r="S493" s="2617"/>
      <c r="T493" s="2617"/>
      <c r="U493" s="2617"/>
      <c r="V493" s="2617"/>
      <c r="W493" s="2617"/>
      <c r="X493" s="2617"/>
      <c r="Y493" s="2617"/>
      <c r="Z493" s="2617"/>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38" t="s">
        <v>545</v>
      </c>
      <c r="D495" s="2639"/>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06" t="s">
        <v>591</v>
      </c>
      <c r="W498" s="2606"/>
      <c r="X498" s="2606"/>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06" t="s">
        <v>591</v>
      </c>
      <c r="W500" s="2606"/>
      <c r="X500" s="2606"/>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06" t="s">
        <v>591</v>
      </c>
      <c r="W505" s="2606"/>
      <c r="X505" s="2606"/>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2"/>
      <c r="E508" s="2592"/>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06" t="s">
        <v>591</v>
      </c>
      <c r="W509" s="2606"/>
      <c r="X509" s="2606"/>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06" t="s">
        <v>591</v>
      </c>
      <c r="W511" s="2606"/>
      <c r="X511" s="2606"/>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9" t="s">
        <v>591</v>
      </c>
      <c r="D514" s="2520"/>
      <c r="E514" s="757" t="s">
        <v>507</v>
      </c>
      <c r="F514" s="2521" t="s">
        <v>1508</v>
      </c>
      <c r="G514" s="2521"/>
      <c r="H514" s="2521"/>
      <c r="I514" s="2521"/>
      <c r="J514" s="2521"/>
      <c r="K514" s="2521"/>
      <c r="L514" s="2521"/>
      <c r="M514" s="2521"/>
      <c r="N514" s="2521"/>
      <c r="O514" s="2521"/>
      <c r="P514" s="2521"/>
      <c r="Q514" s="2521"/>
      <c r="R514" s="2521"/>
      <c r="S514" s="2521"/>
      <c r="T514" s="2521"/>
      <c r="U514" s="2521"/>
      <c r="V514" s="2521"/>
      <c r="W514" s="2521"/>
      <c r="X514" s="2521"/>
      <c r="Y514" s="2521"/>
      <c r="Z514" s="2521"/>
      <c r="AA514" s="2521"/>
      <c r="AB514" s="2521"/>
      <c r="AC514" s="2521"/>
      <c r="AD514" s="2521"/>
      <c r="AE514" s="2521"/>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2"/>
      <c r="G515" s="2522"/>
      <c r="H515" s="2522"/>
      <c r="I515" s="2522"/>
      <c r="J515" s="2522"/>
      <c r="K515" s="2522"/>
      <c r="L515" s="2522"/>
      <c r="M515" s="2522"/>
      <c r="N515" s="2522"/>
      <c r="O515" s="2522"/>
      <c r="P515" s="2522"/>
      <c r="Q515" s="2522"/>
      <c r="R515" s="2522"/>
      <c r="S515" s="2522"/>
      <c r="T515" s="2522"/>
      <c r="U515" s="2522"/>
      <c r="V515" s="2522"/>
      <c r="W515" s="2522"/>
      <c r="X515" s="2522"/>
      <c r="Y515" s="2522"/>
      <c r="Z515" s="2522"/>
      <c r="AA515" s="2522"/>
      <c r="AB515" s="2522"/>
      <c r="AC515" s="2522"/>
      <c r="AD515" s="2522"/>
      <c r="AE515" s="2522"/>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3" t="s">
        <v>591</v>
      </c>
      <c r="G516" s="2613"/>
      <c r="H516" s="2613"/>
      <c r="I516" s="2613"/>
      <c r="J516" s="2613"/>
      <c r="K516" s="2613"/>
      <c r="L516" s="2613"/>
      <c r="M516" s="2613"/>
      <c r="N516" s="2613"/>
      <c r="O516" s="2613"/>
      <c r="P516" s="2613"/>
      <c r="Q516" s="2613"/>
      <c r="R516" s="2613"/>
      <c r="S516" s="2613"/>
      <c r="T516" s="2613"/>
      <c r="U516" s="2613"/>
      <c r="V516" s="2613"/>
      <c r="W516" s="2613"/>
      <c r="X516" s="2613"/>
      <c r="Y516" s="2613"/>
      <c r="Z516" s="2613"/>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9" t="s">
        <v>591</v>
      </c>
      <c r="D518" s="2520"/>
      <c r="E518" s="757" t="s">
        <v>757</v>
      </c>
      <c r="F518" s="2614" t="s">
        <v>1530</v>
      </c>
      <c r="G518" s="2614"/>
      <c r="H518" s="2614"/>
      <c r="I518" s="2614"/>
      <c r="J518" s="2614"/>
      <c r="K518" s="2614"/>
      <c r="L518" s="2614"/>
      <c r="M518" s="2614"/>
      <c r="N518" s="2614"/>
      <c r="O518" s="2614"/>
      <c r="P518" s="2614"/>
      <c r="Q518" s="2614"/>
      <c r="R518" s="2614"/>
      <c r="S518" s="2614"/>
      <c r="T518" s="2614"/>
      <c r="U518" s="2614"/>
      <c r="V518" s="2614"/>
      <c r="W518" s="2614"/>
      <c r="X518" s="2614"/>
      <c r="Y518" s="2614"/>
      <c r="Z518" s="2614"/>
      <c r="AA518" s="2614"/>
      <c r="AB518" s="2614"/>
      <c r="AC518" s="2614"/>
      <c r="AD518" s="2614"/>
      <c r="AE518" s="2614"/>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5"/>
      <c r="G519" s="2615"/>
      <c r="H519" s="2615"/>
      <c r="I519" s="2615"/>
      <c r="J519" s="2615"/>
      <c r="K519" s="2615"/>
      <c r="L519" s="2615"/>
      <c r="M519" s="2615"/>
      <c r="N519" s="2615"/>
      <c r="O519" s="2615"/>
      <c r="P519" s="2615"/>
      <c r="Q519" s="2615"/>
      <c r="R519" s="2615"/>
      <c r="S519" s="2615"/>
      <c r="T519" s="2615"/>
      <c r="U519" s="2615"/>
      <c r="V519" s="2615"/>
      <c r="W519" s="2615"/>
      <c r="X519" s="2615"/>
      <c r="Y519" s="2615"/>
      <c r="Z519" s="2615"/>
      <c r="AA519" s="2615"/>
      <c r="AB519" s="2615"/>
      <c r="AC519" s="2615"/>
      <c r="AD519" s="2615"/>
      <c r="AE519" s="2615"/>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6" t="s">
        <v>591</v>
      </c>
      <c r="G521" s="2616"/>
      <c r="H521" s="2616"/>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9" t="s">
        <v>591</v>
      </c>
      <c r="D523" s="2520"/>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1"/>
      <c r="D525" s="2592"/>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3" t="s">
        <v>591</v>
      </c>
      <c r="H526" s="2593"/>
      <c r="I526" s="2593"/>
      <c r="J526" s="2593"/>
      <c r="K526" s="2593"/>
      <c r="L526" s="2593"/>
      <c r="M526" s="2593"/>
      <c r="N526" s="2593"/>
      <c r="O526" s="2593"/>
      <c r="P526" s="2593"/>
      <c r="Q526" s="2593"/>
      <c r="R526" s="2593"/>
      <c r="S526" s="2593"/>
      <c r="T526" s="2593"/>
      <c r="U526" s="2593"/>
      <c r="V526" s="2593"/>
      <c r="W526" s="2593"/>
      <c r="X526" s="2593"/>
      <c r="Y526" s="2593"/>
      <c r="Z526" s="2593"/>
      <c r="AA526" s="2593"/>
      <c r="AB526" s="2593"/>
      <c r="AC526" s="2593"/>
      <c r="AD526" s="2593"/>
      <c r="AE526" s="2593"/>
      <c r="AF526" s="2593"/>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4" t="s">
        <v>591</v>
      </c>
      <c r="D528" s="2595"/>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4" t="s">
        <v>591</v>
      </c>
      <c r="D532" s="2595"/>
      <c r="F532" s="791" t="s">
        <v>1538</v>
      </c>
      <c r="G532" s="2388" t="s">
        <v>1539</v>
      </c>
      <c r="H532" s="2388"/>
      <c r="I532" s="2388"/>
      <c r="J532" s="2388"/>
      <c r="K532" s="2388"/>
      <c r="L532" s="2388"/>
      <c r="M532" s="2388"/>
      <c r="N532" s="2388"/>
      <c r="O532" s="2388"/>
      <c r="P532" s="2388"/>
      <c r="Q532" s="2388"/>
      <c r="R532" s="2388"/>
      <c r="S532" s="2388"/>
      <c r="T532" s="2388"/>
      <c r="U532" s="2388"/>
      <c r="V532" s="2388"/>
      <c r="W532" s="2388"/>
      <c r="X532" s="2388"/>
      <c r="Y532" s="2388"/>
      <c r="Z532" s="2388"/>
      <c r="AA532" s="2388"/>
      <c r="AB532" s="2388"/>
      <c r="AC532" s="2388"/>
      <c r="AD532" s="2388"/>
      <c r="AE532" s="2388"/>
      <c r="AF532" s="2388"/>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4"/>
      <c r="H533" s="2544"/>
      <c r="I533" s="2544"/>
      <c r="J533" s="2544"/>
      <c r="K533" s="2544"/>
      <c r="L533" s="2544"/>
      <c r="M533" s="2544"/>
      <c r="N533" s="2544"/>
      <c r="O533" s="2544"/>
      <c r="P533" s="2544"/>
      <c r="Q533" s="2544"/>
      <c r="R533" s="2544"/>
      <c r="S533" s="2544"/>
      <c r="T533" s="2544"/>
      <c r="U533" s="2544"/>
      <c r="V533" s="2544"/>
      <c r="W533" s="2544"/>
      <c r="X533" s="2544"/>
      <c r="Y533" s="2544"/>
      <c r="Z533" s="2544"/>
      <c r="AA533" s="2544"/>
      <c r="AB533" s="2544"/>
      <c r="AC533" s="2544"/>
      <c r="AD533" s="2544"/>
      <c r="AE533" s="2544"/>
      <c r="AF533" s="2544"/>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6" t="s">
        <v>591</v>
      </c>
      <c r="D536" s="2597"/>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8" t="s">
        <v>591</v>
      </c>
      <c r="G537" s="2598"/>
      <c r="H537" s="2598"/>
      <c r="I537" s="2598"/>
      <c r="J537" s="2598"/>
      <c r="K537" s="2598"/>
      <c r="L537" s="2598"/>
      <c r="M537" s="2598"/>
      <c r="N537" s="2598"/>
      <c r="O537" s="2598"/>
      <c r="P537" s="2598"/>
      <c r="Q537" s="2598"/>
      <c r="R537" s="2598"/>
      <c r="S537" s="2598"/>
      <c r="T537" s="2598"/>
      <c r="U537" s="2598"/>
      <c r="V537" s="2598"/>
      <c r="W537" s="2598"/>
      <c r="X537" s="2598"/>
      <c r="Y537" s="2598"/>
      <c r="Z537" s="2598"/>
      <c r="AA537" s="2598"/>
      <c r="AB537" s="2598"/>
      <c r="AC537" s="2598"/>
      <c r="AD537" s="2598"/>
      <c r="AE537" s="2598"/>
      <c r="AF537" s="2598"/>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9"/>
      <c r="G538" s="2599"/>
      <c r="H538" s="2599"/>
      <c r="I538" s="2599"/>
      <c r="J538" s="2599"/>
      <c r="K538" s="2599"/>
      <c r="L538" s="2599"/>
      <c r="M538" s="2599"/>
      <c r="N538" s="2599"/>
      <c r="O538" s="2599"/>
      <c r="P538" s="2599"/>
      <c r="Q538" s="2599"/>
      <c r="R538" s="2599"/>
      <c r="S538" s="2599"/>
      <c r="T538" s="2599"/>
      <c r="U538" s="2599"/>
      <c r="V538" s="2599"/>
      <c r="W538" s="2599"/>
      <c r="X538" s="2599"/>
      <c r="Y538" s="2599"/>
      <c r="Z538" s="2599"/>
      <c r="AA538" s="2599"/>
      <c r="AB538" s="2599"/>
      <c r="AC538" s="2599"/>
      <c r="AD538" s="2599"/>
      <c r="AE538" s="2599"/>
      <c r="AF538" s="2599"/>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75">
        <f>SUM(AG492:AG537)</f>
        <v>0</v>
      </c>
      <c r="AL548" s="2476"/>
      <c r="AM548" s="2477"/>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7" t="s">
        <v>1551</v>
      </c>
      <c r="AF551" s="2417"/>
      <c r="AG551" s="2417"/>
      <c r="AH551" s="2417"/>
      <c r="AI551" s="2417"/>
      <c r="AJ551" s="2417"/>
      <c r="AK551" s="2417"/>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2" t="s">
        <v>545</v>
      </c>
      <c r="D554" s="2472"/>
      <c r="E554" s="550"/>
      <c r="F554" s="2523" t="s">
        <v>1552</v>
      </c>
      <c r="G554" s="2524"/>
      <c r="H554" s="2524"/>
      <c r="I554" s="2524"/>
      <c r="J554" s="2524"/>
      <c r="K554" s="2524"/>
      <c r="L554" s="2524"/>
      <c r="M554" s="2524"/>
      <c r="N554" s="2524"/>
      <c r="O554" s="2524"/>
      <c r="P554" s="2524"/>
      <c r="Q554" s="2524"/>
      <c r="R554" s="2524"/>
      <c r="S554" s="2524"/>
      <c r="T554" s="2524"/>
      <c r="U554" s="2524"/>
      <c r="V554" s="2524"/>
      <c r="W554" s="2524"/>
      <c r="X554" s="2524"/>
      <c r="Y554" s="2524"/>
      <c r="Z554" s="2524"/>
      <c r="AA554" s="2524"/>
      <c r="AB554" s="2524"/>
      <c r="AC554" s="2524"/>
      <c r="AD554" s="2524"/>
      <c r="AE554" s="2524"/>
      <c r="AF554" s="2524"/>
      <c r="AG554" s="2524"/>
      <c r="AH554" s="2524"/>
      <c r="AI554" s="2524"/>
      <c r="AJ554" s="2524"/>
      <c r="AK554" s="2524"/>
      <c r="AL554" s="2525"/>
      <c r="AM554" s="593"/>
      <c r="AN554" s="595"/>
    </row>
    <row r="555" spans="1:81" s="549" customFormat="1" ht="12.75" customHeight="1">
      <c r="B555" s="539"/>
      <c r="C555" s="550"/>
      <c r="D555" s="550"/>
      <c r="E555" s="550"/>
      <c r="F555" s="2526"/>
      <c r="G555" s="2527"/>
      <c r="H555" s="2527"/>
      <c r="I555" s="2527"/>
      <c r="J555" s="2527"/>
      <c r="K555" s="2527"/>
      <c r="L555" s="2527"/>
      <c r="M555" s="2527"/>
      <c r="N555" s="2527"/>
      <c r="O555" s="2527"/>
      <c r="P555" s="2527"/>
      <c r="Q555" s="2527"/>
      <c r="R555" s="2527"/>
      <c r="S555" s="2527"/>
      <c r="T555" s="2527"/>
      <c r="U555" s="2527"/>
      <c r="V555" s="2527"/>
      <c r="W555" s="2527"/>
      <c r="X555" s="2527"/>
      <c r="Y555" s="2527"/>
      <c r="Z555" s="2527"/>
      <c r="AA555" s="2527"/>
      <c r="AB555" s="2527"/>
      <c r="AC555" s="2527"/>
      <c r="AD555" s="2527"/>
      <c r="AE555" s="2527"/>
      <c r="AF555" s="2527"/>
      <c r="AG555" s="2527"/>
      <c r="AH555" s="2527"/>
      <c r="AI555" s="2527"/>
      <c r="AJ555" s="2527"/>
      <c r="AK555" s="2527"/>
      <c r="AL555" s="2528"/>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2" t="s">
        <v>591</v>
      </c>
      <c r="D557" s="2472"/>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6" t="s">
        <v>2614</v>
      </c>
      <c r="G558" s="2467"/>
      <c r="H558" s="2467"/>
      <c r="I558" s="2467"/>
      <c r="J558" s="2467"/>
      <c r="K558" s="2467"/>
      <c r="L558" s="2467"/>
      <c r="M558" s="2467"/>
      <c r="N558" s="2467"/>
      <c r="O558" s="2467"/>
      <c r="P558" s="2467"/>
      <c r="Q558" s="2467"/>
      <c r="R558" s="2467"/>
      <c r="S558" s="2467"/>
      <c r="T558" s="2467"/>
      <c r="U558" s="2467"/>
      <c r="V558" s="2467"/>
      <c r="W558" s="2467"/>
      <c r="X558" s="2467"/>
      <c r="Y558" s="2467"/>
      <c r="Z558" s="2467"/>
      <c r="AA558" s="2467"/>
      <c r="AB558" s="2467"/>
      <c r="AC558" s="2467"/>
      <c r="AD558" s="2467"/>
      <c r="AE558" s="2467"/>
      <c r="AF558" s="2467"/>
      <c r="AG558" s="2467"/>
      <c r="AH558" s="2467"/>
      <c r="AI558" s="2467"/>
      <c r="AJ558" s="2467"/>
      <c r="AK558" s="2467"/>
      <c r="AL558" s="2468"/>
      <c r="AM558" s="593"/>
      <c r="AN558" s="595"/>
      <c r="AS558" s="866"/>
      <c r="AT558" s="866"/>
      <c r="AU558" s="866"/>
      <c r="AV558" s="866"/>
      <c r="AW558" s="866"/>
    </row>
    <row r="559" spans="1:81" s="549" customFormat="1" ht="12.75" customHeight="1">
      <c r="B559" s="802"/>
      <c r="C559" s="802"/>
      <c r="D559" s="802"/>
      <c r="E559" s="802"/>
      <c r="F559" s="2466"/>
      <c r="G559" s="2467"/>
      <c r="H559" s="2467"/>
      <c r="I559" s="2467"/>
      <c r="J559" s="2467"/>
      <c r="K559" s="2467"/>
      <c r="L559" s="2467"/>
      <c r="M559" s="2467"/>
      <c r="N559" s="2467"/>
      <c r="O559" s="2467"/>
      <c r="P559" s="2467"/>
      <c r="Q559" s="2467"/>
      <c r="R559" s="2467"/>
      <c r="S559" s="2467"/>
      <c r="T559" s="2467"/>
      <c r="U559" s="2467"/>
      <c r="V559" s="2467"/>
      <c r="W559" s="2467"/>
      <c r="X559" s="2467"/>
      <c r="Y559" s="2467"/>
      <c r="Z559" s="2467"/>
      <c r="AA559" s="2467"/>
      <c r="AB559" s="2467"/>
      <c r="AC559" s="2467"/>
      <c r="AD559" s="2467"/>
      <c r="AE559" s="2467"/>
      <c r="AF559" s="2467"/>
      <c r="AG559" s="2467"/>
      <c r="AH559" s="2467"/>
      <c r="AI559" s="2467"/>
      <c r="AJ559" s="2467"/>
      <c r="AK559" s="2467"/>
      <c r="AL559" s="2468"/>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6" t="s">
        <v>1554</v>
      </c>
      <c r="G561" s="2467"/>
      <c r="H561" s="2467"/>
      <c r="I561" s="2467"/>
      <c r="J561" s="2467"/>
      <c r="K561" s="2467"/>
      <c r="L561" s="2467"/>
      <c r="M561" s="2467"/>
      <c r="N561" s="2467"/>
      <c r="O561" s="2467"/>
      <c r="P561" s="2467"/>
      <c r="Q561" s="2467"/>
      <c r="R561" s="2467"/>
      <c r="S561" s="2467"/>
      <c r="T561" s="2467"/>
      <c r="U561" s="2467"/>
      <c r="V561" s="2467"/>
      <c r="W561" s="2467"/>
      <c r="X561" s="2467"/>
      <c r="Y561" s="2467"/>
      <c r="Z561" s="2467"/>
      <c r="AA561" s="2467"/>
      <c r="AB561" s="2467"/>
      <c r="AC561" s="2467"/>
      <c r="AD561" s="2467"/>
      <c r="AE561" s="2467"/>
      <c r="AF561" s="2467"/>
      <c r="AG561" s="2467"/>
      <c r="AH561" s="2467"/>
      <c r="AI561" s="2467"/>
      <c r="AJ561" s="2467"/>
      <c r="AK561" s="2467"/>
      <c r="AL561" s="809"/>
      <c r="AM561" s="593"/>
      <c r="AN561" s="595"/>
    </row>
    <row r="562" spans="1:45" s="549" customFormat="1" ht="12.75" customHeight="1">
      <c r="B562" s="802"/>
      <c r="C562" s="802"/>
      <c r="D562" s="802"/>
      <c r="E562" s="802"/>
      <c r="F562" s="2469"/>
      <c r="G562" s="2470"/>
      <c r="H562" s="2470"/>
      <c r="I562" s="2470"/>
      <c r="J562" s="2470"/>
      <c r="K562" s="2470"/>
      <c r="L562" s="2470"/>
      <c r="M562" s="2470"/>
      <c r="N562" s="2470"/>
      <c r="O562" s="2470"/>
      <c r="P562" s="2470"/>
      <c r="Q562" s="2470"/>
      <c r="R562" s="2470"/>
      <c r="S562" s="2470"/>
      <c r="T562" s="2470"/>
      <c r="U562" s="2470"/>
      <c r="V562" s="2470"/>
      <c r="W562" s="2470"/>
      <c r="X562" s="2470"/>
      <c r="Y562" s="2470"/>
      <c r="Z562" s="2470"/>
      <c r="AA562" s="2470"/>
      <c r="AB562" s="2470"/>
      <c r="AC562" s="2470"/>
      <c r="AD562" s="2470"/>
      <c r="AE562" s="2470"/>
      <c r="AF562" s="2470"/>
      <c r="AG562" s="2470"/>
      <c r="AH562" s="2470"/>
      <c r="AI562" s="2470"/>
      <c r="AJ562" s="2470"/>
      <c r="AK562" s="2470"/>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5">
        <f>Application!AJ1001</f>
        <v>31958947</v>
      </c>
      <c r="AQ563" s="2605"/>
      <c r="AR563" s="2605"/>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8">
        <f>'Sources and Uses Budget'!S107+'Sources and Uses Budget'!T107</f>
        <v>19520558</v>
      </c>
      <c r="AG564" s="2478"/>
      <c r="AH564" s="2478"/>
      <c r="AI564" s="2478"/>
      <c r="AJ564" s="2478"/>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9">
        <f>IFERROR(AP572,0)</f>
        <v>50814726.030000001</v>
      </c>
      <c r="AG565" s="2609"/>
      <c r="AH565" s="2609"/>
      <c r="AI565" s="2609"/>
      <c r="AJ565" s="2609"/>
      <c r="AK565" s="593"/>
      <c r="AL565" s="593"/>
      <c r="AM565" s="593"/>
      <c r="AN565" s="595"/>
      <c r="AP565" s="2605">
        <f>Application!AJ1054</f>
        <v>4793842.05</v>
      </c>
      <c r="AQ565" s="2605"/>
      <c r="AR565" s="2605"/>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0">
        <f>IFERROR(ROUNDDOWN(IF(C557="YES",((1-(AF564/AF565))*2),(1-(AF564/AF565))),2),0)</f>
        <v>0.61</v>
      </c>
      <c r="AG566" s="2610"/>
      <c r="AH566" s="2610"/>
      <c r="AI566" s="2610"/>
      <c r="AJ566" s="2610"/>
      <c r="AK566" s="593"/>
      <c r="AL566" s="593"/>
      <c r="AM566" s="593"/>
      <c r="AN566" s="595"/>
      <c r="AP566" s="2625">
        <f>Application!AJ1058</f>
        <v>10866041.98</v>
      </c>
      <c r="AQ566" s="2625"/>
      <c r="AR566" s="2625"/>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4">
        <f>IF(((AP565+AP566)/AP563)&gt;0.8,0.8,((AP565+AP566)/AP563))</f>
        <v>0.49000000000000005</v>
      </c>
      <c r="AQ567" s="2604"/>
      <c r="AR567" s="2604"/>
      <c r="AS567" s="549" t="s">
        <v>2125</v>
      </c>
    </row>
    <row r="568" spans="1:45" s="549" customFormat="1" ht="12.75" customHeight="1">
      <c r="A568" s="622"/>
      <c r="B568" s="2551" t="s">
        <v>1992</v>
      </c>
      <c r="C568" s="2552"/>
      <c r="D568" s="2552"/>
      <c r="E568" s="2552"/>
      <c r="F568" s="2552"/>
      <c r="G568" s="2552"/>
      <c r="H568" s="2552"/>
      <c r="I568" s="2552"/>
      <c r="J568" s="2552"/>
      <c r="K568" s="2552"/>
      <c r="L568" s="2552"/>
      <c r="M568" s="2552"/>
      <c r="N568" s="2552"/>
      <c r="O568" s="2552"/>
      <c r="P568" s="2552"/>
      <c r="Q568" s="2552"/>
      <c r="R568" s="2552"/>
      <c r="S568" s="2552"/>
      <c r="T568" s="2552"/>
      <c r="U568" s="2552"/>
      <c r="V568" s="2552"/>
      <c r="W568" s="2552"/>
      <c r="X568" s="2552"/>
      <c r="Y568" s="2552"/>
      <c r="Z568" s="2552"/>
      <c r="AA568" s="2552"/>
      <c r="AB568" s="2552"/>
      <c r="AC568" s="2552"/>
      <c r="AD568" s="2552"/>
      <c r="AE568" s="2552"/>
      <c r="AF568" s="2552"/>
      <c r="AG568" s="2552"/>
      <c r="AH568" s="2552"/>
      <c r="AI568" s="2552"/>
      <c r="AJ568" s="2553"/>
      <c r="AK568" s="593"/>
      <c r="AL568" s="593"/>
      <c r="AM568" s="593"/>
      <c r="AN568" s="595"/>
    </row>
    <row r="569" spans="1:45" s="549" customFormat="1" ht="12.75" customHeight="1">
      <c r="A569" s="622"/>
      <c r="B569" s="2554"/>
      <c r="C569" s="2555"/>
      <c r="D569" s="2555"/>
      <c r="E569" s="2555"/>
      <c r="F569" s="2555"/>
      <c r="G569" s="2555"/>
      <c r="H569" s="2555"/>
      <c r="I569" s="2555"/>
      <c r="J569" s="2555"/>
      <c r="K569" s="2555"/>
      <c r="L569" s="2555"/>
      <c r="M569" s="2555"/>
      <c r="N569" s="2555"/>
      <c r="O569" s="2555"/>
      <c r="P569" s="2555"/>
      <c r="Q569" s="2555"/>
      <c r="R569" s="2555"/>
      <c r="S569" s="2555"/>
      <c r="T569" s="2555"/>
      <c r="U569" s="2555"/>
      <c r="V569" s="2555"/>
      <c r="W569" s="2555"/>
      <c r="X569" s="2555"/>
      <c r="Y569" s="2555"/>
      <c r="Z569" s="2555"/>
      <c r="AA569" s="2555"/>
      <c r="AB569" s="2555"/>
      <c r="AC569" s="2555"/>
      <c r="AD569" s="2555"/>
      <c r="AE569" s="2555"/>
      <c r="AF569" s="2555"/>
      <c r="AG569" s="2555"/>
      <c r="AH569" s="2555"/>
      <c r="AI569" s="2555"/>
      <c r="AJ569" s="2556"/>
      <c r="AK569" s="593"/>
      <c r="AL569" s="593"/>
      <c r="AM569" s="593"/>
      <c r="AN569" s="595"/>
      <c r="AP569" s="2605">
        <f>AP570-AP565-AP566</f>
        <v>35154842</v>
      </c>
      <c r="AQ569" s="2536"/>
      <c r="AR569" s="2536"/>
      <c r="AS569" s="549" t="s">
        <v>2127</v>
      </c>
    </row>
    <row r="570" spans="1:45" s="549" customFormat="1" ht="12.75" customHeight="1">
      <c r="A570" s="622"/>
      <c r="B570" s="2557"/>
      <c r="C570" s="2558"/>
      <c r="D570" s="2558"/>
      <c r="E570" s="2558"/>
      <c r="F570" s="2558"/>
      <c r="G570" s="2558"/>
      <c r="H570" s="2558"/>
      <c r="I570" s="2558"/>
      <c r="J570" s="2558"/>
      <c r="K570" s="2558"/>
      <c r="L570" s="2558"/>
      <c r="M570" s="2558"/>
      <c r="N570" s="2558"/>
      <c r="O570" s="2558"/>
      <c r="P570" s="2558"/>
      <c r="Q570" s="2558"/>
      <c r="R570" s="2558"/>
      <c r="S570" s="2558"/>
      <c r="T570" s="2558"/>
      <c r="U570" s="2558"/>
      <c r="V570" s="2558"/>
      <c r="W570" s="2558"/>
      <c r="X570" s="2558"/>
      <c r="Y570" s="2558"/>
      <c r="Z570" s="2558"/>
      <c r="AA570" s="2558"/>
      <c r="AB570" s="2558"/>
      <c r="AC570" s="2558"/>
      <c r="AD570" s="2558"/>
      <c r="AE570" s="2558"/>
      <c r="AF570" s="2558"/>
      <c r="AG570" s="2558"/>
      <c r="AH570" s="2558"/>
      <c r="AI570" s="2558"/>
      <c r="AJ570" s="2559"/>
      <c r="AK570" s="593"/>
      <c r="AL570" s="593"/>
      <c r="AM570" s="593"/>
      <c r="AN570" s="595"/>
      <c r="AP570" s="2605">
        <f>Application!AJ1062</f>
        <v>50814726.030000001</v>
      </c>
      <c r="AQ570" s="2605"/>
      <c r="AR570" s="2605"/>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60">
        <f>IFERROR(IF(AND(C554="N/A",C557="N/A"),0,IF(AF566=0,0,IF((AF566*100)&gt;12,12,(AF566*100)))),0)</f>
        <v>12</v>
      </c>
      <c r="AL572" s="2560"/>
      <c r="AM572" s="2561"/>
      <c r="AN572" s="595"/>
      <c r="AP572" s="2618">
        <f>AP569+(AP563*AP567)</f>
        <v>50814726.030000001</v>
      </c>
      <c r="AQ572" s="2619"/>
      <c r="AR572" s="26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2557</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7" t="s">
        <v>1308</v>
      </c>
      <c r="AF575" s="2417"/>
      <c r="AG575" s="2417"/>
      <c r="AH575" s="2417"/>
      <c r="AI575" s="2417"/>
      <c r="AJ575" s="2417"/>
      <c r="AK575" s="2417"/>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7" t="s">
        <v>1984</v>
      </c>
      <c r="C577" s="2467"/>
      <c r="D577" s="2467"/>
      <c r="E577" s="2467"/>
      <c r="F577" s="2467"/>
      <c r="G577" s="2467"/>
      <c r="H577" s="2467"/>
      <c r="I577" s="2467"/>
      <c r="J577" s="2467"/>
      <c r="K577" s="2467"/>
      <c r="L577" s="2467"/>
      <c r="M577" s="2467"/>
      <c r="N577" s="2467"/>
      <c r="O577" s="2467"/>
      <c r="P577" s="2467"/>
      <c r="Q577" s="2467"/>
      <c r="R577" s="2467"/>
      <c r="S577" s="2467"/>
      <c r="T577" s="2467"/>
      <c r="U577" s="2467"/>
      <c r="V577" s="2467"/>
      <c r="W577" s="2467"/>
      <c r="X577" s="2467"/>
      <c r="Y577" s="2467"/>
      <c r="Z577" s="2467"/>
      <c r="AA577" s="2467"/>
      <c r="AB577" s="2467"/>
      <c r="AC577" s="2467"/>
      <c r="AD577" s="2467"/>
      <c r="AE577" s="2467"/>
      <c r="AF577" s="2467"/>
      <c r="AG577" s="2467"/>
      <c r="AH577" s="2467"/>
      <c r="AI577" s="2467"/>
      <c r="AJ577" s="2467"/>
      <c r="AK577" s="640"/>
      <c r="AL577" s="571"/>
      <c r="AM577" s="601"/>
      <c r="AN577" s="595"/>
    </row>
    <row r="578" spans="1:42" s="549" customFormat="1" ht="12.75" customHeight="1">
      <c r="A578" s="601"/>
      <c r="B578" s="2467"/>
      <c r="C578" s="2467"/>
      <c r="D578" s="2467"/>
      <c r="E578" s="2467"/>
      <c r="F578" s="2467"/>
      <c r="G578" s="2467"/>
      <c r="H578" s="2467"/>
      <c r="I578" s="2467"/>
      <c r="J578" s="2467"/>
      <c r="K578" s="2467"/>
      <c r="L578" s="2467"/>
      <c r="M578" s="2467"/>
      <c r="N578" s="2467"/>
      <c r="O578" s="2467"/>
      <c r="P578" s="2467"/>
      <c r="Q578" s="2467"/>
      <c r="R578" s="2467"/>
      <c r="S578" s="2467"/>
      <c r="T578" s="2467"/>
      <c r="U578" s="2467"/>
      <c r="V578" s="2467"/>
      <c r="W578" s="2467"/>
      <c r="X578" s="2467"/>
      <c r="Y578" s="2467"/>
      <c r="Z578" s="2467"/>
      <c r="AA578" s="2467"/>
      <c r="AB578" s="2467"/>
      <c r="AC578" s="2467"/>
      <c r="AD578" s="2467"/>
      <c r="AE578" s="2467"/>
      <c r="AF578" s="2467"/>
      <c r="AG578" s="2467"/>
      <c r="AH578" s="2467"/>
      <c r="AI578" s="2467"/>
      <c r="AJ578" s="2467"/>
      <c r="AK578" s="640"/>
      <c r="AL578" s="571"/>
      <c r="AM578" s="601"/>
      <c r="AN578" s="595"/>
    </row>
    <row r="579" spans="1:42" s="549" customFormat="1" ht="12.75" customHeight="1">
      <c r="A579" s="601"/>
      <c r="B579" s="2467"/>
      <c r="C579" s="2467"/>
      <c r="D579" s="2467"/>
      <c r="E579" s="2467"/>
      <c r="F579" s="2467"/>
      <c r="G579" s="2467"/>
      <c r="H579" s="2467"/>
      <c r="I579" s="2467"/>
      <c r="J579" s="2467"/>
      <c r="K579" s="2467"/>
      <c r="L579" s="2467"/>
      <c r="M579" s="2467"/>
      <c r="N579" s="2467"/>
      <c r="O579" s="2467"/>
      <c r="P579" s="2467"/>
      <c r="Q579" s="2467"/>
      <c r="R579" s="2467"/>
      <c r="S579" s="2467"/>
      <c r="T579" s="2467"/>
      <c r="U579" s="2467"/>
      <c r="V579" s="2467"/>
      <c r="W579" s="2467"/>
      <c r="X579" s="2467"/>
      <c r="Y579" s="2467"/>
      <c r="Z579" s="2467"/>
      <c r="AA579" s="2467"/>
      <c r="AB579" s="2467"/>
      <c r="AC579" s="2467"/>
      <c r="AD579" s="2467"/>
      <c r="AE579" s="2467"/>
      <c r="AF579" s="2467"/>
      <c r="AG579" s="2467"/>
      <c r="AH579" s="2467"/>
      <c r="AI579" s="2467"/>
      <c r="AJ579" s="2467"/>
      <c r="AK579" s="640"/>
      <c r="AL579" s="571"/>
      <c r="AM579" s="601"/>
      <c r="AN579" s="595"/>
    </row>
    <row r="580" spans="1:42" s="549" customFormat="1" ht="12.75" customHeight="1">
      <c r="A580" s="601"/>
      <c r="B580" s="2467"/>
      <c r="C580" s="2467"/>
      <c r="D580" s="2467"/>
      <c r="E580" s="2467"/>
      <c r="F580" s="2467"/>
      <c r="G580" s="2467"/>
      <c r="H580" s="2467"/>
      <c r="I580" s="2467"/>
      <c r="J580" s="2467"/>
      <c r="K580" s="2467"/>
      <c r="L580" s="2467"/>
      <c r="M580" s="2467"/>
      <c r="N580" s="2467"/>
      <c r="O580" s="2467"/>
      <c r="P580" s="2467"/>
      <c r="Q580" s="2467"/>
      <c r="R580" s="2467"/>
      <c r="S580" s="2467"/>
      <c r="T580" s="2467"/>
      <c r="U580" s="2467"/>
      <c r="V580" s="2467"/>
      <c r="W580" s="2467"/>
      <c r="X580" s="2467"/>
      <c r="Y580" s="2467"/>
      <c r="Z580" s="2467"/>
      <c r="AA580" s="2467"/>
      <c r="AB580" s="2467"/>
      <c r="AC580" s="2467"/>
      <c r="AD580" s="2467"/>
      <c r="AE580" s="2467"/>
      <c r="AF580" s="2467"/>
      <c r="AG580" s="2467"/>
      <c r="AH580" s="2467"/>
      <c r="AI580" s="2467"/>
      <c r="AJ580" s="2467"/>
      <c r="AK580" s="640"/>
      <c r="AL580" s="571"/>
      <c r="AM580" s="601"/>
      <c r="AN580" s="595"/>
    </row>
    <row r="581" spans="1:42" s="549" customFormat="1" ht="12.75" customHeight="1">
      <c r="A581" s="601"/>
      <c r="B581" s="2467"/>
      <c r="C581" s="2467"/>
      <c r="D581" s="2467"/>
      <c r="E581" s="2467"/>
      <c r="F581" s="2467"/>
      <c r="G581" s="2467"/>
      <c r="H581" s="2467"/>
      <c r="I581" s="2467"/>
      <c r="J581" s="2467"/>
      <c r="K581" s="2467"/>
      <c r="L581" s="2467"/>
      <c r="M581" s="2467"/>
      <c r="N581" s="2467"/>
      <c r="O581" s="2467"/>
      <c r="P581" s="2467"/>
      <c r="Q581" s="2467"/>
      <c r="R581" s="2467"/>
      <c r="S581" s="2467"/>
      <c r="T581" s="2467"/>
      <c r="U581" s="2467"/>
      <c r="V581" s="2467"/>
      <c r="W581" s="2467"/>
      <c r="X581" s="2467"/>
      <c r="Y581" s="2467"/>
      <c r="Z581" s="2467"/>
      <c r="AA581" s="2467"/>
      <c r="AB581" s="2467"/>
      <c r="AC581" s="2467"/>
      <c r="AD581" s="2467"/>
      <c r="AE581" s="2467"/>
      <c r="AF581" s="2467"/>
      <c r="AG581" s="2467"/>
      <c r="AH581" s="2467"/>
      <c r="AI581" s="2467"/>
      <c r="AJ581" s="2467"/>
      <c r="AK581" s="640"/>
      <c r="AL581" s="571"/>
      <c r="AM581" s="601"/>
      <c r="AN581" s="595"/>
    </row>
    <row r="582" spans="1:42" s="549" customFormat="1" ht="12.75" customHeight="1">
      <c r="A582" s="601"/>
      <c r="B582" s="2467"/>
      <c r="C582" s="2467"/>
      <c r="D582" s="2467"/>
      <c r="E582" s="2467"/>
      <c r="F582" s="2467"/>
      <c r="G582" s="2467"/>
      <c r="H582" s="2467"/>
      <c r="I582" s="2467"/>
      <c r="J582" s="2467"/>
      <c r="K582" s="2467"/>
      <c r="L582" s="2467"/>
      <c r="M582" s="2467"/>
      <c r="N582" s="2467"/>
      <c r="O582" s="2467"/>
      <c r="P582" s="2467"/>
      <c r="Q582" s="2467"/>
      <c r="R582" s="2467"/>
      <c r="S582" s="2467"/>
      <c r="T582" s="2467"/>
      <c r="U582" s="2467"/>
      <c r="V582" s="2467"/>
      <c r="W582" s="2467"/>
      <c r="X582" s="2467"/>
      <c r="Y582" s="2467"/>
      <c r="Z582" s="2467"/>
      <c r="AA582" s="2467"/>
      <c r="AB582" s="2467"/>
      <c r="AC582" s="2467"/>
      <c r="AD582" s="2467"/>
      <c r="AE582" s="2467"/>
      <c r="AF582" s="2467"/>
      <c r="AG582" s="2467"/>
      <c r="AH582" s="2467"/>
      <c r="AI582" s="2467"/>
      <c r="AJ582" s="2467"/>
      <c r="AK582" s="640"/>
      <c r="AL582" s="571"/>
      <c r="AM582" s="601"/>
      <c r="AN582" s="595"/>
    </row>
    <row r="583" spans="1:42" s="549" customFormat="1" ht="12.75" customHeight="1">
      <c r="A583" s="601"/>
      <c r="B583" s="2467"/>
      <c r="C583" s="2467"/>
      <c r="D583" s="2467"/>
      <c r="E583" s="2467"/>
      <c r="F583" s="2467"/>
      <c r="G583" s="2467"/>
      <c r="H583" s="2467"/>
      <c r="I583" s="2467"/>
      <c r="J583" s="2467"/>
      <c r="K583" s="2467"/>
      <c r="L583" s="2467"/>
      <c r="M583" s="2467"/>
      <c r="N583" s="2467"/>
      <c r="O583" s="2467"/>
      <c r="P583" s="2467"/>
      <c r="Q583" s="2467"/>
      <c r="R583" s="2467"/>
      <c r="S583" s="2467"/>
      <c r="T583" s="2467"/>
      <c r="U583" s="2467"/>
      <c r="V583" s="2467"/>
      <c r="W583" s="2467"/>
      <c r="X583" s="2467"/>
      <c r="Y583" s="2467"/>
      <c r="Z583" s="2467"/>
      <c r="AA583" s="2467"/>
      <c r="AB583" s="2467"/>
      <c r="AC583" s="2467"/>
      <c r="AD583" s="2467"/>
      <c r="AE583" s="2467"/>
      <c r="AF583" s="2467"/>
      <c r="AG583" s="2467"/>
      <c r="AH583" s="2467"/>
      <c r="AI583" s="2467"/>
      <c r="AJ583" s="2467"/>
      <c r="AK583" s="640"/>
      <c r="AL583" s="571"/>
      <c r="AM583" s="601"/>
      <c r="AN583" s="595"/>
    </row>
    <row r="584" spans="1:42" ht="12.75" customHeight="1">
      <c r="A584" s="601"/>
      <c r="B584" s="2467"/>
      <c r="C584" s="2467"/>
      <c r="D584" s="2467"/>
      <c r="E584" s="2467"/>
      <c r="F584" s="2467"/>
      <c r="G584" s="2467"/>
      <c r="H584" s="2467"/>
      <c r="I584" s="2467"/>
      <c r="J584" s="2467"/>
      <c r="K584" s="2467"/>
      <c r="L584" s="2467"/>
      <c r="M584" s="2467"/>
      <c r="N584" s="2467"/>
      <c r="O584" s="2467"/>
      <c r="P584" s="2467"/>
      <c r="Q584" s="2467"/>
      <c r="R584" s="2467"/>
      <c r="S584" s="2467"/>
      <c r="T584" s="2467"/>
      <c r="U584" s="2467"/>
      <c r="V584" s="2467"/>
      <c r="W584" s="2467"/>
      <c r="X584" s="2467"/>
      <c r="Y584" s="2467"/>
      <c r="Z584" s="2467"/>
      <c r="AA584" s="2467"/>
      <c r="AB584" s="2467"/>
      <c r="AC584" s="2467"/>
      <c r="AD584" s="2467"/>
      <c r="AE584" s="2467"/>
      <c r="AF584" s="2467"/>
      <c r="AG584" s="2467"/>
      <c r="AH584" s="2467"/>
      <c r="AI584" s="2467"/>
      <c r="AJ584" s="2467"/>
      <c r="AK584" s="640"/>
      <c r="AL584" s="571"/>
      <c r="AM584" s="601"/>
    </row>
    <row r="585" spans="1:42" s="549" customFormat="1" ht="12.75" customHeight="1">
      <c r="B585" s="2467"/>
      <c r="C585" s="2467"/>
      <c r="D585" s="2467"/>
      <c r="E585" s="2467"/>
      <c r="F585" s="2467"/>
      <c r="G585" s="2467"/>
      <c r="H585" s="2467"/>
      <c r="I585" s="2467"/>
      <c r="J585" s="2467"/>
      <c r="K585" s="2467"/>
      <c r="L585" s="2467"/>
      <c r="M585" s="2467"/>
      <c r="N585" s="2467"/>
      <c r="O585" s="2467"/>
      <c r="P585" s="2467"/>
      <c r="Q585" s="2467"/>
      <c r="R585" s="2467"/>
      <c r="S585" s="2467"/>
      <c r="T585" s="2467"/>
      <c r="U585" s="2467"/>
      <c r="V585" s="2467"/>
      <c r="W585" s="2467"/>
      <c r="X585" s="2467"/>
      <c r="Y585" s="2467"/>
      <c r="Z585" s="2467"/>
      <c r="AA585" s="2467"/>
      <c r="AB585" s="2467"/>
      <c r="AC585" s="2467"/>
      <c r="AD585" s="2467"/>
      <c r="AE585" s="2467"/>
      <c r="AF585" s="2467"/>
      <c r="AG585" s="2467"/>
      <c r="AH585" s="2467"/>
      <c r="AI585" s="2467"/>
      <c r="AJ585" s="2467"/>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0" t="s">
        <v>1332</v>
      </c>
      <c r="AG591" s="2450"/>
      <c r="AH591" s="2450"/>
      <c r="AI591" s="2450"/>
      <c r="AJ591" s="2450"/>
      <c r="AK591" s="2450"/>
      <c r="AL591" s="2450"/>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0" t="s">
        <v>1388</v>
      </c>
      <c r="AG598" s="2450"/>
      <c r="AH598" s="2450"/>
      <c r="AI598" s="2450"/>
      <c r="AJ598" s="2450"/>
      <c r="AK598" s="2450"/>
      <c r="AL598" s="2450"/>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0" t="s">
        <v>1371</v>
      </c>
      <c r="AG604" s="2450"/>
      <c r="AH604" s="2450"/>
      <c r="AI604" s="2450"/>
      <c r="AJ604" s="2450"/>
      <c r="AK604" s="2450"/>
      <c r="AL604" s="2450"/>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0" t="s">
        <v>1391</v>
      </c>
      <c r="AG610" s="2450"/>
      <c r="AH610" s="2450"/>
      <c r="AI610" s="2450"/>
      <c r="AJ610" s="2450"/>
      <c r="AK610" s="2450"/>
      <c r="AL610" s="2450"/>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2" t="s">
        <v>1184</v>
      </c>
      <c r="P614" s="2532"/>
      <c r="Q614" s="2532"/>
      <c r="R614" s="2532"/>
      <c r="S614" s="2532"/>
      <c r="T614" s="2532"/>
      <c r="U614" s="2532"/>
      <c r="V614" s="2532"/>
      <c r="W614" s="2532"/>
      <c r="X614" s="2532"/>
      <c r="Y614" s="2532"/>
      <c r="Z614" s="2532"/>
      <c r="AA614" s="2532"/>
      <c r="AB614" s="2532"/>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0" t="s">
        <v>1346</v>
      </c>
      <c r="AG616" s="2450"/>
      <c r="AH616" s="2450"/>
      <c r="AI616" s="2450"/>
      <c r="AJ616" s="2450"/>
      <c r="AK616" s="2450"/>
      <c r="AL616" s="2450"/>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30" t="s">
        <v>687</v>
      </c>
      <c r="I619" s="2530"/>
      <c r="J619" s="932"/>
      <c r="K619" s="932"/>
      <c r="L619" s="932"/>
      <c r="N619" s="22"/>
      <c r="O619" s="22"/>
      <c r="P619" s="22"/>
      <c r="Q619" s="1145" t="s">
        <v>2130</v>
      </c>
      <c r="R619" s="2533"/>
      <c r="S619" s="2533"/>
      <c r="T619" s="2533"/>
      <c r="U619" s="2533"/>
      <c r="V619" s="2533"/>
      <c r="W619" s="2533"/>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4" t="str">
        <f>IF(AND(H619="(i)",NOT(AP595)),AO612,IF(AND(H619="(iv)",OR(R619=AO608,R619=AO607),NOT(AP596)),AO613,""))</f>
        <v/>
      </c>
      <c r="Z620" s="2534"/>
      <c r="AA620" s="2534"/>
      <c r="AB620" s="2534"/>
      <c r="AC620" s="2534"/>
      <c r="AD620" s="2534"/>
      <c r="AE620" s="2534"/>
      <c r="AF620" s="2534"/>
      <c r="AG620" s="2534"/>
      <c r="AH620" s="2534"/>
      <c r="AI620" s="2534"/>
      <c r="AJ620" s="2534"/>
      <c r="AK620" s="2534"/>
      <c r="AL620" s="2534"/>
      <c r="AM620" s="2535"/>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4"/>
      <c r="Z621" s="2534"/>
      <c r="AA621" s="2534"/>
      <c r="AB621" s="2534"/>
      <c r="AC621" s="2534"/>
      <c r="AD621" s="2534"/>
      <c r="AE621" s="2534"/>
      <c r="AF621" s="2534"/>
      <c r="AG621" s="2534"/>
      <c r="AH621" s="2534"/>
      <c r="AI621" s="2534"/>
      <c r="AJ621" s="2534"/>
      <c r="AK621" s="2534"/>
      <c r="AL621" s="2534"/>
      <c r="AM621" s="2535"/>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1" t="s">
        <v>591</v>
      </c>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2531"/>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62" t="s">
        <v>591</v>
      </c>
      <c r="C629" s="2462"/>
      <c r="D629" s="640"/>
      <c r="E629" s="2467" t="s">
        <v>1395</v>
      </c>
      <c r="F629" s="2467"/>
      <c r="G629" s="2467"/>
      <c r="H629" s="2467"/>
      <c r="I629" s="2467"/>
      <c r="J629" s="2467"/>
      <c r="K629" s="2467"/>
      <c r="L629" s="2467"/>
      <c r="M629" s="2467"/>
      <c r="N629" s="2467"/>
      <c r="O629" s="2467"/>
      <c r="P629" s="2467"/>
      <c r="Q629" s="2467"/>
      <c r="R629" s="2467"/>
      <c r="S629" s="2467"/>
      <c r="T629" s="2467"/>
      <c r="U629" s="2467"/>
      <c r="V629" s="2467"/>
      <c r="W629" s="2467"/>
      <c r="X629" s="2467"/>
      <c r="Y629" s="2467"/>
      <c r="Z629" s="2467"/>
      <c r="AA629" s="2467"/>
      <c r="AB629" s="2467"/>
      <c r="AC629" s="2467"/>
      <c r="AD629" s="2467"/>
      <c r="AE629" s="2467"/>
      <c r="AF629" s="2467"/>
      <c r="AG629" s="2467"/>
      <c r="AH629" s="640"/>
      <c r="AI629" s="640"/>
      <c r="AJ629" s="640"/>
      <c r="AK629" s="640"/>
      <c r="AL629" s="640"/>
      <c r="AN629" s="595"/>
    </row>
    <row r="630" spans="1:42" s="549" customFormat="1" ht="12.75" customHeight="1">
      <c r="B630" s="536"/>
      <c r="C630" s="929"/>
      <c r="D630" s="640"/>
      <c r="E630" s="2467"/>
      <c r="F630" s="2467"/>
      <c r="G630" s="2467"/>
      <c r="H630" s="2467"/>
      <c r="I630" s="2467"/>
      <c r="J630" s="2467"/>
      <c r="K630" s="2467"/>
      <c r="L630" s="2467"/>
      <c r="M630" s="2467"/>
      <c r="N630" s="2467"/>
      <c r="O630" s="2467"/>
      <c r="P630" s="2467"/>
      <c r="Q630" s="2467"/>
      <c r="R630" s="2467"/>
      <c r="S630" s="2467"/>
      <c r="T630" s="2467"/>
      <c r="U630" s="2467"/>
      <c r="V630" s="2467"/>
      <c r="W630" s="2467"/>
      <c r="X630" s="2467"/>
      <c r="Y630" s="2467"/>
      <c r="Z630" s="2467"/>
      <c r="AA630" s="2467"/>
      <c r="AB630" s="2467"/>
      <c r="AC630" s="2467"/>
      <c r="AD630" s="2467"/>
      <c r="AE630" s="2467"/>
      <c r="AF630" s="2467"/>
      <c r="AG630" s="2467"/>
      <c r="AH630" s="640"/>
      <c r="AI630" s="640"/>
      <c r="AJ630" s="640"/>
      <c r="AK630" s="640"/>
      <c r="AL630" s="640"/>
      <c r="AN630" s="595"/>
    </row>
    <row r="631" spans="1:42" s="549" customFormat="1" ht="12.75" customHeight="1">
      <c r="B631" s="536"/>
      <c r="C631" s="929"/>
      <c r="D631" s="640"/>
      <c r="E631" s="2467"/>
      <c r="F631" s="2467"/>
      <c r="G631" s="2467"/>
      <c r="H631" s="2467"/>
      <c r="I631" s="2467"/>
      <c r="J631" s="2467"/>
      <c r="K631" s="2467"/>
      <c r="L631" s="2467"/>
      <c r="M631" s="2467"/>
      <c r="N631" s="2467"/>
      <c r="O631" s="2467"/>
      <c r="P631" s="2467"/>
      <c r="Q631" s="2467"/>
      <c r="R631" s="2467"/>
      <c r="S631" s="2467"/>
      <c r="T631" s="2467"/>
      <c r="U631" s="2467"/>
      <c r="V631" s="2467"/>
      <c r="W631" s="2467"/>
      <c r="X631" s="2467"/>
      <c r="Y631" s="2467"/>
      <c r="Z631" s="2467"/>
      <c r="AA631" s="2467"/>
      <c r="AB631" s="2467"/>
      <c r="AC631" s="2467"/>
      <c r="AD631" s="2467"/>
      <c r="AE631" s="2467"/>
      <c r="AF631" s="2467"/>
      <c r="AG631" s="2467"/>
      <c r="AH631" s="640"/>
      <c r="AI631" s="640"/>
      <c r="AJ631" s="640"/>
      <c r="AK631" s="640"/>
      <c r="AL631" s="640"/>
      <c r="AN631" s="595"/>
    </row>
    <row r="632" spans="1:42" s="549" customFormat="1" ht="12.75" customHeight="1">
      <c r="B632" s="536"/>
      <c r="C632" s="929"/>
      <c r="D632" s="640"/>
      <c r="E632" s="2467"/>
      <c r="F632" s="2467"/>
      <c r="G632" s="2467"/>
      <c r="H632" s="2467"/>
      <c r="I632" s="2467"/>
      <c r="J632" s="2467"/>
      <c r="K632" s="2467"/>
      <c r="L632" s="2467"/>
      <c r="M632" s="2467"/>
      <c r="N632" s="2467"/>
      <c r="O632" s="2467"/>
      <c r="P632" s="2467"/>
      <c r="Q632" s="2467"/>
      <c r="R632" s="2467"/>
      <c r="S632" s="2467"/>
      <c r="T632" s="2467"/>
      <c r="U632" s="2467"/>
      <c r="V632" s="2467"/>
      <c r="W632" s="2467"/>
      <c r="X632" s="2467"/>
      <c r="Y632" s="2467"/>
      <c r="Z632" s="2467"/>
      <c r="AA632" s="2467"/>
      <c r="AB632" s="2467"/>
      <c r="AC632" s="2467"/>
      <c r="AD632" s="2467"/>
      <c r="AE632" s="2467"/>
      <c r="AF632" s="2467"/>
      <c r="AG632" s="2467"/>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75">
        <f>VLOOKUP($H$619,$AO$599:$AP$604,2,FALSE)+IF(R619=AO607,0,VLOOKUP($I$627,$AO$626:$AP$628,2,FALSE))</f>
        <v>7</v>
      </c>
      <c r="AK634" s="2477"/>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29" t="s">
        <v>1683</v>
      </c>
      <c r="F638" s="2529"/>
      <c r="G638" s="2529"/>
      <c r="H638" s="2529"/>
      <c r="I638" s="2529"/>
      <c r="J638" s="2529"/>
      <c r="K638" s="2529"/>
      <c r="L638" s="2529"/>
      <c r="M638" s="2529"/>
      <c r="N638" s="2529"/>
      <c r="O638" s="2529"/>
      <c r="P638" s="2529"/>
      <c r="Q638" s="2529"/>
      <c r="R638" s="2529"/>
      <c r="S638" s="2529"/>
      <c r="T638" s="2529"/>
      <c r="U638" s="2529"/>
      <c r="V638" s="2529"/>
      <c r="W638" s="2529"/>
      <c r="X638" s="2529"/>
      <c r="Y638" s="2529"/>
      <c r="Z638" s="2529"/>
      <c r="AA638" s="2529"/>
      <c r="AB638" s="2529"/>
      <c r="AC638" s="2529"/>
      <c r="AD638" s="2529"/>
      <c r="AE638" s="539"/>
      <c r="AF638" s="2450" t="s">
        <v>1346</v>
      </c>
      <c r="AG638" s="2450"/>
      <c r="AH638" s="2450"/>
      <c r="AI638" s="2450"/>
      <c r="AJ638" s="2450"/>
      <c r="AK638" s="2450"/>
      <c r="AL638" s="2450"/>
      <c r="AM638" s="549"/>
      <c r="AN638" s="674"/>
    </row>
    <row r="639" spans="1:42" s="549" customFormat="1" ht="12.75" customHeight="1">
      <c r="A639" s="675"/>
      <c r="B639" s="536"/>
      <c r="C639" s="929"/>
      <c r="D639" s="659"/>
      <c r="E639" s="2529"/>
      <c r="F639" s="2529"/>
      <c r="G639" s="2529"/>
      <c r="H639" s="2529"/>
      <c r="I639" s="2529"/>
      <c r="J639" s="2529"/>
      <c r="K639" s="2529"/>
      <c r="L639" s="2529"/>
      <c r="M639" s="2529"/>
      <c r="N639" s="2529"/>
      <c r="O639" s="2529"/>
      <c r="P639" s="2529"/>
      <c r="Q639" s="2529"/>
      <c r="R639" s="2529"/>
      <c r="S639" s="2529"/>
      <c r="T639" s="2529"/>
      <c r="U639" s="2529"/>
      <c r="V639" s="2529"/>
      <c r="W639" s="2529"/>
      <c r="X639" s="2529"/>
      <c r="Y639" s="2529"/>
      <c r="Z639" s="2529"/>
      <c r="AA639" s="2529"/>
      <c r="AB639" s="2529"/>
      <c r="AC639" s="2529"/>
      <c r="AD639" s="2529"/>
      <c r="AE639" s="536"/>
      <c r="AF639" s="536"/>
      <c r="AG639" s="536"/>
      <c r="AH639" s="536"/>
      <c r="AI639" s="536"/>
      <c r="AJ639" s="536"/>
      <c r="AK639" s="536"/>
      <c r="AL639" s="536"/>
      <c r="AN639" s="595"/>
    </row>
    <row r="640" spans="1:42" s="549" customFormat="1" ht="12.75" customHeight="1">
      <c r="B640" s="536"/>
      <c r="C640" s="927"/>
      <c r="D640" s="659"/>
      <c r="E640" s="2529"/>
      <c r="F640" s="2529"/>
      <c r="G640" s="2529"/>
      <c r="H640" s="2529"/>
      <c r="I640" s="2529"/>
      <c r="J640" s="2529"/>
      <c r="K640" s="2529"/>
      <c r="L640" s="2529"/>
      <c r="M640" s="2529"/>
      <c r="N640" s="2529"/>
      <c r="O640" s="2529"/>
      <c r="P640" s="2529"/>
      <c r="Q640" s="2529"/>
      <c r="R640" s="2529"/>
      <c r="S640" s="2529"/>
      <c r="T640" s="2529"/>
      <c r="U640" s="2529"/>
      <c r="V640" s="2529"/>
      <c r="W640" s="2529"/>
      <c r="X640" s="2529"/>
      <c r="Y640" s="2529"/>
      <c r="Z640" s="2529"/>
      <c r="AA640" s="2529"/>
      <c r="AB640" s="2529"/>
      <c r="AC640" s="2529"/>
      <c r="AD640" s="2529"/>
      <c r="AE640" s="536"/>
      <c r="AF640" s="536"/>
      <c r="AG640" s="536"/>
      <c r="AH640" s="536"/>
      <c r="AI640" s="536"/>
      <c r="AJ640" s="536"/>
      <c r="AK640" s="536"/>
      <c r="AL640" s="536"/>
      <c r="AN640" s="595"/>
    </row>
    <row r="641" spans="1:42" s="549" customFormat="1" ht="12.75" customHeight="1">
      <c r="B641" s="536"/>
      <c r="C641" s="927"/>
      <c r="D641" s="659"/>
      <c r="E641" s="2529"/>
      <c r="F641" s="2529"/>
      <c r="G641" s="2529"/>
      <c r="H641" s="2529"/>
      <c r="I641" s="2529"/>
      <c r="J641" s="2529"/>
      <c r="K641" s="2529"/>
      <c r="L641" s="2529"/>
      <c r="M641" s="2529"/>
      <c r="N641" s="2529"/>
      <c r="O641" s="2529"/>
      <c r="P641" s="2529"/>
      <c r="Q641" s="2529"/>
      <c r="R641" s="2529"/>
      <c r="S641" s="2529"/>
      <c r="T641" s="2529"/>
      <c r="U641" s="2529"/>
      <c r="V641" s="2529"/>
      <c r="W641" s="2529"/>
      <c r="X641" s="2529"/>
      <c r="Y641" s="2529"/>
      <c r="Z641" s="2529"/>
      <c r="AA641" s="2529"/>
      <c r="AB641" s="2529"/>
      <c r="AC641" s="2529"/>
      <c r="AD641" s="2529"/>
      <c r="AE641" s="536"/>
      <c r="AF641" s="536"/>
      <c r="AG641" s="536"/>
      <c r="AH641" s="536"/>
      <c r="AI641" s="536"/>
      <c r="AJ641" s="536"/>
      <c r="AK641" s="536"/>
      <c r="AL641" s="536"/>
      <c r="AN641" s="595"/>
    </row>
    <row r="642" spans="1:42" s="549" customFormat="1" ht="12.75" customHeight="1">
      <c r="B642" s="536"/>
      <c r="C642" s="927"/>
      <c r="D642" s="659"/>
      <c r="E642" s="2529"/>
      <c r="F642" s="2529"/>
      <c r="G642" s="2529"/>
      <c r="H642" s="2529"/>
      <c r="I642" s="2529"/>
      <c r="J642" s="2529"/>
      <c r="K642" s="2529"/>
      <c r="L642" s="2529"/>
      <c r="M642" s="2529"/>
      <c r="N642" s="2529"/>
      <c r="O642" s="2529"/>
      <c r="P642" s="2529"/>
      <c r="Q642" s="2529"/>
      <c r="R642" s="2529"/>
      <c r="S642" s="2529"/>
      <c r="T642" s="2529"/>
      <c r="U642" s="2529"/>
      <c r="V642" s="2529"/>
      <c r="W642" s="2529"/>
      <c r="X642" s="2529"/>
      <c r="Y642" s="2529"/>
      <c r="Z642" s="2529"/>
      <c r="AA642" s="2529"/>
      <c r="AB642" s="2529"/>
      <c r="AC642" s="2529"/>
      <c r="AD642" s="2529"/>
      <c r="AE642" s="536"/>
      <c r="AF642" s="536"/>
      <c r="AG642" s="536"/>
      <c r="AH642" s="536"/>
      <c r="AI642" s="536"/>
      <c r="AJ642" s="536"/>
      <c r="AK642" s="536"/>
      <c r="AL642" s="536"/>
      <c r="AN642" s="595"/>
    </row>
    <row r="643" spans="1:42" s="549" customFormat="1" ht="12.75" customHeight="1">
      <c r="B643" s="536"/>
      <c r="C643" s="927"/>
      <c r="D643" s="659"/>
      <c r="E643" s="2529"/>
      <c r="F643" s="2529"/>
      <c r="G643" s="2529"/>
      <c r="H643" s="2529"/>
      <c r="I643" s="2529"/>
      <c r="J643" s="2529"/>
      <c r="K643" s="2529"/>
      <c r="L643" s="2529"/>
      <c r="M643" s="2529"/>
      <c r="N643" s="2529"/>
      <c r="O643" s="2529"/>
      <c r="P643" s="2529"/>
      <c r="Q643" s="2529"/>
      <c r="R643" s="2529"/>
      <c r="S643" s="2529"/>
      <c r="T643" s="2529"/>
      <c r="U643" s="2529"/>
      <c r="V643" s="2529"/>
      <c r="W643" s="2529"/>
      <c r="X643" s="2529"/>
      <c r="Y643" s="2529"/>
      <c r="Z643" s="2529"/>
      <c r="AA643" s="2529"/>
      <c r="AB643" s="2529"/>
      <c r="AC643" s="2529"/>
      <c r="AD643" s="2529"/>
      <c r="AE643" s="536"/>
      <c r="AF643" s="536"/>
      <c r="AG643" s="536"/>
      <c r="AH643" s="536"/>
      <c r="AI643" s="536"/>
      <c r="AJ643" s="536"/>
      <c r="AK643" s="536"/>
      <c r="AL643" s="536"/>
      <c r="AN643" s="595"/>
    </row>
    <row r="644" spans="1:42" s="549" customFormat="1" ht="12.75" customHeight="1">
      <c r="A644" s="635"/>
      <c r="B644" s="614"/>
      <c r="C644" s="936"/>
      <c r="D644" s="659"/>
      <c r="E644" s="2529"/>
      <c r="F644" s="2529"/>
      <c r="G644" s="2529"/>
      <c r="H644" s="2529"/>
      <c r="I644" s="2529"/>
      <c r="J644" s="2529"/>
      <c r="K644" s="2529"/>
      <c r="L644" s="2529"/>
      <c r="M644" s="2529"/>
      <c r="N644" s="2529"/>
      <c r="O644" s="2529"/>
      <c r="P644" s="2529"/>
      <c r="Q644" s="2529"/>
      <c r="R644" s="2529"/>
      <c r="S644" s="2529"/>
      <c r="T644" s="2529"/>
      <c r="U644" s="2529"/>
      <c r="V644" s="2529"/>
      <c r="W644" s="2529"/>
      <c r="X644" s="2529"/>
      <c r="Y644" s="2529"/>
      <c r="Z644" s="2529"/>
      <c r="AA644" s="2529"/>
      <c r="AB644" s="2529"/>
      <c r="AC644" s="2529"/>
      <c r="AD644" s="2529"/>
      <c r="AE644" s="614"/>
      <c r="AF644" s="614"/>
      <c r="AG644" s="614"/>
      <c r="AH644" s="614"/>
      <c r="AI644" s="614"/>
      <c r="AJ644" s="614"/>
      <c r="AK644" s="536"/>
      <c r="AL644" s="536"/>
      <c r="AN644" s="595"/>
    </row>
    <row r="645" spans="1:42" s="549" customFormat="1" ht="12.75" customHeight="1">
      <c r="B645" s="614"/>
      <c r="C645" s="936"/>
      <c r="D645" s="659"/>
      <c r="E645" s="2529"/>
      <c r="F645" s="2529"/>
      <c r="G645" s="2529"/>
      <c r="H645" s="2529"/>
      <c r="I645" s="2529"/>
      <c r="J645" s="2529"/>
      <c r="K645" s="2529"/>
      <c r="L645" s="2529"/>
      <c r="M645" s="2529"/>
      <c r="N645" s="2529"/>
      <c r="O645" s="2529"/>
      <c r="P645" s="2529"/>
      <c r="Q645" s="2529"/>
      <c r="R645" s="2529"/>
      <c r="S645" s="2529"/>
      <c r="T645" s="2529"/>
      <c r="U645" s="2529"/>
      <c r="V645" s="2529"/>
      <c r="W645" s="2529"/>
      <c r="X645" s="2529"/>
      <c r="Y645" s="2529"/>
      <c r="Z645" s="2529"/>
      <c r="AA645" s="2529"/>
      <c r="AB645" s="2529"/>
      <c r="AC645" s="2529"/>
      <c r="AD645" s="2529"/>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62" t="s">
        <v>591</v>
      </c>
      <c r="Y647" s="2462"/>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0" t="s">
        <v>1400</v>
      </c>
      <c r="AG649" s="2450"/>
      <c r="AH649" s="2450"/>
      <c r="AI649" s="2450"/>
      <c r="AJ649" s="2450"/>
      <c r="AK649" s="2450"/>
      <c r="AL649" s="2450"/>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30" t="s">
        <v>687</v>
      </c>
      <c r="I651" s="253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75">
        <f>VLOOKUP($H$651,$AO$618:$AP$620,2,FALSE)</f>
        <v>3</v>
      </c>
      <c r="AK653" s="2477"/>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67" t="s">
        <v>2052</v>
      </c>
      <c r="F657" s="2467"/>
      <c r="G657" s="2467"/>
      <c r="H657" s="2467"/>
      <c r="I657" s="2467"/>
      <c r="J657" s="2467"/>
      <c r="K657" s="2467"/>
      <c r="L657" s="2467"/>
      <c r="M657" s="2467"/>
      <c r="N657" s="2467"/>
      <c r="O657" s="2467"/>
      <c r="P657" s="2467"/>
      <c r="Q657" s="2467"/>
      <c r="R657" s="2467"/>
      <c r="S657" s="2467"/>
      <c r="T657" s="2467"/>
      <c r="U657" s="2467"/>
      <c r="V657" s="2467"/>
      <c r="W657" s="2467"/>
      <c r="X657" s="2467"/>
      <c r="Y657" s="2467"/>
      <c r="Z657" s="2467"/>
      <c r="AA657" s="2467"/>
      <c r="AB657" s="2467"/>
      <c r="AC657" s="2467"/>
      <c r="AD657" s="2467"/>
      <c r="AE657" s="536"/>
      <c r="AF657" s="2450" t="s">
        <v>1346</v>
      </c>
      <c r="AG657" s="2450"/>
      <c r="AH657" s="2450"/>
      <c r="AI657" s="2450"/>
      <c r="AJ657" s="2450"/>
      <c r="AK657" s="2450"/>
      <c r="AL657" s="2450"/>
      <c r="AN657" s="595"/>
    </row>
    <row r="658" spans="1:42" s="549" customFormat="1" ht="12.75" customHeight="1">
      <c r="B658" s="536"/>
      <c r="C658" s="536"/>
      <c r="D658" s="659"/>
      <c r="E658" s="2467"/>
      <c r="F658" s="2467"/>
      <c r="G658" s="2467"/>
      <c r="H658" s="2467"/>
      <c r="I658" s="2467"/>
      <c r="J658" s="2467"/>
      <c r="K658" s="2467"/>
      <c r="L658" s="2467"/>
      <c r="M658" s="2467"/>
      <c r="N658" s="2467"/>
      <c r="O658" s="2467"/>
      <c r="P658" s="2467"/>
      <c r="Q658" s="2467"/>
      <c r="R658" s="2467"/>
      <c r="S658" s="2467"/>
      <c r="T658" s="2467"/>
      <c r="U658" s="2467"/>
      <c r="V658" s="2467"/>
      <c r="W658" s="2467"/>
      <c r="X658" s="2467"/>
      <c r="Y658" s="2467"/>
      <c r="Z658" s="2467"/>
      <c r="AA658" s="2467"/>
      <c r="AB658" s="2467"/>
      <c r="AC658" s="2467"/>
      <c r="AD658" s="2467"/>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0" t="s">
        <v>1400</v>
      </c>
      <c r="AG660" s="2450"/>
      <c r="AH660" s="2450"/>
      <c r="AI660" s="2450"/>
      <c r="AJ660" s="2450"/>
      <c r="AK660" s="2450"/>
      <c r="AL660" s="2450"/>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30" t="s">
        <v>687</v>
      </c>
      <c r="I663" s="253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75">
        <f>VLOOKUP(H663,AT618:AU620,2,FALSE)</f>
        <v>3</v>
      </c>
      <c r="AK665" s="2477"/>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67" t="s">
        <v>1410</v>
      </c>
      <c r="F670" s="2467"/>
      <c r="G670" s="2467"/>
      <c r="H670" s="2467"/>
      <c r="I670" s="2467"/>
      <c r="J670" s="2467"/>
      <c r="K670" s="2467"/>
      <c r="L670" s="2467"/>
      <c r="M670" s="2467"/>
      <c r="N670" s="2467"/>
      <c r="O670" s="2467"/>
      <c r="P670" s="2467"/>
      <c r="Q670" s="2467"/>
      <c r="R670" s="2467"/>
      <c r="S670" s="2467"/>
      <c r="T670" s="2467"/>
      <c r="U670" s="2467"/>
      <c r="V670" s="2467"/>
      <c r="W670" s="2467"/>
      <c r="X670" s="2467"/>
      <c r="Y670" s="2467"/>
      <c r="Z670" s="2467"/>
      <c r="AA670" s="2467"/>
      <c r="AB670" s="2467"/>
      <c r="AC670" s="2467"/>
      <c r="AD670" s="536"/>
      <c r="AE670" s="536"/>
      <c r="AF670" s="2450" t="s">
        <v>1371</v>
      </c>
      <c r="AG670" s="2450"/>
      <c r="AH670" s="2450"/>
      <c r="AI670" s="2450"/>
      <c r="AJ670" s="2450"/>
      <c r="AK670" s="2450"/>
      <c r="AL670" s="2450"/>
      <c r="AN670" s="595"/>
    </row>
    <row r="671" spans="1:42" s="549" customFormat="1" ht="12.75" customHeight="1">
      <c r="B671" s="536"/>
      <c r="C671" s="539"/>
      <c r="D671" s="536"/>
      <c r="E671" s="2467"/>
      <c r="F671" s="2467"/>
      <c r="G671" s="2467"/>
      <c r="H671" s="2467"/>
      <c r="I671" s="2467"/>
      <c r="J671" s="2467"/>
      <c r="K671" s="2467"/>
      <c r="L671" s="2467"/>
      <c r="M671" s="2467"/>
      <c r="N671" s="2467"/>
      <c r="O671" s="2467"/>
      <c r="P671" s="2467"/>
      <c r="Q671" s="2467"/>
      <c r="R671" s="2467"/>
      <c r="S671" s="2467"/>
      <c r="T671" s="2467"/>
      <c r="U671" s="2467"/>
      <c r="V671" s="2467"/>
      <c r="W671" s="2467"/>
      <c r="X671" s="2467"/>
      <c r="Y671" s="2467"/>
      <c r="Z671" s="2467"/>
      <c r="AA671" s="2467"/>
      <c r="AB671" s="2467"/>
      <c r="AC671" s="2467"/>
      <c r="AD671" s="536"/>
      <c r="AE671" s="536"/>
      <c r="AF671" s="536"/>
      <c r="AG671" s="536"/>
      <c r="AH671" s="536"/>
      <c r="AI671" s="536"/>
      <c r="AJ671" s="536"/>
      <c r="AK671" s="536"/>
      <c r="AL671" s="536"/>
      <c r="AN671" s="595"/>
    </row>
    <row r="672" spans="1:42" s="549" customFormat="1" ht="12.75" customHeight="1">
      <c r="B672" s="536"/>
      <c r="C672" s="539"/>
      <c r="D672" s="659"/>
      <c r="E672" s="2467"/>
      <c r="F672" s="2467"/>
      <c r="G672" s="2467"/>
      <c r="H672" s="2467"/>
      <c r="I672" s="2467"/>
      <c r="J672" s="2467"/>
      <c r="K672" s="2467"/>
      <c r="L672" s="2467"/>
      <c r="M672" s="2467"/>
      <c r="N672" s="2467"/>
      <c r="O672" s="2467"/>
      <c r="P672" s="2467"/>
      <c r="Q672" s="2467"/>
      <c r="R672" s="2467"/>
      <c r="S672" s="2467"/>
      <c r="T672" s="2467"/>
      <c r="U672" s="2467"/>
      <c r="V672" s="2467"/>
      <c r="W672" s="2467"/>
      <c r="X672" s="2467"/>
      <c r="Y672" s="2467"/>
      <c r="Z672" s="2467"/>
      <c r="AA672" s="2467"/>
      <c r="AB672" s="2467"/>
      <c r="AC672" s="2467"/>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7" t="s">
        <v>1411</v>
      </c>
      <c r="F674" s="2467"/>
      <c r="G674" s="2467"/>
      <c r="H674" s="2467"/>
      <c r="I674" s="2467"/>
      <c r="J674" s="2467"/>
      <c r="K674" s="2467"/>
      <c r="L674" s="2467"/>
      <c r="M674" s="2467"/>
      <c r="N674" s="2467"/>
      <c r="O674" s="2467"/>
      <c r="P674" s="2467"/>
      <c r="Q674" s="2467"/>
      <c r="R674" s="2467"/>
      <c r="S674" s="2467"/>
      <c r="T674" s="2467"/>
      <c r="U674" s="2467"/>
      <c r="V674" s="2467"/>
      <c r="W674" s="2467"/>
      <c r="X674" s="2467"/>
      <c r="Y674" s="2467"/>
      <c r="Z674" s="2467"/>
      <c r="AA674" s="2467"/>
      <c r="AB674" s="2467"/>
      <c r="AC674" s="2467"/>
      <c r="AD674" s="536"/>
      <c r="AE674" s="536"/>
      <c r="AF674" s="2450" t="s">
        <v>1391</v>
      </c>
      <c r="AG674" s="2450"/>
      <c r="AH674" s="2450"/>
      <c r="AI674" s="2450"/>
      <c r="AJ674" s="2450"/>
      <c r="AK674" s="2450"/>
      <c r="AL674" s="2450"/>
      <c r="AN674" s="595"/>
    </row>
    <row r="675" spans="1:42" s="549" customFormat="1" ht="12.75" customHeight="1">
      <c r="B675" s="536"/>
      <c r="C675" s="539"/>
      <c r="D675" s="536"/>
      <c r="E675" s="2467"/>
      <c r="F675" s="2467"/>
      <c r="G675" s="2467"/>
      <c r="H675" s="2467"/>
      <c r="I675" s="2467"/>
      <c r="J675" s="2467"/>
      <c r="K675" s="2467"/>
      <c r="L675" s="2467"/>
      <c r="M675" s="2467"/>
      <c r="N675" s="2467"/>
      <c r="O675" s="2467"/>
      <c r="P675" s="2467"/>
      <c r="Q675" s="2467"/>
      <c r="R675" s="2467"/>
      <c r="S675" s="2467"/>
      <c r="T675" s="2467"/>
      <c r="U675" s="2467"/>
      <c r="V675" s="2467"/>
      <c r="W675" s="2467"/>
      <c r="X675" s="2467"/>
      <c r="Y675" s="2467"/>
      <c r="Z675" s="2467"/>
      <c r="AA675" s="2467"/>
      <c r="AB675" s="2467"/>
      <c r="AC675" s="2467"/>
      <c r="AD675" s="536"/>
      <c r="AE675" s="536"/>
      <c r="AF675" s="536"/>
      <c r="AG675" s="536"/>
      <c r="AH675" s="536"/>
      <c r="AI675" s="536"/>
      <c r="AJ675" s="536"/>
      <c r="AK675" s="536"/>
      <c r="AL675" s="536"/>
      <c r="AN675" s="595"/>
    </row>
    <row r="676" spans="1:42" s="549" customFormat="1" ht="15" customHeight="1">
      <c r="B676" s="536"/>
      <c r="C676" s="539"/>
      <c r="D676" s="659"/>
      <c r="E676" s="2467"/>
      <c r="F676" s="2467"/>
      <c r="G676" s="2467"/>
      <c r="H676" s="2467"/>
      <c r="I676" s="2467"/>
      <c r="J676" s="2467"/>
      <c r="K676" s="2467"/>
      <c r="L676" s="2467"/>
      <c r="M676" s="2467"/>
      <c r="N676" s="2467"/>
      <c r="O676" s="2467"/>
      <c r="P676" s="2467"/>
      <c r="Q676" s="2467"/>
      <c r="R676" s="2467"/>
      <c r="S676" s="2467"/>
      <c r="T676" s="2467"/>
      <c r="U676" s="2467"/>
      <c r="V676" s="2467"/>
      <c r="W676" s="2467"/>
      <c r="X676" s="2467"/>
      <c r="Y676" s="2467"/>
      <c r="Z676" s="2467"/>
      <c r="AA676" s="2467"/>
      <c r="AB676" s="2467"/>
      <c r="AC676" s="2467"/>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7" t="s">
        <v>1412</v>
      </c>
      <c r="F678" s="2467"/>
      <c r="G678" s="2467"/>
      <c r="H678" s="2467"/>
      <c r="I678" s="2467"/>
      <c r="J678" s="2467"/>
      <c r="K678" s="2467"/>
      <c r="L678" s="2467"/>
      <c r="M678" s="2467"/>
      <c r="N678" s="2467"/>
      <c r="O678" s="2467"/>
      <c r="P678" s="2467"/>
      <c r="Q678" s="2467"/>
      <c r="R678" s="2467"/>
      <c r="S678" s="2467"/>
      <c r="T678" s="2467"/>
      <c r="U678" s="2467"/>
      <c r="V678" s="2467"/>
      <c r="W678" s="2467"/>
      <c r="X678" s="2467"/>
      <c r="Y678" s="2467"/>
      <c r="Z678" s="2467"/>
      <c r="AA678" s="2467"/>
      <c r="AB678" s="2467"/>
      <c r="AC678" s="2467"/>
      <c r="AD678" s="536"/>
      <c r="AE678" s="536"/>
      <c r="AF678" s="2450" t="s">
        <v>1346</v>
      </c>
      <c r="AG678" s="2450"/>
      <c r="AH678" s="2450"/>
      <c r="AI678" s="2450"/>
      <c r="AJ678" s="2450"/>
      <c r="AK678" s="2450"/>
      <c r="AL678" s="2450"/>
      <c r="AN678" s="595"/>
    </row>
    <row r="679" spans="1:42" s="549" customFormat="1" ht="12.75" customHeight="1">
      <c r="B679" s="536"/>
      <c r="C679" s="927"/>
      <c r="D679" s="536"/>
      <c r="E679" s="2467"/>
      <c r="F679" s="2467"/>
      <c r="G679" s="2467"/>
      <c r="H679" s="2467"/>
      <c r="I679" s="2467"/>
      <c r="J679" s="2467"/>
      <c r="K679" s="2467"/>
      <c r="L679" s="2467"/>
      <c r="M679" s="2467"/>
      <c r="N679" s="2467"/>
      <c r="O679" s="2467"/>
      <c r="P679" s="2467"/>
      <c r="Q679" s="2467"/>
      <c r="R679" s="2467"/>
      <c r="S679" s="2467"/>
      <c r="T679" s="2467"/>
      <c r="U679" s="2467"/>
      <c r="V679" s="2467"/>
      <c r="W679" s="2467"/>
      <c r="X679" s="2467"/>
      <c r="Y679" s="2467"/>
      <c r="Z679" s="2467"/>
      <c r="AA679" s="2467"/>
      <c r="AB679" s="2467"/>
      <c r="AC679" s="2467"/>
      <c r="AD679" s="536"/>
      <c r="AE679" s="2450"/>
      <c r="AF679" s="2450"/>
      <c r="AG679" s="2450"/>
      <c r="AH679" s="2450"/>
      <c r="AI679" s="2450"/>
      <c r="AJ679" s="2450"/>
      <c r="AK679" s="2450"/>
      <c r="AL679" s="592"/>
      <c r="AN679" s="595"/>
      <c r="AO679" s="549" t="s">
        <v>591</v>
      </c>
      <c r="AP679" s="669">
        <v>0</v>
      </c>
    </row>
    <row r="680" spans="1:42" s="549" customFormat="1" ht="12.75" customHeight="1">
      <c r="A680" s="675"/>
      <c r="B680" s="536"/>
      <c r="C680" s="536"/>
      <c r="D680" s="659"/>
      <c r="E680" s="2467"/>
      <c r="F680" s="2467"/>
      <c r="G680" s="2467"/>
      <c r="H680" s="2467"/>
      <c r="I680" s="2467"/>
      <c r="J680" s="2467"/>
      <c r="K680" s="2467"/>
      <c r="L680" s="2467"/>
      <c r="M680" s="2467"/>
      <c r="N680" s="2467"/>
      <c r="O680" s="2467"/>
      <c r="P680" s="2467"/>
      <c r="Q680" s="2467"/>
      <c r="R680" s="2467"/>
      <c r="S680" s="2467"/>
      <c r="T680" s="2467"/>
      <c r="U680" s="2467"/>
      <c r="V680" s="2467"/>
      <c r="W680" s="2467"/>
      <c r="X680" s="2467"/>
      <c r="Y680" s="2467"/>
      <c r="Z680" s="2467"/>
      <c r="AA680" s="2467"/>
      <c r="AB680" s="2467"/>
      <c r="AC680" s="2467"/>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67" t="s">
        <v>1413</v>
      </c>
      <c r="F682" s="2467"/>
      <c r="G682" s="2467"/>
      <c r="H682" s="2467"/>
      <c r="I682" s="2467"/>
      <c r="J682" s="2467"/>
      <c r="K682" s="2467"/>
      <c r="L682" s="2467"/>
      <c r="M682" s="2467"/>
      <c r="N682" s="2467"/>
      <c r="O682" s="2467"/>
      <c r="P682" s="2467"/>
      <c r="Q682" s="2467"/>
      <c r="R682" s="2467"/>
      <c r="S682" s="2467"/>
      <c r="T682" s="2467"/>
      <c r="U682" s="2467"/>
      <c r="V682" s="2467"/>
      <c r="W682" s="2467"/>
      <c r="X682" s="2467"/>
      <c r="Y682" s="2467"/>
      <c r="Z682" s="2467"/>
      <c r="AA682" s="2467"/>
      <c r="AB682" s="2467"/>
      <c r="AC682" s="2467"/>
      <c r="AD682" s="536"/>
      <c r="AE682" s="536"/>
      <c r="AF682" s="2450" t="s">
        <v>1391</v>
      </c>
      <c r="AG682" s="2450"/>
      <c r="AH682" s="2450"/>
      <c r="AI682" s="2450"/>
      <c r="AJ682" s="2450"/>
      <c r="AK682" s="2450"/>
      <c r="AL682" s="2450"/>
      <c r="AN682" s="595"/>
    </row>
    <row r="683" spans="1:42" s="549" customFormat="1" ht="12.75" customHeight="1">
      <c r="A683" s="666"/>
      <c r="B683" s="536"/>
      <c r="C683" s="943"/>
      <c r="D683" s="659"/>
      <c r="E683" s="2467"/>
      <c r="F683" s="2467"/>
      <c r="G683" s="2467"/>
      <c r="H683" s="2467"/>
      <c r="I683" s="2467"/>
      <c r="J683" s="2467"/>
      <c r="K683" s="2467"/>
      <c r="L683" s="2467"/>
      <c r="M683" s="2467"/>
      <c r="N683" s="2467"/>
      <c r="O683" s="2467"/>
      <c r="P683" s="2467"/>
      <c r="Q683" s="2467"/>
      <c r="R683" s="2467"/>
      <c r="S683" s="2467"/>
      <c r="T683" s="2467"/>
      <c r="U683" s="2467"/>
      <c r="V683" s="2467"/>
      <c r="W683" s="2467"/>
      <c r="X683" s="2467"/>
      <c r="Y683" s="2467"/>
      <c r="Z683" s="2467"/>
      <c r="AA683" s="2467"/>
      <c r="AB683" s="2467"/>
      <c r="AC683" s="2467"/>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7"/>
      <c r="F684" s="2467"/>
      <c r="G684" s="2467"/>
      <c r="H684" s="2467"/>
      <c r="I684" s="2467"/>
      <c r="J684" s="2467"/>
      <c r="K684" s="2467"/>
      <c r="L684" s="2467"/>
      <c r="M684" s="2467"/>
      <c r="N684" s="2467"/>
      <c r="O684" s="2467"/>
      <c r="P684" s="2467"/>
      <c r="Q684" s="2467"/>
      <c r="R684" s="2467"/>
      <c r="S684" s="2467"/>
      <c r="T684" s="2467"/>
      <c r="U684" s="2467"/>
      <c r="V684" s="2467"/>
      <c r="W684" s="2467"/>
      <c r="X684" s="2467"/>
      <c r="Y684" s="2467"/>
      <c r="Z684" s="2467"/>
      <c r="AA684" s="2467"/>
      <c r="AB684" s="2467"/>
      <c r="AC684" s="2467"/>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67" t="s">
        <v>1414</v>
      </c>
      <c r="F686" s="2467"/>
      <c r="G686" s="2467"/>
      <c r="H686" s="2467"/>
      <c r="I686" s="2467"/>
      <c r="J686" s="2467"/>
      <c r="K686" s="2467"/>
      <c r="L686" s="2467"/>
      <c r="M686" s="2467"/>
      <c r="N686" s="2467"/>
      <c r="O686" s="2467"/>
      <c r="P686" s="2467"/>
      <c r="Q686" s="2467"/>
      <c r="R686" s="2467"/>
      <c r="S686" s="2467"/>
      <c r="T686" s="2467"/>
      <c r="U686" s="2467"/>
      <c r="V686" s="2467"/>
      <c r="W686" s="2467"/>
      <c r="X686" s="2467"/>
      <c r="Y686" s="2467"/>
      <c r="Z686" s="2467"/>
      <c r="AA686" s="2467"/>
      <c r="AB686" s="2467"/>
      <c r="AC686" s="2467"/>
      <c r="AD686" s="536"/>
      <c r="AE686" s="536"/>
      <c r="AF686" s="2450" t="s">
        <v>1346</v>
      </c>
      <c r="AG686" s="2450"/>
      <c r="AH686" s="2450"/>
      <c r="AI686" s="2450"/>
      <c r="AJ686" s="2450"/>
      <c r="AK686" s="2450"/>
      <c r="AL686" s="2450"/>
      <c r="AM686" s="594"/>
      <c r="AN686" s="595"/>
    </row>
    <row r="687" spans="1:42" s="549" customFormat="1" ht="12.75" customHeight="1">
      <c r="B687" s="536"/>
      <c r="C687" s="927"/>
      <c r="D687" s="659"/>
      <c r="E687" s="2467"/>
      <c r="F687" s="2467"/>
      <c r="G687" s="2467"/>
      <c r="H687" s="2467"/>
      <c r="I687" s="2467"/>
      <c r="J687" s="2467"/>
      <c r="K687" s="2467"/>
      <c r="L687" s="2467"/>
      <c r="M687" s="2467"/>
      <c r="N687" s="2467"/>
      <c r="O687" s="2467"/>
      <c r="P687" s="2467"/>
      <c r="Q687" s="2467"/>
      <c r="R687" s="2467"/>
      <c r="S687" s="2467"/>
      <c r="T687" s="2467"/>
      <c r="U687" s="2467"/>
      <c r="V687" s="2467"/>
      <c r="W687" s="2467"/>
      <c r="X687" s="2467"/>
      <c r="Y687" s="2467"/>
      <c r="Z687" s="2467"/>
      <c r="AA687" s="2467"/>
      <c r="AB687" s="2467"/>
      <c r="AC687" s="2467"/>
      <c r="AD687" s="536"/>
      <c r="AE687" s="536"/>
      <c r="AF687" s="536"/>
      <c r="AG687" s="536"/>
      <c r="AH687" s="536"/>
      <c r="AI687" s="536"/>
      <c r="AJ687" s="536"/>
      <c r="AK687" s="536"/>
      <c r="AL687" s="536"/>
      <c r="AM687" s="594"/>
      <c r="AN687" s="595"/>
    </row>
    <row r="688" spans="1:42" s="549" customFormat="1" ht="12.75" customHeight="1">
      <c r="B688" s="536"/>
      <c r="C688" s="927"/>
      <c r="D688" s="659"/>
      <c r="E688" s="2467"/>
      <c r="F688" s="2467"/>
      <c r="G688" s="2467"/>
      <c r="H688" s="2467"/>
      <c r="I688" s="2467"/>
      <c r="J688" s="2467"/>
      <c r="K688" s="2467"/>
      <c r="L688" s="2467"/>
      <c r="M688" s="2467"/>
      <c r="N688" s="2467"/>
      <c r="O688" s="2467"/>
      <c r="P688" s="2467"/>
      <c r="Q688" s="2467"/>
      <c r="R688" s="2467"/>
      <c r="S688" s="2467"/>
      <c r="T688" s="2467"/>
      <c r="U688" s="2467"/>
      <c r="V688" s="2467"/>
      <c r="W688" s="2467"/>
      <c r="X688" s="2467"/>
      <c r="Y688" s="2467"/>
      <c r="Z688" s="2467"/>
      <c r="AA688" s="2467"/>
      <c r="AB688" s="2467"/>
      <c r="AC688" s="2467"/>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67" t="s">
        <v>1415</v>
      </c>
      <c r="F690" s="2467"/>
      <c r="G690" s="2467"/>
      <c r="H690" s="2467"/>
      <c r="I690" s="2467"/>
      <c r="J690" s="2467"/>
      <c r="K690" s="2467"/>
      <c r="L690" s="2467"/>
      <c r="M690" s="2467"/>
      <c r="N690" s="2467"/>
      <c r="O690" s="2467"/>
      <c r="P690" s="2467"/>
      <c r="Q690" s="2467"/>
      <c r="R690" s="2467"/>
      <c r="S690" s="2467"/>
      <c r="T690" s="2467"/>
      <c r="U690" s="2467"/>
      <c r="V690" s="2467"/>
      <c r="W690" s="2467"/>
      <c r="X690" s="2467"/>
      <c r="Y690" s="2467"/>
      <c r="Z690" s="2467"/>
      <c r="AA690" s="2467"/>
      <c r="AB690" s="2467"/>
      <c r="AC690" s="2467"/>
      <c r="AD690" s="536"/>
      <c r="AE690" s="536"/>
      <c r="AF690" s="2450" t="s">
        <v>1400</v>
      </c>
      <c r="AG690" s="2450"/>
      <c r="AH690" s="2450"/>
      <c r="AI690" s="2450"/>
      <c r="AJ690" s="2450"/>
      <c r="AK690" s="2450"/>
      <c r="AL690" s="2450"/>
      <c r="AM690" s="594"/>
      <c r="AN690" s="595"/>
    </row>
    <row r="691" spans="1:50" s="549" customFormat="1" ht="12.75" customHeight="1">
      <c r="A691" s="675"/>
      <c r="B691" s="536"/>
      <c r="C691" s="927"/>
      <c r="D691" s="659"/>
      <c r="E691" s="2467"/>
      <c r="F691" s="2467"/>
      <c r="G691" s="2467"/>
      <c r="H691" s="2467"/>
      <c r="I691" s="2467"/>
      <c r="J691" s="2467"/>
      <c r="K691" s="2467"/>
      <c r="L691" s="2467"/>
      <c r="M691" s="2467"/>
      <c r="N691" s="2467"/>
      <c r="O691" s="2467"/>
      <c r="P691" s="2467"/>
      <c r="Q691" s="2467"/>
      <c r="R691" s="2467"/>
      <c r="S691" s="2467"/>
      <c r="T691" s="2467"/>
      <c r="U691" s="2467"/>
      <c r="V691" s="2467"/>
      <c r="W691" s="2467"/>
      <c r="X691" s="2467"/>
      <c r="Y691" s="2467"/>
      <c r="Z691" s="2467"/>
      <c r="AA691" s="2467"/>
      <c r="AB691" s="2467"/>
      <c r="AC691" s="2467"/>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7"/>
      <c r="F692" s="2467"/>
      <c r="G692" s="2467"/>
      <c r="H692" s="2467"/>
      <c r="I692" s="2467"/>
      <c r="J692" s="2467"/>
      <c r="K692" s="2467"/>
      <c r="L692" s="2467"/>
      <c r="M692" s="2467"/>
      <c r="N692" s="2467"/>
      <c r="O692" s="2467"/>
      <c r="P692" s="2467"/>
      <c r="Q692" s="2467"/>
      <c r="R692" s="2467"/>
      <c r="S692" s="2467"/>
      <c r="T692" s="2467"/>
      <c r="U692" s="2467"/>
      <c r="V692" s="2467"/>
      <c r="W692" s="2467"/>
      <c r="X692" s="2467"/>
      <c r="Y692" s="2467"/>
      <c r="Z692" s="2467"/>
      <c r="AA692" s="2467"/>
      <c r="AB692" s="2467"/>
      <c r="AC692" s="2467"/>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67" t="s">
        <v>1416</v>
      </c>
      <c r="F694" s="2467"/>
      <c r="G694" s="2467"/>
      <c r="H694" s="2467"/>
      <c r="I694" s="2467"/>
      <c r="J694" s="2467"/>
      <c r="K694" s="2467"/>
      <c r="L694" s="2467"/>
      <c r="M694" s="2467"/>
      <c r="N694" s="2467"/>
      <c r="O694" s="2467"/>
      <c r="P694" s="2467"/>
      <c r="Q694" s="2467"/>
      <c r="R694" s="2467"/>
      <c r="S694" s="2467"/>
      <c r="T694" s="2467"/>
      <c r="U694" s="2467"/>
      <c r="V694" s="2467"/>
      <c r="W694" s="2467"/>
      <c r="X694" s="2467"/>
      <c r="Y694" s="2467"/>
      <c r="Z694" s="2467"/>
      <c r="AA694" s="2467"/>
      <c r="AB694" s="2467"/>
      <c r="AC694" s="2467"/>
      <c r="AD694" s="536"/>
      <c r="AE694" s="536"/>
      <c r="AF694" s="2450" t="s">
        <v>1417</v>
      </c>
      <c r="AG694" s="2450"/>
      <c r="AH694" s="2450"/>
      <c r="AI694" s="2450"/>
      <c r="AJ694" s="2450"/>
      <c r="AK694" s="2450"/>
      <c r="AL694" s="2450"/>
      <c r="AM694" s="594"/>
      <c r="AN694" s="595"/>
      <c r="AO694" s="609" t="s">
        <v>687</v>
      </c>
      <c r="AP694" s="549">
        <v>3</v>
      </c>
    </row>
    <row r="695" spans="1:50" s="549" customFormat="1" ht="12.75" customHeight="1">
      <c r="A695" s="675"/>
      <c r="B695" s="536"/>
      <c r="C695" s="927"/>
      <c r="D695" s="659"/>
      <c r="E695" s="2467"/>
      <c r="F695" s="2467"/>
      <c r="G695" s="2467"/>
      <c r="H695" s="2467"/>
      <c r="I695" s="2467"/>
      <c r="J695" s="2467"/>
      <c r="K695" s="2467"/>
      <c r="L695" s="2467"/>
      <c r="M695" s="2467"/>
      <c r="N695" s="2467"/>
      <c r="O695" s="2467"/>
      <c r="P695" s="2467"/>
      <c r="Q695" s="2467"/>
      <c r="R695" s="2467"/>
      <c r="S695" s="2467"/>
      <c r="T695" s="2467"/>
      <c r="U695" s="2467"/>
      <c r="V695" s="2467"/>
      <c r="W695" s="2467"/>
      <c r="X695" s="2467"/>
      <c r="Y695" s="2467"/>
      <c r="Z695" s="2467"/>
      <c r="AA695" s="2467"/>
      <c r="AB695" s="2467"/>
      <c r="AC695" s="2467"/>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7"/>
      <c r="F696" s="2467"/>
      <c r="G696" s="2467"/>
      <c r="H696" s="2467"/>
      <c r="I696" s="2467"/>
      <c r="J696" s="2467"/>
      <c r="K696" s="2467"/>
      <c r="L696" s="2467"/>
      <c r="M696" s="2467"/>
      <c r="N696" s="2467"/>
      <c r="O696" s="2467"/>
      <c r="P696" s="2467"/>
      <c r="Q696" s="2467"/>
      <c r="R696" s="2467"/>
      <c r="S696" s="2467"/>
      <c r="T696" s="2467"/>
      <c r="U696" s="2467"/>
      <c r="V696" s="2467"/>
      <c r="W696" s="2467"/>
      <c r="X696" s="2467"/>
      <c r="Y696" s="2467"/>
      <c r="Z696" s="2467"/>
      <c r="AA696" s="2467"/>
      <c r="AB696" s="2467"/>
      <c r="AC696" s="2467"/>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30" t="s">
        <v>687</v>
      </c>
      <c r="I698" s="253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75">
        <f>VLOOKUP($H$698,$AO$646:$AP$653,2,FALSE)</f>
        <v>5</v>
      </c>
      <c r="AK700" s="2477"/>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58</v>
      </c>
    </row>
    <row r="704" spans="1:50" s="549" customFormat="1" ht="12.75" customHeight="1">
      <c r="A704" s="675"/>
      <c r="B704" s="536"/>
      <c r="C704" s="944"/>
      <c r="D704" s="659" t="s">
        <v>687</v>
      </c>
      <c r="E704" s="2537" t="s">
        <v>2143</v>
      </c>
      <c r="F704" s="2537"/>
      <c r="G704" s="2537"/>
      <c r="H704" s="2537"/>
      <c r="I704" s="2537"/>
      <c r="J704" s="2537"/>
      <c r="K704" s="2537"/>
      <c r="L704" s="2537"/>
      <c r="M704" s="2537"/>
      <c r="N704" s="2537"/>
      <c r="O704" s="2537"/>
      <c r="P704" s="2537"/>
      <c r="Q704" s="2537"/>
      <c r="R704" s="2537"/>
      <c r="S704" s="2537"/>
      <c r="T704" s="2537"/>
      <c r="U704" s="2537"/>
      <c r="V704" s="2537"/>
      <c r="W704" s="2537"/>
      <c r="X704" s="2537"/>
      <c r="Y704" s="2537"/>
      <c r="Z704" s="2537"/>
      <c r="AA704" s="2537"/>
      <c r="AB704" s="2537"/>
      <c r="AC704" s="536"/>
      <c r="AD704" s="536"/>
      <c r="AE704" s="536"/>
      <c r="AF704" s="2450" t="s">
        <v>1346</v>
      </c>
      <c r="AG704" s="2450"/>
      <c r="AH704" s="2450"/>
      <c r="AI704" s="2450"/>
      <c r="AJ704" s="2450"/>
      <c r="AK704" s="2450"/>
      <c r="AL704" s="2450"/>
      <c r="AN704" s="595"/>
      <c r="AW704" s="22" t="s">
        <v>2138</v>
      </c>
      <c r="AX704" s="549">
        <f>Application!DE761</f>
        <v>7</v>
      </c>
    </row>
    <row r="705" spans="1:51" s="549" customFormat="1" ht="12.75" customHeight="1">
      <c r="A705" s="675"/>
      <c r="B705" s="536"/>
      <c r="C705" s="944"/>
      <c r="D705" s="659"/>
      <c r="E705" s="2537"/>
      <c r="F705" s="2537"/>
      <c r="G705" s="2537"/>
      <c r="H705" s="2537"/>
      <c r="I705" s="2537"/>
      <c r="J705" s="2537"/>
      <c r="K705" s="2537"/>
      <c r="L705" s="2537"/>
      <c r="M705" s="2537"/>
      <c r="N705" s="2537"/>
      <c r="O705" s="2537"/>
      <c r="P705" s="2537"/>
      <c r="Q705" s="2537"/>
      <c r="R705" s="2537"/>
      <c r="S705" s="2537"/>
      <c r="T705" s="2537"/>
      <c r="U705" s="2537"/>
      <c r="V705" s="2537"/>
      <c r="W705" s="2537"/>
      <c r="X705" s="2537"/>
      <c r="Y705" s="2537"/>
      <c r="Z705" s="2537"/>
      <c r="AA705" s="2537"/>
      <c r="AB705" s="2537"/>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467" t="s">
        <v>2088</v>
      </c>
      <c r="F707" s="2467"/>
      <c r="G707" s="2467"/>
      <c r="H707" s="2467"/>
      <c r="I707" s="2467"/>
      <c r="J707" s="2467"/>
      <c r="K707" s="2467"/>
      <c r="L707" s="2467"/>
      <c r="M707" s="2467"/>
      <c r="N707" s="2467"/>
      <c r="O707" s="2467"/>
      <c r="P707" s="2467"/>
      <c r="Q707" s="2467"/>
      <c r="R707" s="2467"/>
      <c r="S707" s="2467"/>
      <c r="T707" s="2467"/>
      <c r="U707" s="2467"/>
      <c r="V707" s="2467"/>
      <c r="W707" s="2467"/>
      <c r="X707" s="2467"/>
      <c r="Y707" s="2467"/>
      <c r="Z707" s="2467"/>
      <c r="AA707" s="2467"/>
      <c r="AB707" s="2467"/>
      <c r="AC707" s="536"/>
      <c r="AD707" s="536"/>
      <c r="AE707" s="536"/>
      <c r="AF707" s="2450" t="s">
        <v>1346</v>
      </c>
      <c r="AG707" s="2450"/>
      <c r="AH707" s="2450"/>
      <c r="AI707" s="2450"/>
      <c r="AJ707" s="2450"/>
      <c r="AK707" s="2450"/>
      <c r="AL707" s="2450"/>
      <c r="AN707" s="595"/>
      <c r="AW707" s="22" t="s">
        <v>2141</v>
      </c>
      <c r="AX707" s="549">
        <f>AX704+AX705+AX706</f>
        <v>7</v>
      </c>
    </row>
    <row r="708" spans="1:51" s="549" customFormat="1" ht="12.75" customHeight="1">
      <c r="B708" s="536"/>
      <c r="C708" s="936"/>
      <c r="D708" s="659"/>
      <c r="E708" s="2467"/>
      <c r="F708" s="2467"/>
      <c r="G708" s="2467"/>
      <c r="H708" s="2467"/>
      <c r="I708" s="2467"/>
      <c r="J708" s="2467"/>
      <c r="K708" s="2467"/>
      <c r="L708" s="2467"/>
      <c r="M708" s="2467"/>
      <c r="N708" s="2467"/>
      <c r="O708" s="2467"/>
      <c r="P708" s="2467"/>
      <c r="Q708" s="2467"/>
      <c r="R708" s="2467"/>
      <c r="S708" s="2467"/>
      <c r="T708" s="2467"/>
      <c r="U708" s="2467"/>
      <c r="V708" s="2467"/>
      <c r="W708" s="2467"/>
      <c r="X708" s="2467"/>
      <c r="Y708" s="2467"/>
      <c r="Z708" s="2467"/>
      <c r="AA708" s="2467"/>
      <c r="AB708" s="2467"/>
      <c r="AC708" s="536"/>
      <c r="AD708" s="536"/>
      <c r="AE708" s="614"/>
      <c r="AF708" s="536"/>
      <c r="AG708" s="536"/>
      <c r="AH708" s="536"/>
      <c r="AI708" s="536"/>
      <c r="AJ708" s="536"/>
      <c r="AK708" s="536"/>
      <c r="AL708" s="536"/>
      <c r="AN708" s="595"/>
      <c r="AO708" s="2536" t="b">
        <f>IF(Application!D211="Special Needs",IF(AY708&gt;=0.25,TRUE,FALSE),IF(AX708&gt;=0.25,TRUE,FALSE))</f>
        <v>0</v>
      </c>
      <c r="AP708" s="2536"/>
      <c r="AW708" s="22" t="s">
        <v>2142</v>
      </c>
      <c r="AX708" s="549">
        <f>IFERROR(AX707/AX703,0)</f>
        <v>0.1206896551724138</v>
      </c>
      <c r="AY708" s="549">
        <f>IFERROR(AX707/(AX703-AX702),0)</f>
        <v>0.1206896551724138</v>
      </c>
    </row>
    <row r="709" spans="1:51" s="549" customFormat="1" ht="12.75" customHeight="1">
      <c r="B709" s="536"/>
      <c r="C709" s="936"/>
      <c r="E709" s="2467"/>
      <c r="F709" s="2467"/>
      <c r="G709" s="2467"/>
      <c r="H709" s="2467"/>
      <c r="I709" s="2467"/>
      <c r="J709" s="2467"/>
      <c r="K709" s="2467"/>
      <c r="L709" s="2467"/>
      <c r="M709" s="2467"/>
      <c r="N709" s="2467"/>
      <c r="O709" s="2467"/>
      <c r="P709" s="2467"/>
      <c r="Q709" s="2467"/>
      <c r="R709" s="2467"/>
      <c r="S709" s="2467"/>
      <c r="T709" s="2467"/>
      <c r="U709" s="2467"/>
      <c r="V709" s="2467"/>
      <c r="W709" s="2467"/>
      <c r="X709" s="2467"/>
      <c r="Y709" s="2467"/>
      <c r="Z709" s="2467"/>
      <c r="AA709" s="2467"/>
      <c r="AB709" s="2467"/>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7"/>
      <c r="F710" s="2467"/>
      <c r="G710" s="2467"/>
      <c r="H710" s="2467"/>
      <c r="I710" s="2467"/>
      <c r="J710" s="2467"/>
      <c r="K710" s="2467"/>
      <c r="L710" s="2467"/>
      <c r="M710" s="2467"/>
      <c r="N710" s="2467"/>
      <c r="O710" s="2467"/>
      <c r="P710" s="2467"/>
      <c r="Q710" s="2467"/>
      <c r="R710" s="2467"/>
      <c r="S710" s="2467"/>
      <c r="T710" s="2467"/>
      <c r="U710" s="2467"/>
      <c r="V710" s="2467"/>
      <c r="W710" s="2467"/>
      <c r="X710" s="2467"/>
      <c r="Y710" s="2467"/>
      <c r="Z710" s="2467"/>
      <c r="AA710" s="2467"/>
      <c r="AB710" s="2467"/>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67" t="s">
        <v>2089</v>
      </c>
      <c r="F712" s="2467"/>
      <c r="G712" s="2467"/>
      <c r="H712" s="2467"/>
      <c r="I712" s="2467"/>
      <c r="J712" s="2467"/>
      <c r="K712" s="2467"/>
      <c r="L712" s="2467"/>
      <c r="M712" s="2467"/>
      <c r="N712" s="2467"/>
      <c r="O712" s="2467"/>
      <c r="P712" s="2467"/>
      <c r="Q712" s="2467"/>
      <c r="R712" s="2467"/>
      <c r="S712" s="2467"/>
      <c r="T712" s="2467"/>
      <c r="U712" s="2467"/>
      <c r="V712" s="2467"/>
      <c r="W712" s="2467"/>
      <c r="X712" s="2467"/>
      <c r="Y712" s="2467"/>
      <c r="Z712" s="2467"/>
      <c r="AA712" s="2467"/>
      <c r="AB712" s="2467"/>
      <c r="AC712" s="536"/>
      <c r="AD712" s="536"/>
      <c r="AE712" s="536"/>
      <c r="AF712" s="2450" t="s">
        <v>1400</v>
      </c>
      <c r="AG712" s="2450"/>
      <c r="AH712" s="2450"/>
      <c r="AI712" s="2450"/>
      <c r="AJ712" s="2450"/>
      <c r="AK712" s="2450"/>
      <c r="AL712" s="2450"/>
      <c r="AN712" s="595"/>
      <c r="AO712" s="609" t="s">
        <v>509</v>
      </c>
      <c r="AP712" s="549">
        <v>1</v>
      </c>
    </row>
    <row r="713" spans="1:51" s="549" customFormat="1" ht="12" customHeight="1">
      <c r="B713" s="536"/>
      <c r="C713" s="927"/>
      <c r="E713" s="2467"/>
      <c r="F713" s="2467"/>
      <c r="G713" s="2467"/>
      <c r="H713" s="2467"/>
      <c r="I713" s="2467"/>
      <c r="J713" s="2467"/>
      <c r="K713" s="2467"/>
      <c r="L713" s="2467"/>
      <c r="M713" s="2467"/>
      <c r="N713" s="2467"/>
      <c r="O713" s="2467"/>
      <c r="P713" s="2467"/>
      <c r="Q713" s="2467"/>
      <c r="R713" s="2467"/>
      <c r="S713" s="2467"/>
      <c r="T713" s="2467"/>
      <c r="U713" s="2467"/>
      <c r="V713" s="2467"/>
      <c r="W713" s="2467"/>
      <c r="X713" s="2467"/>
      <c r="Y713" s="2467"/>
      <c r="Z713" s="2467"/>
      <c r="AA713" s="2467"/>
      <c r="AB713" s="2467"/>
      <c r="AC713" s="536"/>
      <c r="AD713" s="536"/>
      <c r="AE713" s="614"/>
      <c r="AF713" s="536"/>
      <c r="AG713" s="536"/>
      <c r="AH713" s="536"/>
      <c r="AI713" s="536"/>
      <c r="AJ713" s="536"/>
      <c r="AK713" s="536"/>
      <c r="AL713" s="536"/>
      <c r="AN713" s="595"/>
    </row>
    <row r="714" spans="1:51" s="549" customFormat="1" ht="12" customHeight="1">
      <c r="B714" s="536"/>
      <c r="C714" s="927"/>
      <c r="D714" s="536"/>
      <c r="E714" s="2467"/>
      <c r="F714" s="2467"/>
      <c r="G714" s="2467"/>
      <c r="H714" s="2467"/>
      <c r="I714" s="2467"/>
      <c r="J714" s="2467"/>
      <c r="K714" s="2467"/>
      <c r="L714" s="2467"/>
      <c r="M714" s="2467"/>
      <c r="N714" s="2467"/>
      <c r="O714" s="2467"/>
      <c r="P714" s="2467"/>
      <c r="Q714" s="2467"/>
      <c r="R714" s="2467"/>
      <c r="S714" s="2467"/>
      <c r="T714" s="2467"/>
      <c r="U714" s="2467"/>
      <c r="V714" s="2467"/>
      <c r="W714" s="2467"/>
      <c r="X714" s="2467"/>
      <c r="Y714" s="2467"/>
      <c r="Z714" s="2467"/>
      <c r="AA714" s="2467"/>
      <c r="AB714" s="2467"/>
      <c r="AC714" s="536"/>
      <c r="AD714" s="536"/>
      <c r="AE714" s="614"/>
      <c r="AF714" s="536"/>
      <c r="AG714" s="536"/>
      <c r="AH714" s="536"/>
      <c r="AI714" s="536"/>
      <c r="AJ714" s="536"/>
      <c r="AK714" s="536"/>
      <c r="AL714" s="536"/>
      <c r="AN714" s="595"/>
    </row>
    <row r="715" spans="1:51" s="549" customFormat="1" ht="12" customHeight="1">
      <c r="B715" s="536"/>
      <c r="C715" s="927"/>
      <c r="D715" s="536"/>
      <c r="E715" s="2467"/>
      <c r="F715" s="2467"/>
      <c r="G715" s="2467"/>
      <c r="H715" s="2467"/>
      <c r="I715" s="2467"/>
      <c r="J715" s="2467"/>
      <c r="K715" s="2467"/>
      <c r="L715" s="2467"/>
      <c r="M715" s="2467"/>
      <c r="N715" s="2467"/>
      <c r="O715" s="2467"/>
      <c r="P715" s="2467"/>
      <c r="Q715" s="2467"/>
      <c r="R715" s="2467"/>
      <c r="S715" s="2467"/>
      <c r="T715" s="2467"/>
      <c r="U715" s="2467"/>
      <c r="V715" s="2467"/>
      <c r="W715" s="2467"/>
      <c r="X715" s="2467"/>
      <c r="Y715" s="2467"/>
      <c r="Z715" s="2467"/>
      <c r="AA715" s="2467"/>
      <c r="AB715" s="2467"/>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7"/>
      <c r="F716" s="2467"/>
      <c r="G716" s="2467"/>
      <c r="H716" s="2467"/>
      <c r="I716" s="2467"/>
      <c r="J716" s="2467"/>
      <c r="K716" s="2467"/>
      <c r="L716" s="2467"/>
      <c r="M716" s="2467"/>
      <c r="N716" s="2467"/>
      <c r="O716" s="2467"/>
      <c r="P716" s="2467"/>
      <c r="Q716" s="2467"/>
      <c r="R716" s="2467"/>
      <c r="S716" s="2467"/>
      <c r="T716" s="2467"/>
      <c r="U716" s="2467"/>
      <c r="V716" s="2467"/>
      <c r="W716" s="2467"/>
      <c r="X716" s="2467"/>
      <c r="Y716" s="2467"/>
      <c r="Z716" s="2467"/>
      <c r="AA716" s="2467"/>
      <c r="AB716" s="2467"/>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67" t="s">
        <v>1682</v>
      </c>
      <c r="F718" s="2467"/>
      <c r="G718" s="2467"/>
      <c r="H718" s="2467"/>
      <c r="I718" s="2467"/>
      <c r="J718" s="2467"/>
      <c r="K718" s="2467"/>
      <c r="L718" s="2467"/>
      <c r="M718" s="2467"/>
      <c r="N718" s="2467"/>
      <c r="O718" s="2467"/>
      <c r="P718" s="2467"/>
      <c r="Q718" s="2467"/>
      <c r="R718" s="2467"/>
      <c r="S718" s="2467"/>
      <c r="T718" s="2467"/>
      <c r="U718" s="2467"/>
      <c r="V718" s="2467"/>
      <c r="W718" s="2467"/>
      <c r="X718" s="2467"/>
      <c r="Y718" s="2467"/>
      <c r="Z718" s="2467"/>
      <c r="AA718" s="2467"/>
      <c r="AB718" s="2467"/>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467"/>
      <c r="F719" s="2467"/>
      <c r="G719" s="2467"/>
      <c r="H719" s="2467"/>
      <c r="I719" s="2467"/>
      <c r="J719" s="2467"/>
      <c r="K719" s="2467"/>
      <c r="L719" s="2467"/>
      <c r="M719" s="2467"/>
      <c r="N719" s="2467"/>
      <c r="O719" s="2467"/>
      <c r="P719" s="2467"/>
      <c r="Q719" s="2467"/>
      <c r="R719" s="2467"/>
      <c r="S719" s="2467"/>
      <c r="T719" s="2467"/>
      <c r="U719" s="2467"/>
      <c r="V719" s="2467"/>
      <c r="W719" s="2467"/>
      <c r="X719" s="2467"/>
      <c r="Y719" s="2467"/>
      <c r="Z719" s="2467"/>
      <c r="AA719" s="2467"/>
      <c r="AB719" s="2467"/>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67"/>
      <c r="F720" s="2467"/>
      <c r="G720" s="2467"/>
      <c r="H720" s="2467"/>
      <c r="I720" s="2467"/>
      <c r="J720" s="2467"/>
      <c r="K720" s="2467"/>
      <c r="L720" s="2467"/>
      <c r="M720" s="2467"/>
      <c r="N720" s="2467"/>
      <c r="O720" s="2467"/>
      <c r="P720" s="2467"/>
      <c r="Q720" s="2467"/>
      <c r="R720" s="2467"/>
      <c r="S720" s="2467"/>
      <c r="T720" s="2467"/>
      <c r="U720" s="2467"/>
      <c r="V720" s="2467"/>
      <c r="W720" s="2467"/>
      <c r="X720" s="2467"/>
      <c r="Y720" s="2467"/>
      <c r="Z720" s="2467"/>
      <c r="AA720" s="2467"/>
      <c r="AB720" s="2467"/>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30" t="s">
        <v>591</v>
      </c>
      <c r="I722" s="253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75">
        <f>VLOOKUP($H$722,$AO$716:$AP$719,2,FALSE)</f>
        <v>0</v>
      </c>
      <c r="AK724" s="2477"/>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8" t="s">
        <v>1684</v>
      </c>
      <c r="F728" s="2538"/>
      <c r="G728" s="2538"/>
      <c r="H728" s="2538"/>
      <c r="I728" s="2538"/>
      <c r="J728" s="2538"/>
      <c r="K728" s="2538"/>
      <c r="L728" s="2538"/>
      <c r="M728" s="2538"/>
      <c r="N728" s="2538"/>
      <c r="O728" s="2538"/>
      <c r="P728" s="2538"/>
      <c r="Q728" s="2538"/>
      <c r="R728" s="2538"/>
      <c r="S728" s="2538"/>
      <c r="T728" s="2538"/>
      <c r="U728" s="2538"/>
      <c r="V728" s="2538"/>
      <c r="W728" s="2538"/>
      <c r="X728" s="2538"/>
      <c r="Y728" s="2538"/>
      <c r="Z728" s="2538"/>
      <c r="AA728" s="2538"/>
      <c r="AB728" s="2538"/>
      <c r="AC728" s="536"/>
      <c r="AD728" s="536"/>
      <c r="AE728" s="536"/>
      <c r="AF728" s="2450" t="s">
        <v>1346</v>
      </c>
      <c r="AG728" s="2450"/>
      <c r="AH728" s="2450"/>
      <c r="AI728" s="2450"/>
      <c r="AJ728" s="2450"/>
      <c r="AK728" s="2450"/>
      <c r="AL728" s="2450"/>
      <c r="AM728" s="549"/>
      <c r="AN728" s="680"/>
      <c r="AP728" s="568" t="s">
        <v>1424</v>
      </c>
    </row>
    <row r="729" spans="1:43" s="568" customFormat="1" ht="11.85" customHeight="1">
      <c r="A729" s="549"/>
      <c r="B729" s="536"/>
      <c r="C729" s="929"/>
      <c r="D729" s="659"/>
      <c r="E729" s="2538"/>
      <c r="F729" s="2538"/>
      <c r="G729" s="2538"/>
      <c r="H729" s="2538"/>
      <c r="I729" s="2538"/>
      <c r="J729" s="2538"/>
      <c r="K729" s="2538"/>
      <c r="L729" s="2538"/>
      <c r="M729" s="2538"/>
      <c r="N729" s="2538"/>
      <c r="O729" s="2538"/>
      <c r="P729" s="2538"/>
      <c r="Q729" s="2538"/>
      <c r="R729" s="2538"/>
      <c r="S729" s="2538"/>
      <c r="T729" s="2538"/>
      <c r="U729" s="2538"/>
      <c r="V729" s="2538"/>
      <c r="W729" s="2538"/>
      <c r="X729" s="2538"/>
      <c r="Y729" s="2538"/>
      <c r="Z729" s="2538"/>
      <c r="AA729" s="2538"/>
      <c r="AB729" s="2538"/>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8"/>
      <c r="F730" s="2538"/>
      <c r="G730" s="2538"/>
      <c r="H730" s="2538"/>
      <c r="I730" s="2538"/>
      <c r="J730" s="2538"/>
      <c r="K730" s="2538"/>
      <c r="L730" s="2538"/>
      <c r="M730" s="2538"/>
      <c r="N730" s="2538"/>
      <c r="O730" s="2538"/>
      <c r="P730" s="2538"/>
      <c r="Q730" s="2538"/>
      <c r="R730" s="2538"/>
      <c r="S730" s="2538"/>
      <c r="T730" s="2538"/>
      <c r="U730" s="2538"/>
      <c r="V730" s="2538"/>
      <c r="W730" s="2538"/>
      <c r="X730" s="2538"/>
      <c r="Y730" s="2538"/>
      <c r="Z730" s="2538"/>
      <c r="AA730" s="2538"/>
      <c r="AB730" s="2538"/>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9" t="s">
        <v>1427</v>
      </c>
      <c r="F732" s="2539"/>
      <c r="G732" s="2539"/>
      <c r="H732" s="2539"/>
      <c r="I732" s="2539"/>
      <c r="J732" s="2539"/>
      <c r="K732" s="2539"/>
      <c r="L732" s="2539"/>
      <c r="M732" s="2539"/>
      <c r="N732" s="2539"/>
      <c r="O732" s="2539"/>
      <c r="P732" s="2539"/>
      <c r="Q732" s="2539"/>
      <c r="R732" s="2539"/>
      <c r="S732" s="2539"/>
      <c r="T732" s="2539"/>
      <c r="U732" s="2539"/>
      <c r="V732" s="2539"/>
      <c r="W732" s="2539"/>
      <c r="X732" s="2539"/>
      <c r="Y732" s="2539"/>
      <c r="Z732" s="2539"/>
      <c r="AA732" s="2539"/>
      <c r="AB732" s="2539"/>
      <c r="AC732" s="536"/>
      <c r="AD732" s="536"/>
      <c r="AE732" s="536"/>
      <c r="AF732" s="2450" t="s">
        <v>1400</v>
      </c>
      <c r="AG732" s="2450"/>
      <c r="AH732" s="2450"/>
      <c r="AI732" s="2450"/>
      <c r="AJ732" s="2450"/>
      <c r="AK732" s="2450"/>
      <c r="AL732" s="2450"/>
      <c r="AM732" s="549"/>
      <c r="AN732" s="681"/>
    </row>
    <row r="733" spans="1:43" s="568" customFormat="1" ht="12.75" customHeight="1">
      <c r="A733" s="549"/>
      <c r="B733" s="536"/>
      <c r="C733" s="929"/>
      <c r="D733" s="536"/>
      <c r="E733" s="2539"/>
      <c r="F733" s="2539"/>
      <c r="G733" s="2539"/>
      <c r="H733" s="2539"/>
      <c r="I733" s="2539"/>
      <c r="J733" s="2539"/>
      <c r="K733" s="2539"/>
      <c r="L733" s="2539"/>
      <c r="M733" s="2539"/>
      <c r="N733" s="2539"/>
      <c r="O733" s="2539"/>
      <c r="P733" s="2539"/>
      <c r="Q733" s="2539"/>
      <c r="R733" s="2539"/>
      <c r="S733" s="2539"/>
      <c r="T733" s="2539"/>
      <c r="U733" s="2539"/>
      <c r="V733" s="2539"/>
      <c r="W733" s="2539"/>
      <c r="X733" s="2539"/>
      <c r="Y733" s="2539"/>
      <c r="Z733" s="2539"/>
      <c r="AA733" s="2539"/>
      <c r="AB733" s="2539"/>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9"/>
      <c r="F734" s="2539"/>
      <c r="G734" s="2539"/>
      <c r="H734" s="2539"/>
      <c r="I734" s="2539"/>
      <c r="J734" s="2539"/>
      <c r="K734" s="2539"/>
      <c r="L734" s="2539"/>
      <c r="M734" s="2539"/>
      <c r="N734" s="2539"/>
      <c r="O734" s="2539"/>
      <c r="P734" s="2539"/>
      <c r="Q734" s="2539"/>
      <c r="R734" s="2539"/>
      <c r="S734" s="2539"/>
      <c r="T734" s="2539"/>
      <c r="U734" s="2539"/>
      <c r="V734" s="2539"/>
      <c r="W734" s="2539"/>
      <c r="X734" s="2539"/>
      <c r="Y734" s="2539"/>
      <c r="Z734" s="2539"/>
      <c r="AA734" s="2539"/>
      <c r="AB734" s="2539"/>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530" t="s">
        <v>591</v>
      </c>
      <c r="I736" s="253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75">
        <f>VLOOKUP($H$736,$AP$733:$AQ$735,2,FALSE)</f>
        <v>0</v>
      </c>
      <c r="AK738" s="2477"/>
      <c r="AL738" s="593"/>
      <c r="AM738" s="549"/>
      <c r="AN738" s="680"/>
      <c r="AP738" s="2475"/>
      <c r="AQ738" s="2477"/>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67" t="s">
        <v>1685</v>
      </c>
      <c r="F742" s="2467"/>
      <c r="G742" s="2467"/>
      <c r="H742" s="2467"/>
      <c r="I742" s="2467"/>
      <c r="J742" s="2467"/>
      <c r="K742" s="2467"/>
      <c r="L742" s="2467"/>
      <c r="M742" s="2467"/>
      <c r="N742" s="2467"/>
      <c r="O742" s="2467"/>
      <c r="P742" s="2467"/>
      <c r="Q742" s="2467"/>
      <c r="R742" s="2467"/>
      <c r="S742" s="2467"/>
      <c r="T742" s="2467"/>
      <c r="U742" s="2467"/>
      <c r="V742" s="2467"/>
      <c r="W742" s="2467"/>
      <c r="X742" s="2467"/>
      <c r="Y742" s="2467"/>
      <c r="Z742" s="2467"/>
      <c r="AA742" s="2467"/>
      <c r="AB742" s="2467"/>
      <c r="AC742" s="536"/>
      <c r="AD742" s="536"/>
      <c r="AE742" s="536"/>
      <c r="AF742" s="2450" t="s">
        <v>1346</v>
      </c>
      <c r="AG742" s="2450"/>
      <c r="AH742" s="2450"/>
      <c r="AI742" s="2450"/>
      <c r="AJ742" s="2450"/>
      <c r="AK742" s="2450"/>
      <c r="AL742" s="2450"/>
      <c r="AM742" s="549"/>
      <c r="AN742" s="680"/>
      <c r="AT742" s="14"/>
      <c r="AU742" s="14"/>
      <c r="AV742" s="14"/>
      <c r="AW742" s="14"/>
      <c r="AX742" s="14"/>
      <c r="AY742" s="14"/>
      <c r="AZ742" s="14"/>
    </row>
    <row r="743" spans="1:81" s="568" customFormat="1">
      <c r="A743" s="549"/>
      <c r="B743" s="536"/>
      <c r="C743" s="929"/>
      <c r="D743" s="659"/>
      <c r="E743" s="2467"/>
      <c r="F743" s="2467"/>
      <c r="G743" s="2467"/>
      <c r="H743" s="2467"/>
      <c r="I743" s="2467"/>
      <c r="J743" s="2467"/>
      <c r="K743" s="2467"/>
      <c r="L743" s="2467"/>
      <c r="M743" s="2467"/>
      <c r="N743" s="2467"/>
      <c r="O743" s="2467"/>
      <c r="P743" s="2467"/>
      <c r="Q743" s="2467"/>
      <c r="R743" s="2467"/>
      <c r="S743" s="2467"/>
      <c r="T743" s="2467"/>
      <c r="U743" s="2467"/>
      <c r="V743" s="2467"/>
      <c r="W743" s="2467"/>
      <c r="X743" s="2467"/>
      <c r="Y743" s="2467"/>
      <c r="Z743" s="2467"/>
      <c r="AA743" s="2467"/>
      <c r="AB743" s="2467"/>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7" t="s">
        <v>1431</v>
      </c>
      <c r="F745" s="2467"/>
      <c r="G745" s="2467"/>
      <c r="H745" s="2467"/>
      <c r="I745" s="2467"/>
      <c r="J745" s="2467"/>
      <c r="K745" s="2467"/>
      <c r="L745" s="2467"/>
      <c r="M745" s="2467"/>
      <c r="N745" s="2467"/>
      <c r="O745" s="2467"/>
      <c r="P745" s="2467"/>
      <c r="Q745" s="2467"/>
      <c r="R745" s="2467"/>
      <c r="S745" s="2467"/>
      <c r="T745" s="2467"/>
      <c r="U745" s="2467"/>
      <c r="V745" s="2467"/>
      <c r="W745" s="2467"/>
      <c r="X745" s="2467"/>
      <c r="Y745" s="2467"/>
      <c r="Z745" s="2467"/>
      <c r="AA745" s="2467"/>
      <c r="AB745" s="2467"/>
      <c r="AC745" s="536"/>
      <c r="AD745" s="536"/>
      <c r="AE745" s="536"/>
      <c r="AF745" s="2450" t="s">
        <v>1400</v>
      </c>
      <c r="AG745" s="2450"/>
      <c r="AH745" s="2450"/>
      <c r="AI745" s="2450"/>
      <c r="AJ745" s="2450"/>
      <c r="AK745" s="2450"/>
      <c r="AL745" s="2450"/>
      <c r="AM745" s="549"/>
      <c r="AN745" s="680"/>
      <c r="AT745" s="14"/>
      <c r="AU745" s="14"/>
      <c r="AV745" s="14"/>
      <c r="AW745" s="14"/>
      <c r="AX745" s="14"/>
      <c r="AY745" s="14"/>
      <c r="AZ745" s="14"/>
    </row>
    <row r="746" spans="1:81" s="568" customFormat="1">
      <c r="A746" s="549"/>
      <c r="B746" s="536"/>
      <c r="C746" s="929"/>
      <c r="D746" s="536"/>
      <c r="E746" s="2467"/>
      <c r="F746" s="2467"/>
      <c r="G746" s="2467"/>
      <c r="H746" s="2467"/>
      <c r="I746" s="2467"/>
      <c r="J746" s="2467"/>
      <c r="K746" s="2467"/>
      <c r="L746" s="2467"/>
      <c r="M746" s="2467"/>
      <c r="N746" s="2467"/>
      <c r="O746" s="2467"/>
      <c r="P746" s="2467"/>
      <c r="Q746" s="2467"/>
      <c r="R746" s="2467"/>
      <c r="S746" s="2467"/>
      <c r="T746" s="2467"/>
      <c r="U746" s="2467"/>
      <c r="V746" s="2467"/>
      <c r="W746" s="2467"/>
      <c r="X746" s="2467"/>
      <c r="Y746" s="2467"/>
      <c r="Z746" s="2467"/>
      <c r="AA746" s="2467"/>
      <c r="AB746" s="2467"/>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30" t="s">
        <v>591</v>
      </c>
      <c r="I748" s="253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75">
        <f>VLOOKUP($H$748,$AO$679:$AP$681,2,FALSE)</f>
        <v>0</v>
      </c>
      <c r="AK750" s="2477"/>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67" t="s">
        <v>1434</v>
      </c>
      <c r="F754" s="2467"/>
      <c r="G754" s="2467"/>
      <c r="H754" s="2467"/>
      <c r="I754" s="2467"/>
      <c r="J754" s="2467"/>
      <c r="K754" s="2467"/>
      <c r="L754" s="2467"/>
      <c r="M754" s="2467"/>
      <c r="N754" s="2467"/>
      <c r="O754" s="2467"/>
      <c r="P754" s="2467"/>
      <c r="Q754" s="2467"/>
      <c r="R754" s="2467"/>
      <c r="S754" s="2467"/>
      <c r="T754" s="2467"/>
      <c r="U754" s="2467"/>
      <c r="V754" s="2467"/>
      <c r="W754" s="2467"/>
      <c r="X754" s="2467"/>
      <c r="Y754" s="2467"/>
      <c r="Z754" s="2467"/>
      <c r="AA754" s="2467"/>
      <c r="AB754" s="2467"/>
      <c r="AC754" s="536"/>
      <c r="AD754" s="536"/>
      <c r="AE754" s="536"/>
      <c r="AF754" s="2450" t="s">
        <v>1346</v>
      </c>
      <c r="AG754" s="2450"/>
      <c r="AH754" s="2450"/>
      <c r="AI754" s="2450"/>
      <c r="AJ754" s="2450"/>
      <c r="AK754" s="2450"/>
      <c r="AL754" s="2450"/>
      <c r="AM754" s="549"/>
      <c r="AN754" s="680"/>
      <c r="AT754" s="14"/>
      <c r="AU754" s="14"/>
      <c r="AV754" s="14"/>
      <c r="AW754" s="14"/>
      <c r="AX754" s="14"/>
      <c r="AY754" s="14"/>
      <c r="AZ754" s="14"/>
    </row>
    <row r="755" spans="1:81" s="568" customFormat="1">
      <c r="A755" s="549"/>
      <c r="B755" s="536"/>
      <c r="C755" s="927"/>
      <c r="D755" s="659"/>
      <c r="E755" s="2467"/>
      <c r="F755" s="2467"/>
      <c r="G755" s="2467"/>
      <c r="H755" s="2467"/>
      <c r="I755" s="2467"/>
      <c r="J755" s="2467"/>
      <c r="K755" s="2467"/>
      <c r="L755" s="2467"/>
      <c r="M755" s="2467"/>
      <c r="N755" s="2467"/>
      <c r="O755" s="2467"/>
      <c r="P755" s="2467"/>
      <c r="Q755" s="2467"/>
      <c r="R755" s="2467"/>
      <c r="S755" s="2467"/>
      <c r="T755" s="2467"/>
      <c r="U755" s="2467"/>
      <c r="V755" s="2467"/>
      <c r="W755" s="2467"/>
      <c r="X755" s="2467"/>
      <c r="Y755" s="2467"/>
      <c r="Z755" s="2467"/>
      <c r="AA755" s="2467"/>
      <c r="AB755" s="2467"/>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7"/>
      <c r="F756" s="2467"/>
      <c r="G756" s="2467"/>
      <c r="H756" s="2467"/>
      <c r="I756" s="2467"/>
      <c r="J756" s="2467"/>
      <c r="K756" s="2467"/>
      <c r="L756" s="2467"/>
      <c r="M756" s="2467"/>
      <c r="N756" s="2467"/>
      <c r="O756" s="2467"/>
      <c r="P756" s="2467"/>
      <c r="Q756" s="2467"/>
      <c r="R756" s="2467"/>
      <c r="S756" s="2467"/>
      <c r="T756" s="2467"/>
      <c r="U756" s="2467"/>
      <c r="V756" s="2467"/>
      <c r="W756" s="2467"/>
      <c r="X756" s="2467"/>
      <c r="Y756" s="2467"/>
      <c r="Z756" s="2467"/>
      <c r="AA756" s="2467"/>
      <c r="AB756" s="2467"/>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7"/>
      <c r="F757" s="2467"/>
      <c r="G757" s="2467"/>
      <c r="H757" s="2467"/>
      <c r="I757" s="2467"/>
      <c r="J757" s="2467"/>
      <c r="K757" s="2467"/>
      <c r="L757" s="2467"/>
      <c r="M757" s="2467"/>
      <c r="N757" s="2467"/>
      <c r="O757" s="2467"/>
      <c r="P757" s="2467"/>
      <c r="Q757" s="2467"/>
      <c r="R757" s="2467"/>
      <c r="S757" s="2467"/>
      <c r="T757" s="2467"/>
      <c r="U757" s="2467"/>
      <c r="V757" s="2467"/>
      <c r="W757" s="2467"/>
      <c r="X757" s="2467"/>
      <c r="Y757" s="2467"/>
      <c r="Z757" s="2467"/>
      <c r="AA757" s="2467"/>
      <c r="AB757" s="2467"/>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67" t="s">
        <v>1435</v>
      </c>
      <c r="F759" s="2467"/>
      <c r="G759" s="2467"/>
      <c r="H759" s="2467"/>
      <c r="I759" s="2467"/>
      <c r="J759" s="2467"/>
      <c r="K759" s="2467"/>
      <c r="L759" s="2467"/>
      <c r="M759" s="2467"/>
      <c r="N759" s="2467"/>
      <c r="O759" s="2467"/>
      <c r="P759" s="2467"/>
      <c r="Q759" s="2467"/>
      <c r="R759" s="2467"/>
      <c r="S759" s="2467"/>
      <c r="T759" s="2467"/>
      <c r="U759" s="2467"/>
      <c r="V759" s="2467"/>
      <c r="W759" s="2467"/>
      <c r="X759" s="2467"/>
      <c r="Y759" s="2467"/>
      <c r="Z759" s="2467"/>
      <c r="AA759" s="2467"/>
      <c r="AB759" s="573"/>
      <c r="AC759" s="536"/>
      <c r="AD759" s="536"/>
      <c r="AE759" s="536"/>
      <c r="AF759" s="2450" t="s">
        <v>1400</v>
      </c>
      <c r="AG759" s="2450"/>
      <c r="AH759" s="2450"/>
      <c r="AI759" s="2450"/>
      <c r="AJ759" s="2450"/>
      <c r="AK759" s="2450"/>
      <c r="AL759" s="2450"/>
      <c r="AM759" s="549"/>
      <c r="AN759" s="680"/>
      <c r="AO759" s="30"/>
      <c r="AP759" s="14"/>
    </row>
    <row r="760" spans="1:81" s="568" customFormat="1">
      <c r="A760" s="549"/>
      <c r="B760" s="536"/>
      <c r="C760" s="927"/>
      <c r="D760" s="659"/>
      <c r="E760" s="2467"/>
      <c r="F760" s="2467"/>
      <c r="G760" s="2467"/>
      <c r="H760" s="2467"/>
      <c r="I760" s="2467"/>
      <c r="J760" s="2467"/>
      <c r="K760" s="2467"/>
      <c r="L760" s="2467"/>
      <c r="M760" s="2467"/>
      <c r="N760" s="2467"/>
      <c r="O760" s="2467"/>
      <c r="P760" s="2467"/>
      <c r="Q760" s="2467"/>
      <c r="R760" s="2467"/>
      <c r="S760" s="2467"/>
      <c r="T760" s="2467"/>
      <c r="U760" s="2467"/>
      <c r="V760" s="2467"/>
      <c r="W760" s="2467"/>
      <c r="X760" s="2467"/>
      <c r="Y760" s="2467"/>
      <c r="Z760" s="2467"/>
      <c r="AA760" s="2467"/>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7"/>
      <c r="F761" s="2467"/>
      <c r="G761" s="2467"/>
      <c r="H761" s="2467"/>
      <c r="I761" s="2467"/>
      <c r="J761" s="2467"/>
      <c r="K761" s="2467"/>
      <c r="L761" s="2467"/>
      <c r="M761" s="2467"/>
      <c r="N761" s="2467"/>
      <c r="O761" s="2467"/>
      <c r="P761" s="2467"/>
      <c r="Q761" s="2467"/>
      <c r="R761" s="2467"/>
      <c r="S761" s="2467"/>
      <c r="T761" s="2467"/>
      <c r="U761" s="2467"/>
      <c r="V761" s="2467"/>
      <c r="W761" s="2467"/>
      <c r="X761" s="2467"/>
      <c r="Y761" s="2467"/>
      <c r="Z761" s="2467"/>
      <c r="AA761" s="2467"/>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7"/>
      <c r="F762" s="2467"/>
      <c r="G762" s="2467"/>
      <c r="H762" s="2467"/>
      <c r="I762" s="2467"/>
      <c r="J762" s="2467"/>
      <c r="K762" s="2467"/>
      <c r="L762" s="2467"/>
      <c r="M762" s="2467"/>
      <c r="N762" s="2467"/>
      <c r="O762" s="2467"/>
      <c r="P762" s="2467"/>
      <c r="Q762" s="2467"/>
      <c r="R762" s="2467"/>
      <c r="S762" s="2467"/>
      <c r="T762" s="2467"/>
      <c r="U762" s="2467"/>
      <c r="V762" s="2467"/>
      <c r="W762" s="2467"/>
      <c r="X762" s="2467"/>
      <c r="Y762" s="2467"/>
      <c r="Z762" s="2467"/>
      <c r="AA762" s="2467"/>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30" t="s">
        <v>687</v>
      </c>
      <c r="I764" s="253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75">
        <f>VLOOKUP($H$764,$AO$693:$AP$695,2,FALSE)</f>
        <v>3</v>
      </c>
      <c r="AK766" s="2477"/>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67" t="s">
        <v>1437</v>
      </c>
      <c r="F770" s="2467"/>
      <c r="G770" s="2467"/>
      <c r="H770" s="2467"/>
      <c r="I770" s="2467"/>
      <c r="J770" s="2467"/>
      <c r="K770" s="2467"/>
      <c r="L770" s="2467"/>
      <c r="M770" s="2467"/>
      <c r="N770" s="2467"/>
      <c r="O770" s="2467"/>
      <c r="P770" s="2467"/>
      <c r="Q770" s="2467"/>
      <c r="R770" s="2467"/>
      <c r="S770" s="2467"/>
      <c r="T770" s="2467"/>
      <c r="U770" s="2467"/>
      <c r="V770" s="2467"/>
      <c r="W770" s="2467"/>
      <c r="X770" s="2467"/>
      <c r="Y770" s="2467"/>
      <c r="Z770" s="2467"/>
      <c r="AA770" s="2467"/>
      <c r="AB770" s="2467"/>
      <c r="AC770" s="536"/>
      <c r="AD770" s="536"/>
      <c r="AE770" s="536"/>
      <c r="AF770" s="2450" t="s">
        <v>1400</v>
      </c>
      <c r="AG770" s="2450"/>
      <c r="AH770" s="2450"/>
      <c r="AI770" s="2450"/>
      <c r="AJ770" s="2450"/>
      <c r="AK770" s="2450"/>
      <c r="AL770" s="2450"/>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7"/>
      <c r="F771" s="2467"/>
      <c r="G771" s="2467"/>
      <c r="H771" s="2467"/>
      <c r="I771" s="2467"/>
      <c r="J771" s="2467"/>
      <c r="K771" s="2467"/>
      <c r="L771" s="2467"/>
      <c r="M771" s="2467"/>
      <c r="N771" s="2467"/>
      <c r="O771" s="2467"/>
      <c r="P771" s="2467"/>
      <c r="Q771" s="2467"/>
      <c r="R771" s="2467"/>
      <c r="S771" s="2467"/>
      <c r="T771" s="2467"/>
      <c r="U771" s="2467"/>
      <c r="V771" s="2467"/>
      <c r="W771" s="2467"/>
      <c r="X771" s="2467"/>
      <c r="Y771" s="2467"/>
      <c r="Z771" s="2467"/>
      <c r="AA771" s="2467"/>
      <c r="AB771" s="2467"/>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67" t="s">
        <v>1438</v>
      </c>
      <c r="F773" s="2467"/>
      <c r="G773" s="2467"/>
      <c r="H773" s="2467"/>
      <c r="I773" s="2467"/>
      <c r="J773" s="2467"/>
      <c r="K773" s="2467"/>
      <c r="L773" s="2467"/>
      <c r="M773" s="2467"/>
      <c r="N773" s="2467"/>
      <c r="O773" s="2467"/>
      <c r="P773" s="2467"/>
      <c r="Q773" s="2467"/>
      <c r="R773" s="2467"/>
      <c r="S773" s="2467"/>
      <c r="T773" s="2467"/>
      <c r="U773" s="2467"/>
      <c r="V773" s="2467"/>
      <c r="W773" s="2467"/>
      <c r="X773" s="2467"/>
      <c r="Y773" s="2467"/>
      <c r="Z773" s="2467"/>
      <c r="AA773" s="2467"/>
      <c r="AB773" s="2467"/>
      <c r="AC773" s="536"/>
      <c r="AD773" s="536"/>
      <c r="AE773" s="536"/>
      <c r="AF773" s="2450" t="s">
        <v>1417</v>
      </c>
      <c r="AG773" s="2450"/>
      <c r="AH773" s="2450"/>
      <c r="AI773" s="2450"/>
      <c r="AJ773" s="2450"/>
      <c r="AK773" s="2450"/>
      <c r="AL773" s="2450"/>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7"/>
      <c r="F774" s="2467"/>
      <c r="G774" s="2467"/>
      <c r="H774" s="2467"/>
      <c r="I774" s="2467"/>
      <c r="J774" s="2467"/>
      <c r="K774" s="2467"/>
      <c r="L774" s="2467"/>
      <c r="M774" s="2467"/>
      <c r="N774" s="2467"/>
      <c r="O774" s="2467"/>
      <c r="P774" s="2467"/>
      <c r="Q774" s="2467"/>
      <c r="R774" s="2467"/>
      <c r="S774" s="2467"/>
      <c r="T774" s="2467"/>
      <c r="U774" s="2467"/>
      <c r="V774" s="2467"/>
      <c r="W774" s="2467"/>
      <c r="X774" s="2467"/>
      <c r="Y774" s="2467"/>
      <c r="Z774" s="2467"/>
      <c r="AA774" s="2467"/>
      <c r="AB774" s="2467"/>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30" t="s">
        <v>687</v>
      </c>
      <c r="I776" s="253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75">
        <f>VLOOKUP($H$776,$AO$710:$AP$712,2,FALSE)</f>
        <v>2</v>
      </c>
      <c r="AK778" s="2477"/>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67" t="s">
        <v>1681</v>
      </c>
      <c r="F782" s="2467"/>
      <c r="G782" s="2467"/>
      <c r="H782" s="2467"/>
      <c r="I782" s="2467"/>
      <c r="J782" s="2467"/>
      <c r="K782" s="2467"/>
      <c r="L782" s="2467"/>
      <c r="M782" s="2467"/>
      <c r="N782" s="2467"/>
      <c r="O782" s="2467"/>
      <c r="P782" s="2467"/>
      <c r="Q782" s="2467"/>
      <c r="R782" s="2467"/>
      <c r="S782" s="2467"/>
      <c r="T782" s="2467"/>
      <c r="U782" s="2467"/>
      <c r="V782" s="2467"/>
      <c r="W782" s="2467"/>
      <c r="X782" s="2467"/>
      <c r="Y782" s="2467"/>
      <c r="Z782" s="2467"/>
      <c r="AA782" s="2467"/>
      <c r="AB782" s="2467"/>
      <c r="AC782" s="2467"/>
      <c r="AD782" s="2467"/>
      <c r="AE782" s="536"/>
      <c r="AF782" s="2450" t="s">
        <v>1400</v>
      </c>
      <c r="AG782" s="2450"/>
      <c r="AH782" s="2450"/>
      <c r="AI782" s="2450"/>
      <c r="AJ782" s="2450"/>
      <c r="AK782" s="2450"/>
      <c r="AL782" s="2450"/>
      <c r="AM782" s="611"/>
      <c r="AN782" s="680"/>
      <c r="AO782" s="549" t="s">
        <v>591</v>
      </c>
      <c r="AP782" s="669">
        <v>0</v>
      </c>
    </row>
    <row r="783" spans="1:74" s="568" customFormat="1" ht="13.7" customHeight="1">
      <c r="A783" s="549"/>
      <c r="B783" s="614"/>
      <c r="C783" s="936"/>
      <c r="D783" s="659"/>
      <c r="E783" s="2467"/>
      <c r="F783" s="2467"/>
      <c r="G783" s="2467"/>
      <c r="H783" s="2467"/>
      <c r="I783" s="2467"/>
      <c r="J783" s="2467"/>
      <c r="K783" s="2467"/>
      <c r="L783" s="2467"/>
      <c r="M783" s="2467"/>
      <c r="N783" s="2467"/>
      <c r="O783" s="2467"/>
      <c r="P783" s="2467"/>
      <c r="Q783" s="2467"/>
      <c r="R783" s="2467"/>
      <c r="S783" s="2467"/>
      <c r="T783" s="2467"/>
      <c r="U783" s="2467"/>
      <c r="V783" s="2467"/>
      <c r="W783" s="2467"/>
      <c r="X783" s="2467"/>
      <c r="Y783" s="2467"/>
      <c r="Z783" s="2467"/>
      <c r="AA783" s="2467"/>
      <c r="AB783" s="2467"/>
      <c r="AC783" s="2467"/>
      <c r="AD783" s="2467"/>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67"/>
      <c r="F784" s="2467"/>
      <c r="G784" s="2467"/>
      <c r="H784" s="2467"/>
      <c r="I784" s="2467"/>
      <c r="J784" s="2467"/>
      <c r="K784" s="2467"/>
      <c r="L784" s="2467"/>
      <c r="M784" s="2467"/>
      <c r="N784" s="2467"/>
      <c r="O784" s="2467"/>
      <c r="P784" s="2467"/>
      <c r="Q784" s="2467"/>
      <c r="R784" s="2467"/>
      <c r="S784" s="2467"/>
      <c r="T784" s="2467"/>
      <c r="U784" s="2467"/>
      <c r="V784" s="2467"/>
      <c r="W784" s="2467"/>
      <c r="X784" s="2467"/>
      <c r="Y784" s="2467"/>
      <c r="Z784" s="2467"/>
      <c r="AA784" s="2467"/>
      <c r="AB784" s="2467"/>
      <c r="AC784" s="2467"/>
      <c r="AD784" s="2467"/>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7"/>
      <c r="F785" s="2467"/>
      <c r="G785" s="2467"/>
      <c r="H785" s="2467"/>
      <c r="I785" s="2467"/>
      <c r="J785" s="2467"/>
      <c r="K785" s="2467"/>
      <c r="L785" s="2467"/>
      <c r="M785" s="2467"/>
      <c r="N785" s="2467"/>
      <c r="O785" s="2467"/>
      <c r="P785" s="2467"/>
      <c r="Q785" s="2467"/>
      <c r="R785" s="2467"/>
      <c r="S785" s="2467"/>
      <c r="T785" s="2467"/>
      <c r="U785" s="2467"/>
      <c r="V785" s="2467"/>
      <c r="W785" s="2467"/>
      <c r="X785" s="2467"/>
      <c r="Y785" s="2467"/>
      <c r="Z785" s="2467"/>
      <c r="AA785" s="2467"/>
      <c r="AB785" s="2467"/>
      <c r="AC785" s="2467"/>
      <c r="AD785" s="2467"/>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0" t="s">
        <v>1686</v>
      </c>
      <c r="F787" s="2540"/>
      <c r="G787" s="2540"/>
      <c r="H787" s="2540"/>
      <c r="I787" s="2540"/>
      <c r="J787" s="2540"/>
      <c r="K787" s="2540"/>
      <c r="L787" s="2540"/>
      <c r="M787" s="2540"/>
      <c r="N787" s="2540"/>
      <c r="O787" s="2540"/>
      <c r="P787" s="2540"/>
      <c r="Q787" s="2540"/>
      <c r="R787" s="2540"/>
      <c r="S787" s="2540"/>
      <c r="T787" s="2540"/>
      <c r="U787" s="2540"/>
      <c r="V787" s="2540"/>
      <c r="W787" s="2540"/>
      <c r="X787" s="2540"/>
      <c r="Y787" s="2540"/>
      <c r="Z787" s="2540"/>
      <c r="AA787" s="2540"/>
      <c r="AB787" s="2540"/>
      <c r="AC787" s="2540"/>
      <c r="AD787" s="2540"/>
      <c r="AE787" s="536"/>
      <c r="AF787" s="2450" t="s">
        <v>1346</v>
      </c>
      <c r="AG787" s="2450"/>
      <c r="AH787" s="2450"/>
      <c r="AI787" s="2450"/>
      <c r="AJ787" s="2450"/>
      <c r="AK787" s="2450"/>
      <c r="AL787" s="2450"/>
      <c r="AM787" s="611"/>
      <c r="AN787" s="595"/>
    </row>
    <row r="788" spans="1:81" s="549" customFormat="1" ht="12.75" customHeight="1">
      <c r="B788" s="614"/>
      <c r="C788" s="936"/>
      <c r="D788" s="659"/>
      <c r="E788" s="2540"/>
      <c r="F788" s="2540"/>
      <c r="G788" s="2540"/>
      <c r="H788" s="2540"/>
      <c r="I788" s="2540"/>
      <c r="J788" s="2540"/>
      <c r="K788" s="2540"/>
      <c r="L788" s="2540"/>
      <c r="M788" s="2540"/>
      <c r="N788" s="2540"/>
      <c r="O788" s="2540"/>
      <c r="P788" s="2540"/>
      <c r="Q788" s="2540"/>
      <c r="R788" s="2540"/>
      <c r="S788" s="2540"/>
      <c r="T788" s="2540"/>
      <c r="U788" s="2540"/>
      <c r="V788" s="2540"/>
      <c r="W788" s="2540"/>
      <c r="X788" s="2540"/>
      <c r="Y788" s="2540"/>
      <c r="Z788" s="2540"/>
      <c r="AA788" s="2540"/>
      <c r="AB788" s="2540"/>
      <c r="AC788" s="2540"/>
      <c r="AD788" s="2540"/>
      <c r="AE788" s="592"/>
      <c r="AF788" s="592"/>
      <c r="AG788" s="592"/>
      <c r="AH788" s="592"/>
      <c r="AI788" s="592"/>
      <c r="AJ788" s="592"/>
      <c r="AK788" s="592"/>
      <c r="AL788" s="592"/>
      <c r="AM788" s="611"/>
      <c r="AN788" s="595"/>
    </row>
    <row r="789" spans="1:81" s="549" customFormat="1" ht="12.75" customHeight="1">
      <c r="B789" s="614"/>
      <c r="C789" s="936"/>
      <c r="D789" s="659"/>
      <c r="E789" s="2540"/>
      <c r="F789" s="2540"/>
      <c r="G789" s="2540"/>
      <c r="H789" s="2540"/>
      <c r="I789" s="2540"/>
      <c r="J789" s="2540"/>
      <c r="K789" s="2540"/>
      <c r="L789" s="2540"/>
      <c r="M789" s="2540"/>
      <c r="N789" s="2540"/>
      <c r="O789" s="2540"/>
      <c r="P789" s="2540"/>
      <c r="Q789" s="2540"/>
      <c r="R789" s="2540"/>
      <c r="S789" s="2540"/>
      <c r="T789" s="2540"/>
      <c r="U789" s="2540"/>
      <c r="V789" s="2540"/>
      <c r="W789" s="2540"/>
      <c r="X789" s="2540"/>
      <c r="Y789" s="2540"/>
      <c r="Z789" s="2540"/>
      <c r="AA789" s="2540"/>
      <c r="AB789" s="2540"/>
      <c r="AC789" s="2540"/>
      <c r="AD789" s="2540"/>
      <c r="AE789" s="592"/>
      <c r="AF789" s="592"/>
      <c r="AG789" s="592"/>
      <c r="AH789" s="592"/>
      <c r="AI789" s="592"/>
      <c r="AJ789" s="592"/>
      <c r="AK789" s="592"/>
      <c r="AL789" s="592"/>
      <c r="AM789" s="611"/>
      <c r="AN789" s="595"/>
    </row>
    <row r="790" spans="1:81" s="549" customFormat="1" ht="12.75" customHeight="1">
      <c r="B790" s="614"/>
      <c r="C790" s="936"/>
      <c r="D790" s="659"/>
      <c r="E790" s="2540"/>
      <c r="F790" s="2540"/>
      <c r="G790" s="2540"/>
      <c r="H790" s="2540"/>
      <c r="I790" s="2540"/>
      <c r="J790" s="2540"/>
      <c r="K790" s="2540"/>
      <c r="L790" s="2540"/>
      <c r="M790" s="2540"/>
      <c r="N790" s="2540"/>
      <c r="O790" s="2540"/>
      <c r="P790" s="2540"/>
      <c r="Q790" s="2540"/>
      <c r="R790" s="2540"/>
      <c r="S790" s="2540"/>
      <c r="T790" s="2540"/>
      <c r="U790" s="2540"/>
      <c r="V790" s="2540"/>
      <c r="W790" s="2540"/>
      <c r="X790" s="2540"/>
      <c r="Y790" s="2540"/>
      <c r="Z790" s="2540"/>
      <c r="AA790" s="2540"/>
      <c r="AB790" s="2540"/>
      <c r="AC790" s="2540"/>
      <c r="AD790" s="2540"/>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30" t="s">
        <v>591</v>
      </c>
      <c r="I792" s="253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75">
        <f>VLOOKUP($H$792,$AO$782:$AP$784,2,FALSE)</f>
        <v>0</v>
      </c>
      <c r="AK794" s="2477"/>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67" t="s">
        <v>2624</v>
      </c>
      <c r="F798" s="2467"/>
      <c r="G798" s="2467"/>
      <c r="H798" s="2467"/>
      <c r="I798" s="2467"/>
      <c r="J798" s="2467"/>
      <c r="K798" s="2467"/>
      <c r="L798" s="2467"/>
      <c r="M798" s="2467"/>
      <c r="N798" s="2467"/>
      <c r="O798" s="2467"/>
      <c r="P798" s="2467"/>
      <c r="Q798" s="2467"/>
      <c r="R798" s="2467"/>
      <c r="S798" s="2467"/>
      <c r="T798" s="2467"/>
      <c r="U798" s="2467"/>
      <c r="V798" s="2467"/>
      <c r="W798" s="2467"/>
      <c r="X798" s="2467"/>
      <c r="Y798" s="2467"/>
      <c r="Z798" s="2467"/>
      <c r="AA798" s="2467"/>
      <c r="AB798" s="2467"/>
      <c r="AC798" s="2467"/>
      <c r="AD798" s="2467"/>
      <c r="AE798" s="536"/>
      <c r="AF798" s="2450" t="s">
        <v>1346</v>
      </c>
      <c r="AG798" s="2450"/>
      <c r="AH798" s="2450"/>
      <c r="AI798" s="2450"/>
      <c r="AJ798" s="2450"/>
      <c r="AK798" s="2450"/>
      <c r="AL798" s="2450"/>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67"/>
      <c r="F799" s="2467"/>
      <c r="G799" s="2467"/>
      <c r="H799" s="2467"/>
      <c r="I799" s="2467"/>
      <c r="J799" s="2467"/>
      <c r="K799" s="2467"/>
      <c r="L799" s="2467"/>
      <c r="M799" s="2467"/>
      <c r="N799" s="2467"/>
      <c r="O799" s="2467"/>
      <c r="P799" s="2467"/>
      <c r="Q799" s="2467"/>
      <c r="R799" s="2467"/>
      <c r="S799" s="2467"/>
      <c r="T799" s="2467"/>
      <c r="U799" s="2467"/>
      <c r="V799" s="2467"/>
      <c r="W799" s="2467"/>
      <c r="X799" s="2467"/>
      <c r="Y799" s="2467"/>
      <c r="Z799" s="2467"/>
      <c r="AA799" s="2467"/>
      <c r="AB799" s="2467"/>
      <c r="AC799" s="2467"/>
      <c r="AD799" s="2467"/>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7"/>
      <c r="F800" s="2467"/>
      <c r="G800" s="2467"/>
      <c r="H800" s="2467"/>
      <c r="I800" s="2467"/>
      <c r="J800" s="2467"/>
      <c r="K800" s="2467"/>
      <c r="L800" s="2467"/>
      <c r="M800" s="2467"/>
      <c r="N800" s="2467"/>
      <c r="O800" s="2467"/>
      <c r="P800" s="2467"/>
      <c r="Q800" s="2467"/>
      <c r="R800" s="2467"/>
      <c r="S800" s="2467"/>
      <c r="T800" s="2467"/>
      <c r="U800" s="2467"/>
      <c r="V800" s="2467"/>
      <c r="W800" s="2467"/>
      <c r="X800" s="2467"/>
      <c r="Y800" s="2467"/>
      <c r="Z800" s="2467"/>
      <c r="AA800" s="2467"/>
      <c r="AB800" s="2467"/>
      <c r="AC800" s="2467"/>
      <c r="AD800" s="2467"/>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7"/>
      <c r="F801" s="2467"/>
      <c r="G801" s="2467"/>
      <c r="H801" s="2467"/>
      <c r="I801" s="2467"/>
      <c r="J801" s="2467"/>
      <c r="K801" s="2467"/>
      <c r="L801" s="2467"/>
      <c r="M801" s="2467"/>
      <c r="N801" s="2467"/>
      <c r="O801" s="2467"/>
      <c r="P801" s="2467"/>
      <c r="Q801" s="2467"/>
      <c r="R801" s="2467"/>
      <c r="S801" s="2467"/>
      <c r="T801" s="2467"/>
      <c r="U801" s="2467"/>
      <c r="V801" s="2467"/>
      <c r="W801" s="2467"/>
      <c r="X801" s="2467"/>
      <c r="Y801" s="2467"/>
      <c r="Z801" s="2467"/>
      <c r="AA801" s="2467"/>
      <c r="AB801" s="2467"/>
      <c r="AC801" s="2467"/>
      <c r="AD801" s="2467"/>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530" t="s">
        <v>591</v>
      </c>
      <c r="I803" s="253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75">
        <f>VLOOKUP($H$803,$AO$797:$AP$798,2,FALSE)</f>
        <v>0</v>
      </c>
      <c r="AK805" s="2477"/>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2585</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67" t="s">
        <v>2586</v>
      </c>
      <c r="F809" s="2467"/>
      <c r="G809" s="2467"/>
      <c r="H809" s="2467"/>
      <c r="I809" s="2467"/>
      <c r="J809" s="2467"/>
      <c r="K809" s="2467"/>
      <c r="L809" s="2467"/>
      <c r="M809" s="2467"/>
      <c r="N809" s="2467"/>
      <c r="O809" s="2467"/>
      <c r="P809" s="2467"/>
      <c r="Q809" s="2467"/>
      <c r="R809" s="2467"/>
      <c r="S809" s="2467"/>
      <c r="T809" s="2467"/>
      <c r="U809" s="2467"/>
      <c r="V809" s="2467"/>
      <c r="W809" s="2467"/>
      <c r="X809" s="2467"/>
      <c r="Y809" s="2467"/>
      <c r="Z809" s="2467"/>
      <c r="AA809" s="2467"/>
      <c r="AB809" s="2467"/>
      <c r="AC809" s="2467"/>
      <c r="AD809" s="2467"/>
      <c r="AE809" s="550"/>
      <c r="AF809" s="2450" t="s">
        <v>1371</v>
      </c>
      <c r="AG809" s="2450"/>
      <c r="AH809" s="2450"/>
      <c r="AI809" s="2450"/>
      <c r="AJ809" s="2450"/>
      <c r="AK809" s="2450"/>
      <c r="AL809" s="2450"/>
      <c r="AN809" s="595"/>
    </row>
    <row r="810" spans="1:81" s="549" customFormat="1" ht="12.75" customHeight="1">
      <c r="B810" s="614"/>
      <c r="C810" s="684"/>
      <c r="D810" s="659"/>
      <c r="E810" s="2467"/>
      <c r="F810" s="2467"/>
      <c r="G810" s="2467"/>
      <c r="H810" s="2467"/>
      <c r="I810" s="2467"/>
      <c r="J810" s="2467"/>
      <c r="K810" s="2467"/>
      <c r="L810" s="2467"/>
      <c r="M810" s="2467"/>
      <c r="N810" s="2467"/>
      <c r="O810" s="2467"/>
      <c r="P810" s="2467"/>
      <c r="Q810" s="2467"/>
      <c r="R810" s="2467"/>
      <c r="S810" s="2467"/>
      <c r="T810" s="2467"/>
      <c r="U810" s="2467"/>
      <c r="V810" s="2467"/>
      <c r="W810" s="2467"/>
      <c r="X810" s="2467"/>
      <c r="Y810" s="2467"/>
      <c r="Z810" s="2467"/>
      <c r="AA810" s="2467"/>
      <c r="AB810" s="2467"/>
      <c r="AC810" s="2467"/>
      <c r="AD810" s="2467"/>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530" t="s">
        <v>591</v>
      </c>
      <c r="I812" s="253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2587</v>
      </c>
      <c r="AJ814" s="2475">
        <f>IF(H812="Yes",5,0)</f>
        <v>0</v>
      </c>
      <c r="AK814" s="2477"/>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75">
        <f>IF(($AJ$634+$AJ$653+$AJ$665+$AJ$700+$AJ$724+$AJ$738+$AJ$750+$AJ$766+$AJ$778+$AJ$794+AJ805+AJ814)&gt;10,10,($AJ$634+$AJ$653+$AJ$665+$AJ$700+$AJ$724+$AJ$738+$AJ$750+$AJ$766+$AJ$778+$AJ$794+AJ805+AJ814))</f>
        <v>10</v>
      </c>
      <c r="AL816" s="2476"/>
      <c r="AM816" s="2477"/>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2" t="s">
        <v>1558</v>
      </c>
      <c r="B819" s="2563"/>
      <c r="C819" s="2563"/>
      <c r="D819" s="2563"/>
      <c r="E819" s="2563"/>
      <c r="F819" s="2563"/>
      <c r="G819" s="2563"/>
      <c r="H819" s="2563"/>
      <c r="I819" s="2563"/>
      <c r="J819" s="2563"/>
      <c r="K819" s="2563"/>
      <c r="L819" s="2563"/>
      <c r="M819" s="2563"/>
      <c r="N819" s="2563"/>
      <c r="O819" s="2563"/>
      <c r="P819" s="2563"/>
      <c r="Q819" s="2563"/>
      <c r="R819" s="2563"/>
      <c r="S819" s="2563"/>
      <c r="T819" s="2563"/>
      <c r="U819" s="2563"/>
      <c r="V819" s="2563"/>
      <c r="W819" s="2563"/>
      <c r="X819" s="2563"/>
      <c r="Y819" s="2563"/>
      <c r="Z819" s="2563"/>
      <c r="AA819" s="2563"/>
      <c r="AB819" s="2563"/>
      <c r="AC819" s="2563"/>
      <c r="AD819" s="2563"/>
      <c r="AE819" s="2563"/>
      <c r="AF819" s="2563"/>
      <c r="AG819" s="2563"/>
      <c r="AH819" s="2563"/>
      <c r="AI819" s="2563"/>
      <c r="AJ819" s="2563"/>
      <c r="AK819" s="2563"/>
      <c r="AL819" s="2563"/>
      <c r="AM819" s="2563"/>
    </row>
    <row r="820" spans="1:43">
      <c r="A820" s="2564"/>
      <c r="B820" s="2564"/>
      <c r="C820" s="2564"/>
      <c r="D820" s="2564"/>
      <c r="E820" s="2564"/>
      <c r="F820" s="2564"/>
      <c r="G820" s="2564"/>
      <c r="H820" s="2564"/>
      <c r="I820" s="2564"/>
      <c r="J820" s="2564"/>
      <c r="K820" s="2564"/>
      <c r="L820" s="2564"/>
      <c r="M820" s="2564"/>
      <c r="N820" s="2564"/>
      <c r="O820" s="2564"/>
      <c r="P820" s="2564"/>
      <c r="Q820" s="2564"/>
      <c r="R820" s="2564"/>
      <c r="S820" s="2564"/>
      <c r="T820" s="2564"/>
      <c r="U820" s="2564"/>
      <c r="V820" s="2564"/>
      <c r="W820" s="2564"/>
      <c r="X820" s="2564"/>
      <c r="Y820" s="2564"/>
      <c r="Z820" s="2564"/>
      <c r="AA820" s="2564"/>
      <c r="AB820" s="2564"/>
      <c r="AC820" s="2564"/>
      <c r="AD820" s="2564"/>
      <c r="AE820" s="2564"/>
      <c r="AF820" s="2564"/>
      <c r="AG820" s="2564"/>
      <c r="AH820" s="2564"/>
      <c r="AI820" s="2564"/>
      <c r="AJ820" s="2564"/>
      <c r="AK820" s="2564"/>
      <c r="AL820" s="2564"/>
      <c r="AM820" s="2564"/>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3"/>
      <c r="B822" s="2513"/>
      <c r="C822" s="2513"/>
      <c r="D822" s="2513"/>
      <c r="E822" s="2513"/>
      <c r="F822" s="2513"/>
      <c r="G822" s="2513"/>
      <c r="H822" s="2513"/>
      <c r="I822" s="2513"/>
      <c r="J822" s="2513"/>
      <c r="K822" s="2513"/>
      <c r="L822" s="2513"/>
      <c r="M822" s="2513"/>
      <c r="N822" s="2513"/>
      <c r="O822" s="2513"/>
      <c r="P822" s="2513"/>
      <c r="Q822" s="2513"/>
      <c r="R822" s="2513"/>
      <c r="S822" s="2513"/>
      <c r="T822" s="2513"/>
      <c r="U822" s="2513"/>
      <c r="V822" s="2513"/>
      <c r="W822" s="2513"/>
      <c r="X822" s="2513"/>
      <c r="Y822" s="2513"/>
      <c r="Z822" s="2513"/>
      <c r="AA822" s="2513"/>
      <c r="AB822" s="2513"/>
      <c r="AC822" s="2513"/>
      <c r="AD822" s="2513"/>
      <c r="AE822" s="2513"/>
      <c r="AF822" s="2513"/>
      <c r="AG822" s="2513"/>
      <c r="AH822" s="2513"/>
      <c r="AI822" s="2513"/>
      <c r="AJ822" s="2513"/>
      <c r="AK822" s="2513"/>
      <c r="AL822" s="2513"/>
      <c r="AM822" s="2513"/>
      <c r="AP822" s="812"/>
      <c r="AQ822" s="812"/>
    </row>
    <row r="823" spans="1:43">
      <c r="A823" s="2513"/>
      <c r="B823" s="2513"/>
      <c r="C823" s="2513"/>
      <c r="D823" s="2513"/>
      <c r="E823" s="2513"/>
      <c r="F823" s="2513"/>
      <c r="G823" s="2513"/>
      <c r="H823" s="2513"/>
      <c r="I823" s="2513"/>
      <c r="J823" s="2513"/>
      <c r="K823" s="2513"/>
      <c r="L823" s="2513"/>
      <c r="M823" s="2513"/>
      <c r="N823" s="2513"/>
      <c r="O823" s="2513"/>
      <c r="P823" s="2513"/>
      <c r="Q823" s="2513"/>
      <c r="R823" s="2513"/>
      <c r="S823" s="2513"/>
      <c r="T823" s="2513"/>
      <c r="U823" s="2513"/>
      <c r="V823" s="2513"/>
      <c r="W823" s="2513"/>
      <c r="X823" s="2513"/>
      <c r="Y823" s="2513"/>
      <c r="Z823" s="2513"/>
      <c r="AA823" s="2513"/>
      <c r="AB823" s="2513"/>
      <c r="AC823" s="2513"/>
      <c r="AD823" s="2513"/>
      <c r="AE823" s="2513"/>
      <c r="AF823" s="2513"/>
      <c r="AG823" s="2513"/>
      <c r="AH823" s="2513"/>
      <c r="AI823" s="2513"/>
      <c r="AJ823" s="2513"/>
      <c r="AK823" s="2513"/>
      <c r="AL823" s="2513"/>
      <c r="AM823" s="2513"/>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5" t="s">
        <v>1559</v>
      </c>
      <c r="U824" s="2566"/>
      <c r="V824" s="2566"/>
      <c r="W824" s="2566"/>
      <c r="X824" s="2566"/>
      <c r="Y824" s="2567"/>
      <c r="Z824" s="2565" t="s">
        <v>1560</v>
      </c>
      <c r="AA824" s="2566"/>
      <c r="AB824" s="2566"/>
      <c r="AC824" s="2566"/>
      <c r="AD824" s="2566"/>
      <c r="AE824" s="2567"/>
      <c r="AF824" s="2565" t="s">
        <v>1561</v>
      </c>
      <c r="AG824" s="2566"/>
      <c r="AH824" s="2566"/>
      <c r="AI824" s="2566"/>
      <c r="AJ824" s="2566"/>
      <c r="AK824" s="2567"/>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8"/>
      <c r="U825" s="2569"/>
      <c r="V825" s="2569"/>
      <c r="W825" s="2569"/>
      <c r="X825" s="2569"/>
      <c r="Y825" s="2570"/>
      <c r="Z825" s="2568"/>
      <c r="AA825" s="2569"/>
      <c r="AB825" s="2569"/>
      <c r="AC825" s="2569"/>
      <c r="AD825" s="2569"/>
      <c r="AE825" s="2570"/>
      <c r="AF825" s="2568"/>
      <c r="AG825" s="2569"/>
      <c r="AH825" s="2569"/>
      <c r="AI825" s="2569"/>
      <c r="AJ825" s="2569"/>
      <c r="AK825" s="2570"/>
      <c r="AL825" s="814"/>
      <c r="AM825" s="594"/>
      <c r="AO825" s="812"/>
      <c r="AP825" s="812"/>
      <c r="AQ825" s="812"/>
    </row>
    <row r="826" spans="1:43">
      <c r="A826" s="815" t="s">
        <v>757</v>
      </c>
      <c r="B826" s="2545" t="str">
        <f>B7</f>
        <v xml:space="preserve">Acquisition/Rehabilitation Project Priorities </v>
      </c>
      <c r="C826" s="2545"/>
      <c r="D826" s="2545"/>
      <c r="E826" s="2545"/>
      <c r="F826" s="2545"/>
      <c r="G826" s="2545"/>
      <c r="H826" s="2545"/>
      <c r="I826" s="2545"/>
      <c r="J826" s="2545"/>
      <c r="K826" s="2545"/>
      <c r="L826" s="2545"/>
      <c r="M826" s="2545"/>
      <c r="N826" s="2545"/>
      <c r="O826" s="2545"/>
      <c r="P826" s="2545"/>
      <c r="Q826" s="2545"/>
      <c r="R826" s="2545"/>
      <c r="S826" s="2546"/>
      <c r="T826" s="2547">
        <f>AK61</f>
        <v>0</v>
      </c>
      <c r="U826" s="2548"/>
      <c r="V826" s="2548"/>
      <c r="W826" s="2548"/>
      <c r="X826" s="2548"/>
      <c r="Y826" s="2549"/>
      <c r="Z826" s="2550">
        <v>20</v>
      </c>
      <c r="AA826" s="2548"/>
      <c r="AB826" s="2548"/>
      <c r="AC826" s="2548"/>
      <c r="AD826" s="2548"/>
      <c r="AE826" s="2549"/>
      <c r="AF826" s="2543">
        <f>IF(T826&gt;Z826,Z826,T826)</f>
        <v>0</v>
      </c>
      <c r="AG826" s="2543"/>
      <c r="AH826" s="2543"/>
      <c r="AI826" s="2543"/>
      <c r="AJ826" s="2543"/>
      <c r="AK826" s="2543"/>
      <c r="AL826" s="814"/>
      <c r="AM826" s="594"/>
      <c r="AO826" s="812"/>
      <c r="AP826" s="812"/>
      <c r="AQ826" s="812"/>
    </row>
    <row r="827" spans="1:43">
      <c r="A827" s="815" t="s">
        <v>1532</v>
      </c>
      <c r="B827" s="2545" t="s">
        <v>1307</v>
      </c>
      <c r="C827" s="2545"/>
      <c r="D827" s="2545"/>
      <c r="E827" s="2545"/>
      <c r="F827" s="2545"/>
      <c r="G827" s="2545"/>
      <c r="H827" s="2545"/>
      <c r="I827" s="2545"/>
      <c r="J827" s="2545"/>
      <c r="K827" s="2545"/>
      <c r="L827" s="2545"/>
      <c r="M827" s="2545"/>
      <c r="N827" s="2545"/>
      <c r="O827" s="2545"/>
      <c r="P827" s="2545"/>
      <c r="Q827" s="2545"/>
      <c r="R827" s="2545"/>
      <c r="S827" s="2546"/>
      <c r="T827" s="2547">
        <f>AK83</f>
        <v>10</v>
      </c>
      <c r="U827" s="2548"/>
      <c r="V827" s="2548"/>
      <c r="W827" s="2548"/>
      <c r="X827" s="2548"/>
      <c r="Y827" s="2549"/>
      <c r="Z827" s="2550">
        <v>10</v>
      </c>
      <c r="AA827" s="2548"/>
      <c r="AB827" s="2548"/>
      <c r="AC827" s="2548"/>
      <c r="AD827" s="2548"/>
      <c r="AE827" s="2549"/>
      <c r="AF827" s="2543">
        <f>IF(T827&gt;Z827,Z827,T827)</f>
        <v>10</v>
      </c>
      <c r="AG827" s="2543"/>
      <c r="AH827" s="2543"/>
      <c r="AI827" s="2543"/>
      <c r="AJ827" s="2543"/>
      <c r="AK827" s="2543"/>
      <c r="AL827" s="814"/>
      <c r="AM827" s="594"/>
      <c r="AO827" s="812"/>
      <c r="AP827" s="812"/>
      <c r="AQ827" s="812"/>
    </row>
    <row r="828" spans="1:43">
      <c r="A828" s="815" t="s">
        <v>1541</v>
      </c>
      <c r="B828" s="2545" t="s">
        <v>1317</v>
      </c>
      <c r="C828" s="2545"/>
      <c r="D828" s="2545"/>
      <c r="E828" s="2545"/>
      <c r="F828" s="2545"/>
      <c r="G828" s="2545"/>
      <c r="H828" s="2545"/>
      <c r="I828" s="2545"/>
      <c r="J828" s="2545"/>
      <c r="K828" s="2545"/>
      <c r="L828" s="2545"/>
      <c r="M828" s="2545"/>
      <c r="N828" s="2545"/>
      <c r="O828" s="2545"/>
      <c r="P828" s="2545"/>
      <c r="Q828" s="2545"/>
      <c r="R828" s="2545"/>
      <c r="S828" s="2546"/>
      <c r="T828" s="2547">
        <f ca="1">AK108</f>
        <v>20</v>
      </c>
      <c r="U828" s="2548"/>
      <c r="V828" s="2548"/>
      <c r="W828" s="2548"/>
      <c r="X828" s="2548"/>
      <c r="Y828" s="2549"/>
      <c r="Z828" s="2550">
        <v>20</v>
      </c>
      <c r="AA828" s="2548"/>
      <c r="AB828" s="2548"/>
      <c r="AC828" s="2548"/>
      <c r="AD828" s="2548"/>
      <c r="AE828" s="2549"/>
      <c r="AF828" s="2543">
        <f ca="1">IF(T828&gt;Z828,Z828,T828)</f>
        <v>20</v>
      </c>
      <c r="AG828" s="2543"/>
      <c r="AH828" s="2543"/>
      <c r="AI828" s="2543"/>
      <c r="AJ828" s="2543"/>
      <c r="AK828" s="2543"/>
      <c r="AL828" s="814"/>
      <c r="AM828" s="594"/>
      <c r="AO828" s="812"/>
      <c r="AP828" s="812"/>
      <c r="AQ828" s="812"/>
    </row>
    <row r="829" spans="1:43">
      <c r="A829" s="815" t="s">
        <v>1562</v>
      </c>
      <c r="B829" s="2545" t="s">
        <v>1327</v>
      </c>
      <c r="C829" s="2545"/>
      <c r="D829" s="2545"/>
      <c r="E829" s="2545"/>
      <c r="F829" s="2545"/>
      <c r="G829" s="2545"/>
      <c r="H829" s="2545"/>
      <c r="I829" s="2545"/>
      <c r="J829" s="2545"/>
      <c r="K829" s="2545"/>
      <c r="L829" s="2545"/>
      <c r="M829" s="2545"/>
      <c r="N829" s="2545"/>
      <c r="O829" s="2545"/>
      <c r="P829" s="2545"/>
      <c r="Q829" s="2545"/>
      <c r="R829" s="2545"/>
      <c r="S829" s="2546"/>
      <c r="T829" s="2547">
        <f>AK142</f>
        <v>10</v>
      </c>
      <c r="U829" s="2548"/>
      <c r="V829" s="2548"/>
      <c r="W829" s="2548"/>
      <c r="X829" s="2548"/>
      <c r="Y829" s="2549"/>
      <c r="Z829" s="2550">
        <v>10</v>
      </c>
      <c r="AA829" s="2548"/>
      <c r="AB829" s="2548"/>
      <c r="AC829" s="2548"/>
      <c r="AD829" s="2548"/>
      <c r="AE829" s="2549"/>
      <c r="AF829" s="2543">
        <f>IF(T829&gt;Z829,Z829,T829)</f>
        <v>10</v>
      </c>
      <c r="AG829" s="2543"/>
      <c r="AH829" s="2543"/>
      <c r="AI829" s="2543"/>
      <c r="AJ829" s="2543"/>
      <c r="AK829" s="2543"/>
      <c r="AL829" s="814"/>
      <c r="AM829" s="594"/>
      <c r="AO829" s="812"/>
      <c r="AP829" s="812"/>
      <c r="AQ829" s="812"/>
    </row>
    <row r="830" spans="1:43">
      <c r="A830" s="816" t="s">
        <v>1563</v>
      </c>
      <c r="B830" s="2545" t="s">
        <v>1564</v>
      </c>
      <c r="C830" s="2545"/>
      <c r="D830" s="2545"/>
      <c r="E830" s="2545"/>
      <c r="F830" s="2545"/>
      <c r="G830" s="2545"/>
      <c r="H830" s="2545"/>
      <c r="I830" s="2545"/>
      <c r="J830" s="2545"/>
      <c r="K830" s="2545"/>
      <c r="L830" s="2545"/>
      <c r="M830" s="2545"/>
      <c r="N830" s="2545"/>
      <c r="O830" s="2545"/>
      <c r="P830" s="2545"/>
      <c r="Q830" s="2545"/>
      <c r="R830" s="2545"/>
      <c r="S830" s="2546"/>
      <c r="T830" s="2571">
        <f>SUM(T831:Y832)</f>
        <v>10</v>
      </c>
      <c r="U830" s="2571"/>
      <c r="V830" s="2571"/>
      <c r="W830" s="2571"/>
      <c r="X830" s="2571"/>
      <c r="Y830" s="2571"/>
      <c r="Z830" s="2543">
        <v>10</v>
      </c>
      <c r="AA830" s="2543"/>
      <c r="AB830" s="2543"/>
      <c r="AC830" s="2543"/>
      <c r="AD830" s="2543"/>
      <c r="AE830" s="2543"/>
      <c r="AF830" s="2543">
        <f>IF(T830&gt;Z830,Z830,T830)</f>
        <v>10</v>
      </c>
      <c r="AG830" s="2543"/>
      <c r="AH830" s="2543"/>
      <c r="AI830" s="2543"/>
      <c r="AJ830" s="2543"/>
      <c r="AK830" s="2543"/>
      <c r="AL830" s="814"/>
      <c r="AM830" s="594"/>
    </row>
    <row r="831" spans="1:43">
      <c r="A831" s="535"/>
      <c r="B831" s="599"/>
      <c r="C831" s="2572" t="s">
        <v>1565</v>
      </c>
      <c r="D831" s="2572"/>
      <c r="E831" s="2572"/>
      <c r="F831" s="2572"/>
      <c r="G831" s="2572"/>
      <c r="H831" s="2572"/>
      <c r="I831" s="2572"/>
      <c r="J831" s="2572"/>
      <c r="K831" s="2572"/>
      <c r="L831" s="2572"/>
      <c r="M831" s="2572"/>
      <c r="N831" s="2572"/>
      <c r="O831" s="2572"/>
      <c r="P831" s="2572"/>
      <c r="Q831" s="2572"/>
      <c r="R831" s="2572"/>
      <c r="S831" s="2573"/>
      <c r="T831" s="2464">
        <f>AJ165</f>
        <v>7</v>
      </c>
      <c r="U831" s="2464"/>
      <c r="V831" s="2464"/>
      <c r="W831" s="2464"/>
      <c r="X831" s="2464"/>
      <c r="Y831" s="2464"/>
      <c r="Z831" s="2465">
        <v>7</v>
      </c>
      <c r="AA831" s="2465"/>
      <c r="AB831" s="2465"/>
      <c r="AC831" s="2465"/>
      <c r="AD831" s="2465"/>
      <c r="AE831" s="2465"/>
      <c r="AF831" s="2574"/>
      <c r="AG831" s="2574"/>
      <c r="AH831" s="2574"/>
      <c r="AI831" s="2574"/>
      <c r="AJ831" s="2574"/>
      <c r="AK831" s="2574"/>
      <c r="AL831" s="814"/>
      <c r="AM831" s="594"/>
    </row>
    <row r="832" spans="1:43">
      <c r="A832" s="598"/>
      <c r="B832" s="599"/>
      <c r="C832" s="2572" t="s">
        <v>1566</v>
      </c>
      <c r="D832" s="2572"/>
      <c r="E832" s="2572"/>
      <c r="F832" s="2572"/>
      <c r="G832" s="2572"/>
      <c r="H832" s="2572"/>
      <c r="I832" s="2572"/>
      <c r="J832" s="2572"/>
      <c r="K832" s="2572"/>
      <c r="L832" s="2572"/>
      <c r="M832" s="2572"/>
      <c r="N832" s="2572"/>
      <c r="O832" s="2572"/>
      <c r="P832" s="2572"/>
      <c r="Q832" s="2572"/>
      <c r="R832" s="2572"/>
      <c r="S832" s="2573"/>
      <c r="T832" s="2464">
        <f>AJ179</f>
        <v>3</v>
      </c>
      <c r="U832" s="2464"/>
      <c r="V832" s="2464"/>
      <c r="W832" s="2464"/>
      <c r="X832" s="2464"/>
      <c r="Y832" s="2464"/>
      <c r="Z832" s="2465">
        <v>3</v>
      </c>
      <c r="AA832" s="2465"/>
      <c r="AB832" s="2465"/>
      <c r="AC832" s="2465"/>
      <c r="AD832" s="2465"/>
      <c r="AE832" s="2465"/>
      <c r="AF832" s="2574"/>
      <c r="AG832" s="2574"/>
      <c r="AH832" s="2574"/>
      <c r="AI832" s="2574"/>
      <c r="AJ832" s="2574"/>
      <c r="AK832" s="2574"/>
      <c r="AL832" s="814"/>
      <c r="AM832" s="594"/>
      <c r="AO832" s="549"/>
    </row>
    <row r="833" spans="1:81">
      <c r="A833" s="816" t="s">
        <v>1355</v>
      </c>
      <c r="B833" s="2545" t="s">
        <v>1567</v>
      </c>
      <c r="C833" s="2545"/>
      <c r="D833" s="2545"/>
      <c r="E833" s="2545"/>
      <c r="F833" s="2545"/>
      <c r="G833" s="2545"/>
      <c r="H833" s="2545"/>
      <c r="I833" s="2545"/>
      <c r="J833" s="2545"/>
      <c r="K833" s="2545"/>
      <c r="L833" s="2545"/>
      <c r="M833" s="2545"/>
      <c r="N833" s="2545"/>
      <c r="O833" s="2545"/>
      <c r="P833" s="2545"/>
      <c r="Q833" s="2545"/>
      <c r="R833" s="2545"/>
      <c r="S833" s="2546"/>
      <c r="T833" s="2571">
        <f>AK190</f>
        <v>10</v>
      </c>
      <c r="U833" s="2571"/>
      <c r="V833" s="2571"/>
      <c r="W833" s="2571"/>
      <c r="X833" s="2571"/>
      <c r="Y833" s="2571"/>
      <c r="Z833" s="2543">
        <v>10</v>
      </c>
      <c r="AA833" s="2543"/>
      <c r="AB833" s="2543"/>
      <c r="AC833" s="2543"/>
      <c r="AD833" s="2543"/>
      <c r="AE833" s="2543"/>
      <c r="AF833" s="2543">
        <f>IF(T833&gt;Z833,Z833,T833)</f>
        <v>10</v>
      </c>
      <c r="AG833" s="2543"/>
      <c r="AH833" s="2543"/>
      <c r="AI833" s="2543"/>
      <c r="AJ833" s="2543"/>
      <c r="AK833" s="2543"/>
      <c r="AL833" s="814"/>
      <c r="AM833" s="594"/>
    </row>
    <row r="834" spans="1:81" hidden="1">
      <c r="A834" s="815" t="s">
        <v>1363</v>
      </c>
      <c r="B834" s="2545" t="s">
        <v>1364</v>
      </c>
      <c r="C834" s="2545"/>
      <c r="D834" s="2545"/>
      <c r="E834" s="2545"/>
      <c r="F834" s="2545"/>
      <c r="G834" s="2545"/>
      <c r="H834" s="2545"/>
      <c r="I834" s="2545"/>
      <c r="J834" s="2545"/>
      <c r="K834" s="2545"/>
      <c r="L834" s="2545"/>
      <c r="M834" s="2545"/>
      <c r="N834" s="2545"/>
      <c r="O834" s="2545"/>
      <c r="P834" s="2545"/>
      <c r="Q834" s="2545"/>
      <c r="R834" s="2545"/>
      <c r="S834" s="2546"/>
      <c r="T834" s="2571">
        <f>AK272</f>
        <v>0</v>
      </c>
      <c r="U834" s="2571"/>
      <c r="V834" s="2571"/>
      <c r="W834" s="2571"/>
      <c r="X834" s="2571"/>
      <c r="Y834" s="2571"/>
      <c r="Z834" s="2550">
        <v>8</v>
      </c>
      <c r="AA834" s="2548"/>
      <c r="AB834" s="2548"/>
      <c r="AC834" s="2548"/>
      <c r="AD834" s="2548"/>
      <c r="AE834" s="2549"/>
      <c r="AF834" s="2543"/>
      <c r="AG834" s="2543"/>
      <c r="AH834" s="2543"/>
      <c r="AI834" s="2543"/>
      <c r="AJ834" s="2543"/>
      <c r="AK834" s="2543"/>
      <c r="AL834" s="814"/>
      <c r="AM834" s="594"/>
    </row>
    <row r="835" spans="1:81" s="534" customFormat="1" hidden="1">
      <c r="A835" s="816" t="s">
        <v>589</v>
      </c>
      <c r="B835" s="2545" t="s">
        <v>1568</v>
      </c>
      <c r="C835" s="2545"/>
      <c r="D835" s="2545"/>
      <c r="E835" s="2545"/>
      <c r="F835" s="2545"/>
      <c r="G835" s="2545"/>
      <c r="H835" s="2545"/>
      <c r="I835" s="2545"/>
      <c r="J835" s="2545"/>
      <c r="K835" s="2545"/>
      <c r="L835" s="2545"/>
      <c r="M835" s="2545"/>
      <c r="N835" s="2545"/>
      <c r="O835" s="2545"/>
      <c r="P835" s="2545"/>
      <c r="Q835" s="2545"/>
      <c r="R835" s="2545"/>
      <c r="S835" s="2546"/>
      <c r="T835" s="2571">
        <f>IF(AK548&gt;5,5,AK548)</f>
        <v>0</v>
      </c>
      <c r="U835" s="2571"/>
      <c r="V835" s="2571"/>
      <c r="W835" s="2571"/>
      <c r="X835" s="2571"/>
      <c r="Y835" s="2571"/>
      <c r="Z835" s="2543">
        <v>5</v>
      </c>
      <c r="AA835" s="2543"/>
      <c r="AB835" s="2543"/>
      <c r="AC835" s="2543"/>
      <c r="AD835" s="2543"/>
      <c r="AE835" s="2543"/>
      <c r="AF835" s="2543"/>
      <c r="AG835" s="2543"/>
      <c r="AH835" s="2543"/>
      <c r="AI835" s="2543"/>
      <c r="AJ835" s="2543"/>
      <c r="AK835" s="2543"/>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5" t="str">
        <f>B275</f>
        <v>Readiness to Proceed</v>
      </c>
      <c r="C836" s="2545"/>
      <c r="D836" s="2545"/>
      <c r="E836" s="2545"/>
      <c r="F836" s="2545"/>
      <c r="G836" s="2545"/>
      <c r="H836" s="2545"/>
      <c r="I836" s="2545"/>
      <c r="J836" s="2545"/>
      <c r="K836" s="2545"/>
      <c r="L836" s="2545"/>
      <c r="M836" s="2545"/>
      <c r="N836" s="2545"/>
      <c r="O836" s="2545"/>
      <c r="P836" s="2545"/>
      <c r="Q836" s="2545"/>
      <c r="R836" s="2545"/>
      <c r="S836" s="2546"/>
      <c r="T836" s="2571">
        <f>AK298</f>
        <v>10</v>
      </c>
      <c r="U836" s="2571"/>
      <c r="V836" s="2571"/>
      <c r="W836" s="2571"/>
      <c r="X836" s="2571"/>
      <c r="Y836" s="2571"/>
      <c r="Z836" s="2543">
        <v>10</v>
      </c>
      <c r="AA836" s="2543"/>
      <c r="AB836" s="2543"/>
      <c r="AC836" s="2543"/>
      <c r="AD836" s="2543"/>
      <c r="AE836" s="2543"/>
      <c r="AF836" s="2576">
        <f>IF(T836&gt;Z836,Z836,T836)</f>
        <v>10</v>
      </c>
      <c r="AG836" s="2577"/>
      <c r="AH836" s="2577"/>
      <c r="AI836" s="2577"/>
      <c r="AJ836" s="2577"/>
      <c r="AK836" s="2578"/>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5" t="str">
        <f>B301</f>
        <v>Access to Opportunity</v>
      </c>
      <c r="C837" s="2545"/>
      <c r="D837" s="2545"/>
      <c r="E837" s="2545"/>
      <c r="F837" s="2545"/>
      <c r="G837" s="2545"/>
      <c r="H837" s="2545"/>
      <c r="I837" s="2545"/>
      <c r="J837" s="2545"/>
      <c r="K837" s="2545"/>
      <c r="L837" s="2545"/>
      <c r="M837" s="2545"/>
      <c r="N837" s="2545"/>
      <c r="O837" s="2545"/>
      <c r="P837" s="2545"/>
      <c r="Q837" s="2545"/>
      <c r="R837" s="2545"/>
      <c r="S837" s="2546"/>
      <c r="T837" s="2571">
        <f>AK351</f>
        <v>9</v>
      </c>
      <c r="U837" s="2571"/>
      <c r="V837" s="2571"/>
      <c r="W837" s="2571"/>
      <c r="X837" s="2571"/>
      <c r="Y837" s="2571"/>
      <c r="Z837" s="2576">
        <v>10</v>
      </c>
      <c r="AA837" s="2577"/>
      <c r="AB837" s="2577"/>
      <c r="AC837" s="2577"/>
      <c r="AD837" s="2577"/>
      <c r="AE837" s="2578"/>
      <c r="AF837" s="2576">
        <f>IF(T837&gt;Z837,Z837,T837)</f>
        <v>9</v>
      </c>
      <c r="AG837" s="2577"/>
      <c r="AH837" s="2577"/>
      <c r="AI837" s="2577"/>
      <c r="AJ837" s="2577"/>
      <c r="AK837" s="2578"/>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4">
        <f>AK351</f>
        <v>9</v>
      </c>
      <c r="U838" s="2464"/>
      <c r="V838" s="2464"/>
      <c r="W838" s="2464"/>
      <c r="X838" s="2464"/>
      <c r="Y838" s="2464"/>
      <c r="Z838" s="2475">
        <v>20</v>
      </c>
      <c r="AA838" s="2476"/>
      <c r="AB838" s="2476"/>
      <c r="AC838" s="2476"/>
      <c r="AD838" s="2476"/>
      <c r="AE838" s="2477"/>
      <c r="AF838" s="2574"/>
      <c r="AG838" s="2574"/>
      <c r="AH838" s="2574"/>
      <c r="AI838" s="2574"/>
      <c r="AJ838" s="2574"/>
      <c r="AK838" s="2574"/>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5" t="s">
        <v>845</v>
      </c>
      <c r="C839" s="2545"/>
      <c r="D839" s="2545"/>
      <c r="E839" s="2545"/>
      <c r="F839" s="2545"/>
      <c r="G839" s="2545"/>
      <c r="H839" s="2545"/>
      <c r="I839" s="2545"/>
      <c r="J839" s="2545"/>
      <c r="K839" s="2545"/>
      <c r="L839" s="2545"/>
      <c r="M839" s="2545"/>
      <c r="N839" s="2545"/>
      <c r="O839" s="2545"/>
      <c r="P839" s="2545"/>
      <c r="Q839" s="2545"/>
      <c r="R839" s="2545"/>
      <c r="S839" s="2546"/>
      <c r="T839" s="2571">
        <f>AK482</f>
        <v>10</v>
      </c>
      <c r="U839" s="2571"/>
      <c r="V839" s="2571"/>
      <c r="W839" s="2571"/>
      <c r="X839" s="2571"/>
      <c r="Y839" s="2571"/>
      <c r="Z839" s="2576">
        <v>10</v>
      </c>
      <c r="AA839" s="2577"/>
      <c r="AB839" s="2577"/>
      <c r="AC839" s="2577"/>
      <c r="AD839" s="2577"/>
      <c r="AE839" s="2578"/>
      <c r="AF839" s="2543">
        <f>IF(T839&gt;Z839,Z839,T839)</f>
        <v>10</v>
      </c>
      <c r="AG839" s="2543"/>
      <c r="AH839" s="2543"/>
      <c r="AI839" s="2543"/>
      <c r="AJ839" s="2543"/>
      <c r="AK839" s="2543"/>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5" t="s">
        <v>1550</v>
      </c>
      <c r="C840" s="2545"/>
      <c r="D840" s="2545"/>
      <c r="E840" s="2545"/>
      <c r="F840" s="2545"/>
      <c r="G840" s="2545"/>
      <c r="H840" s="2545"/>
      <c r="I840" s="2545"/>
      <c r="J840" s="2545"/>
      <c r="K840" s="2545"/>
      <c r="L840" s="2545"/>
      <c r="M840" s="2545"/>
      <c r="N840" s="2545"/>
      <c r="O840" s="2545"/>
      <c r="P840" s="2545"/>
      <c r="Q840" s="2545"/>
      <c r="R840" s="2545"/>
      <c r="S840" s="2546"/>
      <c r="T840" s="2571">
        <f>AK572</f>
        <v>12</v>
      </c>
      <c r="U840" s="2571"/>
      <c r="V840" s="2571"/>
      <c r="W840" s="2571"/>
      <c r="X840" s="2571"/>
      <c r="Y840" s="2571"/>
      <c r="Z840" s="2576">
        <v>12</v>
      </c>
      <c r="AA840" s="2577"/>
      <c r="AB840" s="2577"/>
      <c r="AC840" s="2577"/>
      <c r="AD840" s="2577"/>
      <c r="AE840" s="2578"/>
      <c r="AF840" s="2543">
        <f>IF(T840&gt;Z840,Z840,T840)</f>
        <v>12</v>
      </c>
      <c r="AG840" s="2543"/>
      <c r="AH840" s="2543"/>
      <c r="AI840" s="2543"/>
      <c r="AJ840" s="2543"/>
      <c r="AK840" s="2543"/>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5" t="s">
        <v>1570</v>
      </c>
      <c r="C841" s="2545"/>
      <c r="D841" s="2545"/>
      <c r="E841" s="2545"/>
      <c r="F841" s="2545"/>
      <c r="G841" s="2545"/>
      <c r="H841" s="2545"/>
      <c r="I841" s="2545"/>
      <c r="J841" s="2545"/>
      <c r="K841" s="2545"/>
      <c r="L841" s="2545"/>
      <c r="M841" s="2545"/>
      <c r="N841" s="2545"/>
      <c r="O841" s="2545"/>
      <c r="P841" s="2545"/>
      <c r="Q841" s="2545"/>
      <c r="R841" s="2545"/>
      <c r="S841" s="2546"/>
      <c r="T841" s="2571">
        <f>AK816</f>
        <v>10</v>
      </c>
      <c r="U841" s="2571"/>
      <c r="V841" s="2571"/>
      <c r="W841" s="2571"/>
      <c r="X841" s="2571"/>
      <c r="Y841" s="2571"/>
      <c r="Z841" s="2576">
        <v>10</v>
      </c>
      <c r="AA841" s="2577"/>
      <c r="AB841" s="2577"/>
      <c r="AC841" s="2577"/>
      <c r="AD841" s="2577"/>
      <c r="AE841" s="2578"/>
      <c r="AF841" s="2543">
        <f>IF(T841&gt;Z841,Z841,T841)</f>
        <v>10</v>
      </c>
      <c r="AG841" s="2543"/>
      <c r="AH841" s="2543"/>
      <c r="AI841" s="2543"/>
      <c r="AJ841" s="2543"/>
      <c r="AK841" s="2543"/>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575"/>
      <c r="U842" s="2575"/>
      <c r="V842" s="2575"/>
      <c r="W842" s="2575"/>
      <c r="X842" s="2575"/>
      <c r="Y842" s="2575"/>
      <c r="Z842" s="2465" t="s">
        <v>1572</v>
      </c>
      <c r="AA842" s="2465"/>
      <c r="AB842" s="2465"/>
      <c r="AC842" s="2465"/>
      <c r="AD842" s="2465"/>
      <c r="AE842" s="2465"/>
      <c r="AF842" s="2576">
        <f>ABS(T842)</f>
        <v>0</v>
      </c>
      <c r="AG842" s="2577"/>
      <c r="AH842" s="2577"/>
      <c r="AI842" s="2577"/>
      <c r="AJ842" s="2577"/>
      <c r="AK842" s="2578"/>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79" t="s">
        <v>1573</v>
      </c>
      <c r="B843" s="2580"/>
      <c r="C843" s="2580"/>
      <c r="D843" s="2580"/>
      <c r="E843" s="2580"/>
      <c r="F843" s="2580"/>
      <c r="G843" s="2580"/>
      <c r="H843" s="2580"/>
      <c r="I843" s="2580"/>
      <c r="J843" s="2580"/>
      <c r="K843" s="2580"/>
      <c r="L843" s="2580"/>
      <c r="M843" s="2580"/>
      <c r="N843" s="2580"/>
      <c r="O843" s="2580"/>
      <c r="P843" s="2580"/>
      <c r="Q843" s="2580"/>
      <c r="R843" s="2580"/>
      <c r="S843" s="2580"/>
      <c r="T843" s="2580"/>
      <c r="U843" s="2580"/>
      <c r="V843" s="2580"/>
      <c r="W843" s="2580"/>
      <c r="X843" s="2580"/>
      <c r="Y843" s="2580"/>
      <c r="Z843" s="2580"/>
      <c r="AA843" s="2580"/>
      <c r="AB843" s="2580"/>
      <c r="AC843" s="2580"/>
      <c r="AD843" s="2580"/>
      <c r="AE843" s="2581"/>
      <c r="AF843" s="2585">
        <f ca="1">SUM(AF826:AK841)-AF842</f>
        <v>111</v>
      </c>
      <c r="AG843" s="2586"/>
      <c r="AH843" s="2586"/>
      <c r="AI843" s="2586"/>
      <c r="AJ843" s="2586"/>
      <c r="AK843" s="2587"/>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2"/>
      <c r="B844" s="2583"/>
      <c r="C844" s="2583"/>
      <c r="D844" s="2583"/>
      <c r="E844" s="2583"/>
      <c r="F844" s="2583"/>
      <c r="G844" s="2583"/>
      <c r="H844" s="2583"/>
      <c r="I844" s="2583"/>
      <c r="J844" s="2583"/>
      <c r="K844" s="2583"/>
      <c r="L844" s="2583"/>
      <c r="M844" s="2583"/>
      <c r="N844" s="2583"/>
      <c r="O844" s="2583"/>
      <c r="P844" s="2583"/>
      <c r="Q844" s="2583"/>
      <c r="R844" s="2583"/>
      <c r="S844" s="2583"/>
      <c r="T844" s="2583"/>
      <c r="U844" s="2583"/>
      <c r="V844" s="2583"/>
      <c r="W844" s="2583"/>
      <c r="X844" s="2583"/>
      <c r="Y844" s="2583"/>
      <c r="Z844" s="2583"/>
      <c r="AA844" s="2583"/>
      <c r="AB844" s="2583"/>
      <c r="AC844" s="2583"/>
      <c r="AD844" s="2583"/>
      <c r="AE844" s="2584"/>
      <c r="AF844" s="2588"/>
      <c r="AG844" s="2589"/>
      <c r="AH844" s="2589"/>
      <c r="AI844" s="2589"/>
      <c r="AJ844" s="2589"/>
      <c r="AK844" s="2590"/>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Calina Bovee</cp:lastModifiedBy>
  <cp:lastPrinted>2026-05-11T17:47:16Z</cp:lastPrinted>
  <dcterms:created xsi:type="dcterms:W3CDTF">2007-12-27T18:26:28Z</dcterms:created>
  <dcterms:modified xsi:type="dcterms:W3CDTF">2026-05-15T19:33:23Z</dcterms:modified>
</cp:coreProperties>
</file>